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mc:AlternateContent xmlns:mc="http://schemas.openxmlformats.org/markup-compatibility/2006">
    <mc:Choice Requires="x15">
      <x15ac:absPath xmlns:x15ac="http://schemas.microsoft.com/office/spreadsheetml/2010/11/ac" url="D:\TempUserProfiles\NetworkService\AppData\Local\Packages\oice_16_974fa576_32c1d314_3138\AC\Temp\"/>
    </mc:Choice>
  </mc:AlternateContent>
  <xr:revisionPtr revIDLastSave="21269" documentId="8_{4CF60301-A464-483E-B815-0F405A93AE82}" xr6:coauthVersionLast="46" xr6:coauthVersionMax="46" xr10:uidLastSave="{E0A9FB3F-DF04-44B9-ADDF-14B6B608A046}"/>
  <bookViews>
    <workbookView xWindow="-120" yWindow="-120" windowWidth="15600" windowHeight="11760" activeTab="3" xr2:uid="{00000000-000D-0000-FFFF-FFFF00000000}"/>
  </bookViews>
  <sheets>
    <sheet name="Egg Tally" sheetId="11" r:id="rId1"/>
    <sheet name="Egg Collections" sheetId="1" r:id="rId2"/>
    <sheet name="Nursery Quant." sheetId="8" r:id="rId3"/>
    <sheet name="Feed Tally" sheetId="5" r:id="rId4"/>
    <sheet name="Tray Tracking" sheetId="6" r:id="rId5"/>
    <sheet name="Cage Tally" sheetId="14" r:id="rId6"/>
    <sheet name="Cage tracking" sheetId="7" r:id="rId7"/>
    <sheet name="Surplus food" sheetId="3" r:id="rId8"/>
    <sheet name="Maggot and frass giveaway" sheetId="10" r:id="rId9"/>
    <sheet name="Read me and More" sheetId="12" r:id="rId10"/>
    <sheet name="Parental Eggs" sheetId="2" r:id="rId11"/>
  </sheets>
  <definedNames>
    <definedName name="_xlnm._FilterDatabase" localSheetId="5" hidden="1">'Cage Tally'!$A$1:$N$1</definedName>
    <definedName name="_xlnm._FilterDatabase" localSheetId="6" hidden="1">'Cage tracking'!$S$4:$X$59</definedName>
    <definedName name="_xlnm._FilterDatabase" localSheetId="0" hidden="1">'Egg Tally'!#REF!</definedName>
    <definedName name="_xlnm._FilterDatabase" localSheetId="3" hidden="1">'Feed Tally'!$A$2:$AU$1402</definedName>
  </definedNames>
  <calcPr calcId="191028" calcCompleted="0"/>
  <customWorkbookViews>
    <customWorkbookView name="Filter 2" guid="{5192A350-E134-4B3B-A54B-A025EF54AFF4}" maximized="1" windowWidth="0" windowHeight="0" activeSheetId="0"/>
  </customWorkbookViews>
  <pivotCaches>
    <pivotCache cacheId="9988"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343" i="5" l="1"/>
  <c r="AC1339" i="5"/>
  <c r="AC1338" i="5"/>
  <c r="AC1335" i="5"/>
  <c r="H1238" i="11"/>
  <c r="H1263" i="11"/>
  <c r="H1261" i="11"/>
  <c r="H1254" i="11"/>
  <c r="G1251" i="11"/>
  <c r="G1252" i="11"/>
  <c r="G1253" i="11"/>
  <c r="G1254" i="11"/>
  <c r="G1255" i="11"/>
  <c r="G1256" i="11"/>
  <c r="G1257" i="11"/>
  <c r="G1258" i="11"/>
  <c r="G1259" i="11"/>
  <c r="G1260" i="11"/>
  <c r="G1261" i="11"/>
  <c r="G1262" i="11"/>
  <c r="G1263" i="11"/>
  <c r="G1264" i="11"/>
  <c r="G1265" i="11"/>
  <c r="G1266" i="11"/>
  <c r="P103" i="3"/>
  <c r="O103" i="3"/>
  <c r="P101" i="3"/>
  <c r="O101" i="3"/>
  <c r="D101" i="3"/>
  <c r="C101" i="3"/>
  <c r="C96" i="3"/>
  <c r="E96" i="3"/>
  <c r="F96" i="3"/>
  <c r="P96" i="3"/>
  <c r="O96" i="3"/>
  <c r="G1208" i="11"/>
  <c r="G1209" i="11"/>
  <c r="G1210" i="11"/>
  <c r="G1211" i="11"/>
  <c r="G1212" i="11"/>
  <c r="G1213" i="11"/>
  <c r="G1214" i="11"/>
  <c r="G1215" i="11"/>
  <c r="G1216" i="11"/>
  <c r="G1217" i="11"/>
  <c r="G1218" i="11"/>
  <c r="G1219" i="11"/>
  <c r="G1220" i="11"/>
  <c r="G1221" i="11"/>
  <c r="G1222" i="11"/>
  <c r="G1223" i="11"/>
  <c r="G1224" i="11"/>
  <c r="G1225" i="11"/>
  <c r="G1226" i="11"/>
  <c r="G1227" i="11"/>
  <c r="G1228" i="11"/>
  <c r="G1229" i="11"/>
  <c r="G1230" i="11"/>
  <c r="H1227" i="11" s="1"/>
  <c r="G1231" i="11"/>
  <c r="G1232" i="11"/>
  <c r="G1233" i="11"/>
  <c r="G1234" i="11"/>
  <c r="G1235" i="11"/>
  <c r="G1236" i="11"/>
  <c r="G1237" i="11"/>
  <c r="G1238" i="11"/>
  <c r="G1239" i="11"/>
  <c r="G1240" i="11"/>
  <c r="G1241" i="11"/>
  <c r="G1242" i="11"/>
  <c r="G1243" i="11"/>
  <c r="G1244" i="11"/>
  <c r="G1245" i="11"/>
  <c r="G1246" i="11"/>
  <c r="G1247" i="11"/>
  <c r="G1248" i="11"/>
  <c r="G1249" i="11"/>
  <c r="G1250" i="11"/>
  <c r="AC1352" i="5"/>
  <c r="AC1351" i="5"/>
  <c r="AC1346" i="5"/>
  <c r="AC1298" i="5"/>
  <c r="AC1295" i="5"/>
  <c r="AC1292" i="5"/>
  <c r="G1176" i="11"/>
  <c r="G1177" i="11"/>
  <c r="G1178" i="11"/>
  <c r="G1179" i="11"/>
  <c r="G1180" i="11"/>
  <c r="G1181" i="11"/>
  <c r="G1182" i="11"/>
  <c r="G1183" i="11"/>
  <c r="G1184" i="11"/>
  <c r="G1185" i="11"/>
  <c r="G1186" i="11"/>
  <c r="G1187" i="11"/>
  <c r="G1188" i="11"/>
  <c r="G1189" i="11"/>
  <c r="G1190" i="11"/>
  <c r="G1191" i="11"/>
  <c r="G1192" i="11"/>
  <c r="G1193" i="11"/>
  <c r="G1194" i="11"/>
  <c r="G1195" i="11"/>
  <c r="G1196" i="11"/>
  <c r="G1197" i="11"/>
  <c r="G1198" i="11"/>
  <c r="G1199" i="11"/>
  <c r="G1200" i="11"/>
  <c r="G1201" i="11"/>
  <c r="G1202" i="11"/>
  <c r="G1203" i="11"/>
  <c r="G1204" i="11"/>
  <c r="G1205" i="11"/>
  <c r="G1206" i="11"/>
  <c r="G1207" i="11"/>
  <c r="G1157" i="11"/>
  <c r="G1158" i="11"/>
  <c r="G1159" i="11"/>
  <c r="G1160" i="11"/>
  <c r="G1161" i="11"/>
  <c r="G1162" i="11"/>
  <c r="G1163" i="11"/>
  <c r="G1164" i="11"/>
  <c r="G1165" i="11"/>
  <c r="G1166" i="11"/>
  <c r="G1167" i="11"/>
  <c r="G1168" i="11"/>
  <c r="G1169" i="11"/>
  <c r="G1170" i="11"/>
  <c r="G1171" i="11"/>
  <c r="G1172" i="11"/>
  <c r="G1173" i="11"/>
  <c r="G1174" i="11"/>
  <c r="G1175" i="11"/>
  <c r="AJ3" i="5"/>
  <c r="G1132" i="11"/>
  <c r="G1133" i="11"/>
  <c r="G1134" i="11"/>
  <c r="G1135" i="11"/>
  <c r="G1136" i="11"/>
  <c r="G1137" i="11"/>
  <c r="G1138" i="11"/>
  <c r="G1139" i="11"/>
  <c r="G1140" i="11"/>
  <c r="G1141" i="11"/>
  <c r="G1142" i="11"/>
  <c r="G1143" i="11"/>
  <c r="G1144" i="11"/>
  <c r="G1145" i="11"/>
  <c r="G1146" i="11"/>
  <c r="G1147" i="11"/>
  <c r="G1148" i="11"/>
  <c r="G1149" i="11"/>
  <c r="G1150" i="11"/>
  <c r="G1151" i="11"/>
  <c r="G1152" i="11"/>
  <c r="G1153" i="11"/>
  <c r="G1154" i="11"/>
  <c r="G1155" i="11"/>
  <c r="G1156" i="11"/>
  <c r="D280" i="1"/>
  <c r="D278" i="1"/>
  <c r="E278" i="1"/>
  <c r="F278" i="1"/>
  <c r="G278" i="1"/>
  <c r="H278" i="1"/>
  <c r="D279" i="1"/>
  <c r="E279" i="1"/>
  <c r="F279" i="1"/>
  <c r="G279" i="1"/>
  <c r="H279" i="1"/>
  <c r="E280" i="1"/>
  <c r="F280" i="1"/>
  <c r="G280" i="1"/>
  <c r="H280" i="1"/>
  <c r="D281" i="1"/>
  <c r="E281" i="1"/>
  <c r="F281" i="1"/>
  <c r="G281" i="1"/>
  <c r="H281" i="1"/>
  <c r="D282" i="1"/>
  <c r="E282" i="1"/>
  <c r="F282" i="1"/>
  <c r="G282" i="1"/>
  <c r="H282" i="1"/>
  <c r="D283" i="1"/>
  <c r="E283" i="1"/>
  <c r="F283" i="1"/>
  <c r="G283" i="1"/>
  <c r="H283" i="1"/>
  <c r="D284" i="1"/>
  <c r="E284" i="1"/>
  <c r="F284" i="1"/>
  <c r="G284" i="1"/>
  <c r="H284" i="1"/>
  <c r="D285" i="1"/>
  <c r="E285" i="1"/>
  <c r="F285" i="1"/>
  <c r="G285" i="1"/>
  <c r="H285" i="1"/>
  <c r="D286" i="1"/>
  <c r="E286" i="1"/>
  <c r="F286" i="1"/>
  <c r="G286" i="1"/>
  <c r="H286" i="1"/>
  <c r="D287" i="1"/>
  <c r="E287" i="1"/>
  <c r="F287" i="1"/>
  <c r="G287" i="1"/>
  <c r="H287" i="1"/>
  <c r="D288" i="1"/>
  <c r="E288" i="1"/>
  <c r="F288" i="1"/>
  <c r="G288" i="1"/>
  <c r="H288" i="1"/>
  <c r="D289" i="1"/>
  <c r="E289" i="1"/>
  <c r="F289" i="1"/>
  <c r="G289" i="1"/>
  <c r="H289" i="1"/>
  <c r="D290" i="1"/>
  <c r="E290" i="1"/>
  <c r="F290" i="1"/>
  <c r="G290" i="1"/>
  <c r="H290" i="1"/>
  <c r="D291" i="1"/>
  <c r="E291" i="1"/>
  <c r="F291" i="1"/>
  <c r="G291" i="1"/>
  <c r="H291" i="1"/>
  <c r="D292" i="1"/>
  <c r="E292" i="1"/>
  <c r="F292" i="1"/>
  <c r="G292" i="1"/>
  <c r="H292" i="1"/>
  <c r="D293" i="1"/>
  <c r="E293" i="1"/>
  <c r="F293" i="1"/>
  <c r="G293" i="1"/>
  <c r="H293" i="1"/>
  <c r="D294" i="1"/>
  <c r="E294" i="1"/>
  <c r="F294" i="1"/>
  <c r="G294" i="1"/>
  <c r="H294" i="1"/>
  <c r="D295" i="1"/>
  <c r="E295" i="1"/>
  <c r="F295" i="1"/>
  <c r="G295" i="1"/>
  <c r="H295" i="1"/>
  <c r="D296" i="1"/>
  <c r="E296" i="1"/>
  <c r="F296" i="1"/>
  <c r="G296" i="1"/>
  <c r="H296" i="1"/>
  <c r="D297" i="1"/>
  <c r="E297" i="1"/>
  <c r="F297" i="1"/>
  <c r="G297" i="1"/>
  <c r="H297" i="1"/>
  <c r="D298" i="1"/>
  <c r="E298" i="1"/>
  <c r="F298" i="1"/>
  <c r="G298" i="1"/>
  <c r="H298" i="1"/>
  <c r="D299" i="1"/>
  <c r="E299" i="1"/>
  <c r="F299" i="1"/>
  <c r="G299" i="1"/>
  <c r="H299" i="1"/>
  <c r="D300" i="1"/>
  <c r="E300" i="1"/>
  <c r="F300" i="1"/>
  <c r="G300" i="1"/>
  <c r="H300" i="1"/>
  <c r="D301" i="1"/>
  <c r="E301" i="1"/>
  <c r="F301" i="1"/>
  <c r="G301" i="1"/>
  <c r="H301" i="1"/>
  <c r="D302" i="1"/>
  <c r="E302" i="1"/>
  <c r="F302" i="1"/>
  <c r="G302" i="1"/>
  <c r="H302" i="1"/>
  <c r="D303" i="1"/>
  <c r="E303" i="1"/>
  <c r="F303" i="1"/>
  <c r="G303" i="1"/>
  <c r="H303" i="1"/>
  <c r="D304" i="1"/>
  <c r="E304" i="1"/>
  <c r="F304" i="1"/>
  <c r="G304" i="1"/>
  <c r="H304" i="1"/>
  <c r="D305" i="1"/>
  <c r="E305" i="1"/>
  <c r="F305" i="1"/>
  <c r="G305" i="1"/>
  <c r="H305" i="1"/>
  <c r="D94" i="3"/>
  <c r="W94" i="3"/>
  <c r="W95" i="3"/>
  <c r="W96" i="3"/>
  <c r="W97" i="3"/>
  <c r="W98" i="3"/>
  <c r="W99" i="3"/>
  <c r="W100" i="3"/>
  <c r="W101" i="3"/>
  <c r="W102" i="3"/>
  <c r="W103" i="3"/>
  <c r="W104" i="3"/>
  <c r="W105" i="3"/>
  <c r="W106" i="3"/>
  <c r="W107" i="3"/>
  <c r="W108" i="3"/>
  <c r="W109" i="3"/>
  <c r="W110" i="3"/>
  <c r="W111" i="3"/>
  <c r="W112" i="3"/>
  <c r="W113" i="3"/>
  <c r="W114" i="3"/>
  <c r="P94" i="3"/>
  <c r="O94" i="3"/>
  <c r="C94" i="3"/>
  <c r="AC1314" i="5"/>
  <c r="AC1315" i="5"/>
  <c r="AC1317" i="5"/>
  <c r="AC1318" i="5"/>
  <c r="AD1302" i="5"/>
  <c r="AC1302" i="5"/>
  <c r="AC1304" i="5"/>
  <c r="AC1305" i="5"/>
  <c r="AC1291" i="5"/>
  <c r="AC1289" i="5"/>
  <c r="AC1288" i="5"/>
  <c r="G1130" i="11"/>
  <c r="G1131" i="11"/>
  <c r="F1129" i="11"/>
  <c r="F1128" i="11"/>
  <c r="G1128" i="11"/>
  <c r="G1129" i="11"/>
  <c r="F1127" i="11"/>
  <c r="G1127" i="11" s="1"/>
  <c r="G1126" i="11"/>
  <c r="G1106" i="11"/>
  <c r="G1107" i="11"/>
  <c r="G1108" i="11"/>
  <c r="G1109" i="11"/>
  <c r="G1110" i="11"/>
  <c r="G1111" i="11"/>
  <c r="G1112" i="11"/>
  <c r="G1113" i="11"/>
  <c r="G1114" i="11"/>
  <c r="G1115" i="11"/>
  <c r="G1116" i="11"/>
  <c r="G1117" i="11"/>
  <c r="G1118" i="11"/>
  <c r="G1119" i="11"/>
  <c r="G1120" i="11"/>
  <c r="G1121" i="11"/>
  <c r="G1122" i="11"/>
  <c r="G1123" i="11"/>
  <c r="G1124" i="11"/>
  <c r="G1125" i="11"/>
  <c r="G1084" i="11"/>
  <c r="G1085" i="11"/>
  <c r="G1086" i="11"/>
  <c r="G1087" i="11"/>
  <c r="G1088" i="11"/>
  <c r="G1089" i="11"/>
  <c r="G1090" i="11"/>
  <c r="G1091" i="11"/>
  <c r="G1092" i="11"/>
  <c r="G1093" i="11"/>
  <c r="G1094" i="11"/>
  <c r="G1095" i="11"/>
  <c r="G1096" i="11"/>
  <c r="G1097" i="11"/>
  <c r="G1098" i="11"/>
  <c r="G1099" i="11"/>
  <c r="G1100" i="11"/>
  <c r="G1101" i="11"/>
  <c r="G1102" i="11"/>
  <c r="G1103" i="11"/>
  <c r="G1104" i="11"/>
  <c r="G1105" i="11"/>
  <c r="AC1284" i="5"/>
  <c r="AC1281" i="5"/>
  <c r="AC1279" i="5"/>
  <c r="AC1274" i="5"/>
  <c r="AC1272" i="5"/>
  <c r="AC1269" i="5"/>
  <c r="AC1248" i="5"/>
  <c r="AC1242" i="5"/>
  <c r="AC1235" i="5"/>
  <c r="B279" i="1"/>
  <c r="I279" i="1"/>
  <c r="B280" i="1"/>
  <c r="I280" i="1"/>
  <c r="B281" i="1"/>
  <c r="I281" i="1"/>
  <c r="B282" i="1"/>
  <c r="I282" i="1"/>
  <c r="B283" i="1"/>
  <c r="I283" i="1"/>
  <c r="B284" i="1"/>
  <c r="I284" i="1"/>
  <c r="B285" i="1"/>
  <c r="I285" i="1"/>
  <c r="B286" i="1"/>
  <c r="I286" i="1"/>
  <c r="B287" i="1"/>
  <c r="I287" i="1"/>
  <c r="B288" i="1"/>
  <c r="I288" i="1"/>
  <c r="B289" i="1"/>
  <c r="I289" i="1"/>
  <c r="B290" i="1"/>
  <c r="I290" i="1"/>
  <c r="B291" i="1"/>
  <c r="I291" i="1"/>
  <c r="B292" i="1"/>
  <c r="I292" i="1"/>
  <c r="B293" i="1"/>
  <c r="I293" i="1"/>
  <c r="B294" i="1"/>
  <c r="I294" i="1"/>
  <c r="B295" i="1"/>
  <c r="I295" i="1"/>
  <c r="B296" i="1"/>
  <c r="I296" i="1"/>
  <c r="B297" i="1"/>
  <c r="I297" i="1"/>
  <c r="B298" i="1"/>
  <c r="I298" i="1"/>
  <c r="B299" i="1"/>
  <c r="I299" i="1"/>
  <c r="B300" i="1"/>
  <c r="I300" i="1"/>
  <c r="B301" i="1"/>
  <c r="I301" i="1"/>
  <c r="B302" i="1"/>
  <c r="I302" i="1"/>
  <c r="B303" i="1"/>
  <c r="I303" i="1"/>
  <c r="B304" i="1"/>
  <c r="I304" i="1"/>
  <c r="B305" i="1"/>
  <c r="I305" i="1"/>
  <c r="G1065" i="11"/>
  <c r="G1066" i="11"/>
  <c r="G1067" i="11"/>
  <c r="G1068" i="11"/>
  <c r="G1069" i="11"/>
  <c r="G1070" i="11"/>
  <c r="G1071" i="11"/>
  <c r="G1072" i="11"/>
  <c r="G1073" i="11"/>
  <c r="G1074" i="11"/>
  <c r="G1075" i="11"/>
  <c r="G1076" i="11"/>
  <c r="G1077" i="11"/>
  <c r="G1078" i="11"/>
  <c r="G1079" i="11"/>
  <c r="G1080" i="11"/>
  <c r="G1081" i="11"/>
  <c r="G1082" i="11"/>
  <c r="G1083" i="11"/>
  <c r="AC1202" i="5"/>
  <c r="AC1201" i="5"/>
  <c r="AC1200" i="5"/>
  <c r="AC1199" i="5"/>
  <c r="AC1254" i="5"/>
  <c r="AC1253" i="5"/>
  <c r="AC1252" i="5"/>
  <c r="G1050" i="11"/>
  <c r="G1051" i="11"/>
  <c r="G1052" i="11"/>
  <c r="G1053" i="11"/>
  <c r="G1054" i="11"/>
  <c r="G1055" i="11"/>
  <c r="G1056" i="11"/>
  <c r="G1057" i="11"/>
  <c r="G1058" i="11"/>
  <c r="G1059" i="11"/>
  <c r="G1060" i="11"/>
  <c r="G1061" i="11"/>
  <c r="G1062" i="11"/>
  <c r="G1063" i="11"/>
  <c r="G1064" i="11"/>
  <c r="AC1210" i="5"/>
  <c r="AC1208" i="5"/>
  <c r="AC1206" i="5"/>
  <c r="AC1204" i="5"/>
  <c r="AC1203" i="5"/>
  <c r="AH1403" i="5"/>
  <c r="AI1403" i="5"/>
  <c r="K327" i="8"/>
  <c r="L327" i="8"/>
  <c r="M327" i="8"/>
  <c r="R327" i="8"/>
  <c r="N327" i="8"/>
  <c r="S327" i="8"/>
  <c r="D1190" i="5"/>
  <c r="G1036" i="11"/>
  <c r="G1037" i="11"/>
  <c r="G1038" i="11"/>
  <c r="G1039" i="11"/>
  <c r="G1040" i="11"/>
  <c r="G1041" i="11"/>
  <c r="G1042" i="11"/>
  <c r="G1043" i="11"/>
  <c r="G1044" i="11"/>
  <c r="G1045" i="11"/>
  <c r="G1046" i="11"/>
  <c r="G1047" i="11"/>
  <c r="G1048" i="11"/>
  <c r="G1049" i="11"/>
  <c r="K323" i="8"/>
  <c r="L323" i="8"/>
  <c r="M323" i="8"/>
  <c r="N323" i="8"/>
  <c r="O323" i="8"/>
  <c r="AC1216" i="5"/>
  <c r="AC1213" i="5"/>
  <c r="AC1212" i="5"/>
  <c r="AC1158" i="5"/>
  <c r="AC1159" i="5"/>
  <c r="AC1160" i="5"/>
  <c r="AC1169" i="5"/>
  <c r="AC1170" i="5"/>
  <c r="AC1228" i="5"/>
  <c r="AC1230" i="5"/>
  <c r="AC1220" i="5"/>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O223" i="6"/>
  <c r="P223" i="6"/>
  <c r="O224" i="6"/>
  <c r="P224" i="6"/>
  <c r="O225" i="6"/>
  <c r="P225" i="6"/>
  <c r="O226" i="6"/>
  <c r="P226" i="6"/>
  <c r="O227" i="6"/>
  <c r="P227" i="6"/>
  <c r="O228" i="6"/>
  <c r="P228" i="6"/>
  <c r="O229" i="6"/>
  <c r="P229" i="6"/>
  <c r="O230" i="6"/>
  <c r="P230" i="6"/>
  <c r="O231" i="6"/>
  <c r="P231" i="6"/>
  <c r="O232" i="6"/>
  <c r="P232" i="6"/>
  <c r="O233" i="6"/>
  <c r="P233" i="6"/>
  <c r="O234" i="6"/>
  <c r="P234" i="6"/>
  <c r="O235" i="6"/>
  <c r="P235" i="6"/>
  <c r="O236" i="6"/>
  <c r="P236" i="6"/>
  <c r="O237" i="6"/>
  <c r="P237" i="6"/>
  <c r="O238" i="6"/>
  <c r="P238" i="6"/>
  <c r="O239" i="6"/>
  <c r="P239" i="6"/>
  <c r="O240" i="6"/>
  <c r="P240" i="6"/>
  <c r="O241" i="6"/>
  <c r="P241" i="6"/>
  <c r="O242" i="6"/>
  <c r="P242" i="6"/>
  <c r="O243" i="6"/>
  <c r="P243" i="6"/>
  <c r="O244" i="6"/>
  <c r="P244" i="6"/>
  <c r="O245" i="6"/>
  <c r="P245" i="6"/>
  <c r="O246" i="6"/>
  <c r="P246" i="6"/>
  <c r="O247" i="6"/>
  <c r="P247" i="6"/>
  <c r="O248" i="6"/>
  <c r="P248" i="6"/>
  <c r="O249" i="6"/>
  <c r="P249" i="6"/>
  <c r="O250" i="6"/>
  <c r="P250" i="6"/>
  <c r="O251" i="6"/>
  <c r="P251" i="6"/>
  <c r="O252" i="6"/>
  <c r="P252" i="6"/>
  <c r="O253" i="6"/>
  <c r="P253" i="6"/>
  <c r="O254" i="6"/>
  <c r="P254" i="6"/>
  <c r="O255" i="6"/>
  <c r="P255" i="6"/>
  <c r="O256" i="6"/>
  <c r="P256" i="6"/>
  <c r="O257" i="6"/>
  <c r="P257" i="6"/>
  <c r="O258" i="6"/>
  <c r="P258" i="6"/>
  <c r="O259" i="6"/>
  <c r="P259" i="6"/>
  <c r="O260" i="6"/>
  <c r="P260" i="6"/>
  <c r="O261" i="6"/>
  <c r="P261" i="6"/>
  <c r="O262" i="6"/>
  <c r="P262" i="6"/>
  <c r="O263" i="6"/>
  <c r="P263" i="6"/>
  <c r="O264" i="6"/>
  <c r="P264" i="6"/>
  <c r="O265" i="6"/>
  <c r="P265" i="6"/>
  <c r="O266" i="6"/>
  <c r="P266" i="6"/>
  <c r="O267" i="6"/>
  <c r="P267" i="6"/>
  <c r="O268" i="6"/>
  <c r="P268" i="6"/>
  <c r="O269" i="6"/>
  <c r="P269" i="6"/>
  <c r="O270" i="6"/>
  <c r="P270" i="6"/>
  <c r="O271" i="6"/>
  <c r="P271" i="6"/>
  <c r="O272" i="6"/>
  <c r="P272" i="6"/>
  <c r="O273" i="6"/>
  <c r="P273" i="6"/>
  <c r="O274" i="6"/>
  <c r="P274" i="6"/>
  <c r="O275" i="6"/>
  <c r="P275" i="6"/>
  <c r="O276" i="6"/>
  <c r="P276" i="6"/>
  <c r="O277" i="6"/>
  <c r="P277" i="6"/>
  <c r="O278" i="6"/>
  <c r="P278" i="6"/>
  <c r="O279" i="6"/>
  <c r="P279" i="6"/>
  <c r="O280" i="6"/>
  <c r="P280" i="6"/>
  <c r="O281" i="6"/>
  <c r="P281" i="6"/>
  <c r="O282" i="6"/>
  <c r="P282" i="6"/>
  <c r="O283" i="6"/>
  <c r="P283" i="6"/>
  <c r="O284" i="6"/>
  <c r="P284" i="6"/>
  <c r="O285" i="6"/>
  <c r="P285" i="6"/>
  <c r="O286" i="6"/>
  <c r="P286" i="6"/>
  <c r="O287" i="6"/>
  <c r="P287" i="6"/>
  <c r="O288" i="6"/>
  <c r="P288" i="6"/>
  <c r="O289" i="6"/>
  <c r="P289" i="6"/>
  <c r="O290" i="6"/>
  <c r="P290" i="6"/>
  <c r="O291" i="6"/>
  <c r="P291" i="6"/>
  <c r="O292" i="6"/>
  <c r="P292" i="6"/>
  <c r="O293" i="6"/>
  <c r="P293" i="6"/>
  <c r="O294" i="6"/>
  <c r="P294" i="6"/>
  <c r="O295" i="6"/>
  <c r="P295" i="6"/>
  <c r="O296" i="6"/>
  <c r="P296" i="6"/>
  <c r="O297" i="6"/>
  <c r="P297" i="6"/>
  <c r="O298" i="6"/>
  <c r="P298" i="6"/>
  <c r="O299" i="6"/>
  <c r="P299" i="6"/>
  <c r="O300" i="6"/>
  <c r="P300" i="6"/>
  <c r="O301" i="6"/>
  <c r="P301" i="6"/>
  <c r="O302" i="6"/>
  <c r="P302" i="6"/>
  <c r="O303" i="6"/>
  <c r="P303" i="6"/>
  <c r="O304" i="6"/>
  <c r="P304" i="6"/>
  <c r="O305" i="6"/>
  <c r="P305" i="6"/>
  <c r="O306" i="6"/>
  <c r="P306"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AH3" i="5"/>
  <c r="AH4" i="5"/>
  <c r="AH5" i="5"/>
  <c r="AH6" i="5"/>
  <c r="AH7" i="5"/>
  <c r="AH8" i="5"/>
  <c r="AH9" i="5"/>
  <c r="AH10" i="5"/>
  <c r="AH11" i="5"/>
  <c r="AH12" i="5"/>
  <c r="AH13" i="5"/>
  <c r="AH14" i="5"/>
  <c r="AH15" i="5"/>
  <c r="AH16" i="5"/>
  <c r="AH17" i="5"/>
  <c r="AH18" i="5"/>
  <c r="AH19" i="5"/>
  <c r="AH20" i="5"/>
  <c r="AH21" i="5"/>
  <c r="AH22" i="5"/>
  <c r="AH23" i="5"/>
  <c r="AH24" i="5"/>
  <c r="AH25" i="5"/>
  <c r="AH26" i="5"/>
  <c r="AH27" i="5"/>
  <c r="AH28" i="5"/>
  <c r="AH29" i="5"/>
  <c r="AH30" i="5"/>
  <c r="AH31" i="5"/>
  <c r="AH32" i="5"/>
  <c r="AH33" i="5"/>
  <c r="AH34" i="5"/>
  <c r="AH35" i="5"/>
  <c r="AH36" i="5"/>
  <c r="AH37" i="5"/>
  <c r="AH38" i="5"/>
  <c r="AH39" i="5"/>
  <c r="AH40" i="5"/>
  <c r="AH41" i="5"/>
  <c r="AH42" i="5"/>
  <c r="AH43" i="5"/>
  <c r="AH44" i="5"/>
  <c r="AH45" i="5"/>
  <c r="AH46" i="5"/>
  <c r="AH47" i="5"/>
  <c r="AH48" i="5"/>
  <c r="AH49" i="5"/>
  <c r="AH50" i="5"/>
  <c r="AH51" i="5"/>
  <c r="AH52" i="5"/>
  <c r="AH53" i="5"/>
  <c r="AH54" i="5"/>
  <c r="AH55" i="5"/>
  <c r="AH56" i="5"/>
  <c r="AH58" i="5"/>
  <c r="AH61" i="5"/>
  <c r="AH62" i="5"/>
  <c r="AH63" i="5"/>
  <c r="AH64" i="5"/>
  <c r="AH65" i="5"/>
  <c r="AH66" i="5"/>
  <c r="AH67" i="5"/>
  <c r="AH68" i="5"/>
  <c r="AH69" i="5"/>
  <c r="AH73" i="5"/>
  <c r="AH74" i="5"/>
  <c r="AH75" i="5"/>
  <c r="AH76" i="5"/>
  <c r="AH79" i="5"/>
  <c r="AH80" i="5"/>
  <c r="AH81" i="5"/>
  <c r="AH82" i="5"/>
  <c r="AH83" i="5"/>
  <c r="AH84" i="5"/>
  <c r="AH85" i="5"/>
  <c r="AH86" i="5"/>
  <c r="AH87" i="5"/>
  <c r="AH88" i="5"/>
  <c r="AH89" i="5"/>
  <c r="AH90" i="5"/>
  <c r="AH91" i="5"/>
  <c r="AH92" i="5"/>
  <c r="AH93" i="5"/>
  <c r="AH94" i="5"/>
  <c r="AH95" i="5"/>
  <c r="AH96" i="5"/>
  <c r="AH97" i="5"/>
  <c r="AH98" i="5"/>
  <c r="AH99" i="5"/>
  <c r="AH100" i="5"/>
  <c r="AH101" i="5"/>
  <c r="AH102" i="5"/>
  <c r="AH103" i="5"/>
  <c r="AH104" i="5"/>
  <c r="AH105" i="5"/>
  <c r="AH106" i="5"/>
  <c r="AH107" i="5"/>
  <c r="AH108" i="5"/>
  <c r="AH109" i="5"/>
  <c r="AH117" i="5"/>
  <c r="AH118" i="5"/>
  <c r="AH119" i="5"/>
  <c r="AH120" i="5"/>
  <c r="AH121" i="5"/>
  <c r="AH122" i="5"/>
  <c r="AH123" i="5"/>
  <c r="AH124" i="5"/>
  <c r="AH125" i="5"/>
  <c r="AH126" i="5"/>
  <c r="AH127" i="5"/>
  <c r="AH128" i="5"/>
  <c r="AH129" i="5"/>
  <c r="AH130" i="5"/>
  <c r="AH131" i="5"/>
  <c r="AH132" i="5"/>
  <c r="AH133" i="5"/>
  <c r="AH134" i="5"/>
  <c r="AH135" i="5"/>
  <c r="AH136" i="5"/>
  <c r="AH137" i="5"/>
  <c r="AH138" i="5"/>
  <c r="AH139" i="5"/>
  <c r="AH142" i="5"/>
  <c r="AH143" i="5"/>
  <c r="AH144" i="5"/>
  <c r="AH145" i="5"/>
  <c r="AH146" i="5"/>
  <c r="AH147" i="5"/>
  <c r="AH148" i="5"/>
  <c r="AH149" i="5"/>
  <c r="AH150" i="5"/>
  <c r="AH151" i="5"/>
  <c r="AH154" i="5"/>
  <c r="AH155" i="5"/>
  <c r="AH156" i="5"/>
  <c r="AH157" i="5"/>
  <c r="AH158" i="5"/>
  <c r="AH159" i="5"/>
  <c r="AH160" i="5"/>
  <c r="AH161" i="5"/>
  <c r="AH162" i="5"/>
  <c r="AH163" i="5"/>
  <c r="AH164" i="5"/>
  <c r="AH167" i="5"/>
  <c r="AH168" i="5"/>
  <c r="AH169" i="5"/>
  <c r="AH171" i="5"/>
  <c r="AH172" i="5"/>
  <c r="AH236" i="5"/>
  <c r="AH241" i="5"/>
  <c r="AH242" i="5"/>
  <c r="AH243" i="5"/>
  <c r="AH244" i="5"/>
  <c r="AH245" i="5"/>
  <c r="AH246" i="5"/>
  <c r="AH247" i="5"/>
  <c r="AH248" i="5"/>
  <c r="AH250" i="5"/>
  <c r="AH251" i="5"/>
  <c r="AH265" i="5"/>
  <c r="AH268" i="5"/>
  <c r="AH269" i="5"/>
  <c r="AH272" i="5"/>
  <c r="AH274" i="5"/>
  <c r="AH275" i="5"/>
  <c r="AH276" i="5"/>
  <c r="AH277" i="5"/>
  <c r="AH278" i="5"/>
  <c r="AH279" i="5"/>
  <c r="AH280" i="5"/>
  <c r="AH290" i="5"/>
  <c r="AH293" i="5"/>
  <c r="AH295" i="5"/>
  <c r="AH296" i="5"/>
  <c r="AH297" i="5"/>
  <c r="AH298" i="5"/>
  <c r="AH299" i="5"/>
  <c r="AH321" i="5"/>
  <c r="AH322" i="5"/>
  <c r="AH355" i="5"/>
  <c r="AH356" i="5"/>
  <c r="AH357" i="5"/>
  <c r="AH358" i="5"/>
  <c r="AH359" i="5"/>
  <c r="AH360" i="5"/>
  <c r="AH361" i="5"/>
  <c r="AH362" i="5"/>
  <c r="AH363" i="5"/>
  <c r="AH364" i="5"/>
  <c r="AH365" i="5"/>
  <c r="AH372" i="5"/>
  <c r="AH373" i="5"/>
  <c r="AH374" i="5"/>
  <c r="AH375" i="5"/>
  <c r="AH376" i="5"/>
  <c r="AH377" i="5"/>
  <c r="AH378" i="5"/>
  <c r="AH379" i="5"/>
  <c r="AH380" i="5"/>
  <c r="AH381" i="5"/>
  <c r="AH382" i="5"/>
  <c r="AH383" i="5"/>
  <c r="AH384" i="5"/>
  <c r="AH385" i="5"/>
  <c r="AH386" i="5"/>
  <c r="AH387" i="5"/>
  <c r="AH388" i="5"/>
  <c r="AH400" i="5"/>
  <c r="AH401" i="5"/>
  <c r="AH402" i="5"/>
  <c r="AH403" i="5"/>
  <c r="AH445" i="5"/>
  <c r="AH446" i="5"/>
  <c r="AH447" i="5"/>
  <c r="AH448" i="5"/>
  <c r="AH460" i="5"/>
  <c r="AH462" i="5"/>
  <c r="AH466" i="5"/>
  <c r="AH467" i="5"/>
  <c r="AH468" i="5"/>
  <c r="AH471" i="5"/>
  <c r="AH473" i="5"/>
  <c r="AH474" i="5"/>
  <c r="AH475" i="5"/>
  <c r="AH476" i="5"/>
  <c r="AH477" i="5"/>
  <c r="AH478" i="5"/>
  <c r="AH479" i="5"/>
  <c r="AH480" i="5"/>
  <c r="AH483" i="5"/>
  <c r="AH484" i="5"/>
  <c r="AH485" i="5"/>
  <c r="AH486" i="5"/>
  <c r="AH487" i="5"/>
  <c r="AH491" i="5"/>
  <c r="AH492" i="5"/>
  <c r="AH493" i="5"/>
  <c r="AH494" i="5"/>
  <c r="AH495" i="5"/>
  <c r="AH496" i="5"/>
  <c r="AH497" i="5"/>
  <c r="AH498" i="5"/>
  <c r="AH502" i="5"/>
  <c r="AH503" i="5"/>
  <c r="AH504" i="5"/>
  <c r="AH505" i="5"/>
  <c r="AH506" i="5"/>
  <c r="AH507" i="5"/>
  <c r="AH508" i="5"/>
  <c r="AH509" i="5"/>
  <c r="AH510" i="5"/>
  <c r="AH511" i="5"/>
  <c r="AH518" i="5"/>
  <c r="AH519" i="5"/>
  <c r="AH520" i="5"/>
  <c r="AH521" i="5"/>
  <c r="AH522" i="5"/>
  <c r="AH523" i="5"/>
  <c r="AH525" i="5"/>
  <c r="AH526" i="5"/>
  <c r="AH527" i="5"/>
  <c r="AH528" i="5"/>
  <c r="AH529" i="5"/>
  <c r="AH530" i="5"/>
  <c r="AH532" i="5"/>
  <c r="AH533" i="5"/>
  <c r="AH534" i="5"/>
  <c r="AH536" i="5"/>
  <c r="AH537" i="5"/>
  <c r="AH538" i="5"/>
  <c r="AH540" i="5"/>
  <c r="AH543" i="5"/>
  <c r="AH544" i="5"/>
  <c r="AH545" i="5"/>
  <c r="AH546" i="5"/>
  <c r="AH547" i="5"/>
  <c r="AH549" i="5"/>
  <c r="AH550" i="5"/>
  <c r="AH551" i="5"/>
  <c r="AH552" i="5"/>
  <c r="AH553" i="5"/>
  <c r="AH557" i="5"/>
  <c r="AH560" i="5"/>
  <c r="AH561" i="5"/>
  <c r="AH562" i="5"/>
  <c r="AH563" i="5"/>
  <c r="AH564" i="5"/>
  <c r="AH565" i="5"/>
  <c r="AH566" i="5"/>
  <c r="AH567" i="5"/>
  <c r="AH568" i="5"/>
  <c r="AH569" i="5"/>
  <c r="AH570" i="5"/>
  <c r="AH571" i="5"/>
  <c r="AH572" i="5"/>
  <c r="AH573" i="5"/>
  <c r="AH574" i="5"/>
  <c r="AH575" i="5"/>
  <c r="AH576" i="5"/>
  <c r="AH577" i="5"/>
  <c r="AH578" i="5"/>
  <c r="AH579" i="5"/>
  <c r="AH580" i="5"/>
  <c r="AH581" i="5"/>
  <c r="AH582" i="5"/>
  <c r="AH584" i="5"/>
  <c r="AH594" i="5"/>
  <c r="AH595" i="5"/>
  <c r="AH597" i="5"/>
  <c r="AH598" i="5"/>
  <c r="AH599" i="5"/>
  <c r="AH600" i="5"/>
  <c r="AH602" i="5"/>
  <c r="AH603" i="5"/>
  <c r="AH604" i="5"/>
  <c r="AH606" i="5"/>
  <c r="AH608" i="5"/>
  <c r="AH609" i="5"/>
  <c r="AH610" i="5"/>
  <c r="AH611" i="5"/>
  <c r="AH612" i="5"/>
  <c r="AH613" i="5"/>
  <c r="AH614" i="5"/>
  <c r="AH615" i="5"/>
  <c r="AH627" i="5"/>
  <c r="AH628" i="5"/>
  <c r="AH629" i="5"/>
  <c r="AH630" i="5"/>
  <c r="AH631" i="5"/>
  <c r="AH632" i="5"/>
  <c r="AH633" i="5"/>
  <c r="AH634" i="5"/>
  <c r="AH635" i="5"/>
  <c r="AH636" i="5"/>
  <c r="AH647" i="5"/>
  <c r="AH648" i="5"/>
  <c r="AH649" i="5"/>
  <c r="AH650" i="5"/>
  <c r="AH651" i="5"/>
  <c r="AH652" i="5"/>
  <c r="AH653" i="5"/>
  <c r="AH654" i="5"/>
  <c r="AK12" i="5"/>
  <c r="AI3" i="5"/>
  <c r="AI4" i="5"/>
  <c r="AI5" i="5"/>
  <c r="AI6" i="5"/>
  <c r="AI7" i="5"/>
  <c r="AI8" i="5"/>
  <c r="AI9" i="5"/>
  <c r="AI10" i="5"/>
  <c r="AI11" i="5"/>
  <c r="AI12" i="5"/>
  <c r="AI13" i="5"/>
  <c r="AI14" i="5"/>
  <c r="AI15" i="5"/>
  <c r="AI16" i="5"/>
  <c r="AI17" i="5"/>
  <c r="AI18" i="5"/>
  <c r="AI19" i="5"/>
  <c r="AI20" i="5"/>
  <c r="AI21" i="5"/>
  <c r="AI22" i="5"/>
  <c r="AI23" i="5"/>
  <c r="AI24" i="5"/>
  <c r="AI25" i="5"/>
  <c r="AI26" i="5"/>
  <c r="AI27" i="5"/>
  <c r="AI28" i="5"/>
  <c r="AI29" i="5"/>
  <c r="AI30" i="5"/>
  <c r="AI31" i="5"/>
  <c r="AI32" i="5"/>
  <c r="AI33" i="5"/>
  <c r="AI34" i="5"/>
  <c r="AI35" i="5"/>
  <c r="AI36" i="5"/>
  <c r="AI37" i="5"/>
  <c r="AI38" i="5"/>
  <c r="AI39" i="5"/>
  <c r="AI40" i="5"/>
  <c r="AI41" i="5"/>
  <c r="AI42" i="5"/>
  <c r="AI43" i="5"/>
  <c r="AI44" i="5"/>
  <c r="AI45" i="5"/>
  <c r="AI46" i="5"/>
  <c r="AI47" i="5"/>
  <c r="AI48" i="5"/>
  <c r="AI49" i="5"/>
  <c r="AI50" i="5"/>
  <c r="AI51" i="5"/>
  <c r="AI52" i="5"/>
  <c r="AI53" i="5"/>
  <c r="AI54" i="5"/>
  <c r="AI55" i="5"/>
  <c r="AI56" i="5"/>
  <c r="AK6" i="5"/>
  <c r="AI58" i="5"/>
  <c r="AI61" i="5"/>
  <c r="AI62" i="5"/>
  <c r="AI63" i="5"/>
  <c r="AI64" i="5"/>
  <c r="AI65" i="5"/>
  <c r="AI66" i="5"/>
  <c r="AI67" i="5"/>
  <c r="AI68" i="5"/>
  <c r="AI69" i="5"/>
  <c r="AI73" i="5"/>
  <c r="AI74" i="5"/>
  <c r="AI75" i="5"/>
  <c r="AI76" i="5"/>
  <c r="AI79" i="5"/>
  <c r="AI80" i="5"/>
  <c r="AI81" i="5"/>
  <c r="AI82" i="5"/>
  <c r="AI83" i="5"/>
  <c r="AI84" i="5"/>
  <c r="AI85" i="5"/>
  <c r="AI86" i="5"/>
  <c r="AI87" i="5"/>
  <c r="AI88" i="5"/>
  <c r="AI89" i="5"/>
  <c r="AI90" i="5"/>
  <c r="AI91" i="5"/>
  <c r="AI92" i="5"/>
  <c r="AI93" i="5"/>
  <c r="AI94" i="5"/>
  <c r="AI95" i="5"/>
  <c r="AI96" i="5"/>
  <c r="AI97" i="5"/>
  <c r="AI98" i="5"/>
  <c r="AI99" i="5"/>
  <c r="AI100" i="5"/>
  <c r="AI101" i="5"/>
  <c r="AI102" i="5"/>
  <c r="AI103" i="5"/>
  <c r="AL6" i="5"/>
  <c r="AI104" i="5"/>
  <c r="AI105" i="5"/>
  <c r="AI106" i="5"/>
  <c r="AI107" i="5"/>
  <c r="AI108" i="5"/>
  <c r="AI109" i="5"/>
  <c r="AI117" i="5"/>
  <c r="AI118" i="5"/>
  <c r="AI119" i="5"/>
  <c r="AI120" i="5"/>
  <c r="AI121" i="5"/>
  <c r="AI122" i="5"/>
  <c r="AI123" i="5"/>
  <c r="AI124" i="5"/>
  <c r="AI125" i="5"/>
  <c r="AI126" i="5"/>
  <c r="AI127" i="5"/>
  <c r="AI128" i="5"/>
  <c r="AI129" i="5"/>
  <c r="AI130" i="5"/>
  <c r="AI131" i="5"/>
  <c r="AI132" i="5"/>
  <c r="AI133" i="5"/>
  <c r="AI134" i="5"/>
  <c r="AI135" i="5"/>
  <c r="AI136" i="5"/>
  <c r="AI137" i="5"/>
  <c r="AI138" i="5"/>
  <c r="AI139" i="5"/>
  <c r="AI142" i="5"/>
  <c r="AI143" i="5"/>
  <c r="AI144" i="5"/>
  <c r="AI145" i="5"/>
  <c r="AI146" i="5"/>
  <c r="AI147" i="5"/>
  <c r="AI148" i="5"/>
  <c r="AI149" i="5"/>
  <c r="AI150" i="5"/>
  <c r="AI151" i="5"/>
  <c r="AI154" i="5"/>
  <c r="AI155" i="5"/>
  <c r="AI156" i="5"/>
  <c r="AI157" i="5"/>
  <c r="AI158" i="5"/>
  <c r="AI159" i="5"/>
  <c r="AI160" i="5"/>
  <c r="AI161" i="5"/>
  <c r="AI162" i="5"/>
  <c r="AI163" i="5"/>
  <c r="AI164" i="5"/>
  <c r="AI167" i="5"/>
  <c r="AI168" i="5"/>
  <c r="AI169" i="5"/>
  <c r="AI171" i="5"/>
  <c r="AI172" i="5"/>
  <c r="AI236" i="5"/>
  <c r="AI241" i="5"/>
  <c r="AI242" i="5"/>
  <c r="AI243" i="5"/>
  <c r="AI244" i="5"/>
  <c r="AI245" i="5"/>
  <c r="AI246" i="5"/>
  <c r="AI247" i="5"/>
  <c r="AI248" i="5"/>
  <c r="AI250" i="5"/>
  <c r="AI251" i="5"/>
  <c r="AI265" i="5"/>
  <c r="AI268" i="5"/>
  <c r="AI269" i="5"/>
  <c r="AI272" i="5"/>
  <c r="AI274" i="5"/>
  <c r="AI275" i="5"/>
  <c r="AI276" i="5"/>
  <c r="AI277" i="5"/>
  <c r="AI278" i="5"/>
  <c r="AI279" i="5"/>
  <c r="AI280" i="5"/>
  <c r="AI290" i="5"/>
  <c r="AI293" i="5"/>
  <c r="AI295" i="5"/>
  <c r="AI296" i="5"/>
  <c r="AI297" i="5"/>
  <c r="AI298" i="5"/>
  <c r="AI299" i="5"/>
  <c r="AM6" i="5"/>
  <c r="AI321" i="5"/>
  <c r="AI322" i="5"/>
  <c r="AI355" i="5"/>
  <c r="AI356" i="5"/>
  <c r="AI357" i="5"/>
  <c r="AI358" i="5"/>
  <c r="AI359" i="5"/>
  <c r="AI360" i="5"/>
  <c r="AI361" i="5"/>
  <c r="AI362" i="5"/>
  <c r="AI363" i="5"/>
  <c r="AI364" i="5"/>
  <c r="AI365" i="5"/>
  <c r="AI372" i="5"/>
  <c r="AI373" i="5"/>
  <c r="AI374" i="5"/>
  <c r="AI375" i="5"/>
  <c r="AI376" i="5"/>
  <c r="AI377" i="5"/>
  <c r="AI378" i="5"/>
  <c r="AI379" i="5"/>
  <c r="AI380" i="5"/>
  <c r="AI381" i="5"/>
  <c r="AI382" i="5"/>
  <c r="AI383" i="5"/>
  <c r="AI384" i="5"/>
  <c r="AI385" i="5"/>
  <c r="AI386" i="5"/>
  <c r="AI387" i="5"/>
  <c r="AI388" i="5"/>
  <c r="AI400" i="5"/>
  <c r="AI401" i="5"/>
  <c r="AI402" i="5"/>
  <c r="AI403" i="5"/>
  <c r="AI445" i="5"/>
  <c r="AI446" i="5"/>
  <c r="AI447" i="5"/>
  <c r="AI448" i="5"/>
  <c r="AI460" i="5"/>
  <c r="AI462" i="5"/>
  <c r="AI466" i="5"/>
  <c r="AI467" i="5"/>
  <c r="AI468" i="5"/>
  <c r="AI471" i="5"/>
  <c r="AI473" i="5"/>
  <c r="AI474" i="5"/>
  <c r="AI475" i="5"/>
  <c r="AI476" i="5"/>
  <c r="AI477" i="5"/>
  <c r="AI478" i="5"/>
  <c r="AI479" i="5"/>
  <c r="AI480" i="5"/>
  <c r="AI483" i="5"/>
  <c r="AI484" i="5"/>
  <c r="AI485" i="5"/>
  <c r="AI486" i="5"/>
  <c r="AI487" i="5"/>
  <c r="AI491" i="5"/>
  <c r="AI492" i="5"/>
  <c r="AI493" i="5"/>
  <c r="AI494" i="5"/>
  <c r="AI495" i="5"/>
  <c r="AI496" i="5"/>
  <c r="AI497" i="5"/>
  <c r="AI498" i="5"/>
  <c r="AI502" i="5"/>
  <c r="AI503" i="5"/>
  <c r="AI504" i="5"/>
  <c r="AI505" i="5"/>
  <c r="AI506" i="5"/>
  <c r="AI507" i="5"/>
  <c r="AI508" i="5"/>
  <c r="AI509" i="5"/>
  <c r="AI510" i="5"/>
  <c r="AI511" i="5"/>
  <c r="AI518" i="5"/>
  <c r="AI519" i="5"/>
  <c r="AI520" i="5"/>
  <c r="AI521" i="5"/>
  <c r="AI522" i="5"/>
  <c r="AI523" i="5"/>
  <c r="AI525" i="5"/>
  <c r="AI526" i="5"/>
  <c r="AI527" i="5"/>
  <c r="AI528" i="5"/>
  <c r="AI529" i="5"/>
  <c r="AI530" i="5"/>
  <c r="AI532" i="5"/>
  <c r="AI533" i="5"/>
  <c r="AI534" i="5"/>
  <c r="AI536" i="5"/>
  <c r="AI537" i="5"/>
  <c r="AI538" i="5"/>
  <c r="AI540" i="5"/>
  <c r="AI543" i="5"/>
  <c r="AI544" i="5"/>
  <c r="AI545" i="5"/>
  <c r="AI546" i="5"/>
  <c r="AI547" i="5"/>
  <c r="AI549" i="5"/>
  <c r="AI550" i="5"/>
  <c r="AI551" i="5"/>
  <c r="AI552" i="5"/>
  <c r="AI553" i="5"/>
  <c r="AI557" i="5"/>
  <c r="AI560" i="5"/>
  <c r="AI561" i="5"/>
  <c r="AI562" i="5"/>
  <c r="AI563" i="5"/>
  <c r="AI564" i="5"/>
  <c r="AI565" i="5"/>
  <c r="AI566" i="5"/>
  <c r="AI567" i="5"/>
  <c r="AI568" i="5"/>
  <c r="AI569" i="5"/>
  <c r="AI570" i="5"/>
  <c r="AI571" i="5"/>
  <c r="AI572" i="5"/>
  <c r="AI573" i="5"/>
  <c r="AI574" i="5"/>
  <c r="AI575" i="5"/>
  <c r="AI576" i="5"/>
  <c r="AI577" i="5"/>
  <c r="AI578" i="5"/>
  <c r="AI579" i="5"/>
  <c r="AI580" i="5"/>
  <c r="AI581" i="5"/>
  <c r="AI582" i="5"/>
  <c r="AI584" i="5"/>
  <c r="AI594" i="5"/>
  <c r="AI595" i="5"/>
  <c r="AI597" i="5"/>
  <c r="AI598" i="5"/>
  <c r="AI599" i="5"/>
  <c r="AI600" i="5"/>
  <c r="AI602" i="5"/>
  <c r="AI603" i="5"/>
  <c r="AI604" i="5"/>
  <c r="AN6" i="5"/>
  <c r="AI606" i="5"/>
  <c r="AI608" i="5"/>
  <c r="AI609" i="5"/>
  <c r="AI610" i="5"/>
  <c r="AI611" i="5"/>
  <c r="AI612" i="5"/>
  <c r="AI613" i="5"/>
  <c r="AI614" i="5"/>
  <c r="AI615" i="5"/>
  <c r="AI627" i="5"/>
  <c r="AI628" i="5"/>
  <c r="AI629" i="5"/>
  <c r="AI630" i="5"/>
  <c r="AI631" i="5"/>
  <c r="AI632" i="5"/>
  <c r="AI633" i="5"/>
  <c r="AI634" i="5"/>
  <c r="AI635" i="5"/>
  <c r="AI636" i="5"/>
  <c r="AI647" i="5"/>
  <c r="AI648" i="5"/>
  <c r="AI649" i="5"/>
  <c r="AI650" i="5"/>
  <c r="AI651" i="5"/>
  <c r="AI652" i="5"/>
  <c r="AI653" i="5"/>
  <c r="AI654" i="5"/>
  <c r="AI690" i="5"/>
  <c r="AI691" i="5"/>
  <c r="AI692" i="5"/>
  <c r="AI693" i="5"/>
  <c r="AI694" i="5"/>
  <c r="AI695" i="5"/>
  <c r="AI697" i="5"/>
  <c r="AI698" i="5"/>
  <c r="AO6" i="5"/>
  <c r="AJ6" i="5"/>
  <c r="AK13" i="5"/>
  <c r="AH1183" i="5"/>
  <c r="AI1183" i="5"/>
  <c r="AH1172" i="5"/>
  <c r="AI1172" i="5"/>
  <c r="AH1173" i="5"/>
  <c r="AI1173" i="5"/>
  <c r="AH1174" i="5"/>
  <c r="AI1174" i="5"/>
  <c r="AH1175" i="5"/>
  <c r="AI1175" i="5"/>
  <c r="AH1176" i="5"/>
  <c r="AI1176" i="5"/>
  <c r="AH1177" i="5"/>
  <c r="AI1177" i="5"/>
  <c r="AH1178" i="5"/>
  <c r="AI1178" i="5"/>
  <c r="AH1179" i="5"/>
  <c r="AI1179" i="5"/>
  <c r="AH1180" i="5"/>
  <c r="AI1180" i="5"/>
  <c r="AH1161" i="5"/>
  <c r="AI1161" i="5"/>
  <c r="AH1162" i="5"/>
  <c r="AI1162" i="5"/>
  <c r="AH1163" i="5"/>
  <c r="AI1163" i="5"/>
  <c r="AH1164" i="5"/>
  <c r="AI1164" i="5"/>
  <c r="AH1165" i="5"/>
  <c r="AI1165" i="5"/>
  <c r="AH1166" i="5"/>
  <c r="AI1166" i="5"/>
  <c r="AH1167" i="5"/>
  <c r="AI1167" i="5"/>
  <c r="AH1168" i="5"/>
  <c r="AI1168" i="5"/>
  <c r="AH1151" i="5"/>
  <c r="AI1151" i="5"/>
  <c r="AH1152" i="5"/>
  <c r="AI1152" i="5"/>
  <c r="AH1153" i="5"/>
  <c r="AI1153" i="5"/>
  <c r="AH1154" i="5"/>
  <c r="AI1154" i="5"/>
  <c r="AH1155" i="5"/>
  <c r="AI1155" i="5"/>
  <c r="AH1156" i="5"/>
  <c r="AI1156" i="5"/>
  <c r="AH1157" i="5"/>
  <c r="AI1157" i="5"/>
  <c r="AH1137" i="5"/>
  <c r="AI1137" i="5"/>
  <c r="AH1138" i="5"/>
  <c r="AI1138" i="5"/>
  <c r="AH1139" i="5"/>
  <c r="AI1139" i="5"/>
  <c r="AH1140" i="5"/>
  <c r="AI1140" i="5"/>
  <c r="AH1141" i="5"/>
  <c r="AI1141" i="5"/>
  <c r="AH1142" i="5"/>
  <c r="AI1142" i="5"/>
  <c r="AH1143" i="5"/>
  <c r="AI1143" i="5"/>
  <c r="AH1144" i="5"/>
  <c r="AI1144" i="5"/>
  <c r="AH1145" i="5"/>
  <c r="AI1145" i="5"/>
  <c r="AH1146" i="5"/>
  <c r="AI1146" i="5"/>
  <c r="AH1147" i="5"/>
  <c r="AI1147" i="5"/>
  <c r="AH1104" i="5"/>
  <c r="AI1104" i="5"/>
  <c r="AH1105" i="5"/>
  <c r="AI1105" i="5"/>
  <c r="AH1106" i="5"/>
  <c r="AI1106" i="5"/>
  <c r="AH1107" i="5"/>
  <c r="AI1107" i="5"/>
  <c r="AH1108" i="5"/>
  <c r="AI1108" i="5"/>
  <c r="AH1109" i="5"/>
  <c r="AI1109" i="5"/>
  <c r="AH1110" i="5"/>
  <c r="AI1110" i="5"/>
  <c r="AH1111" i="5"/>
  <c r="AI1111" i="5"/>
  <c r="AH1112" i="5"/>
  <c r="AI1112" i="5"/>
  <c r="AH1113" i="5"/>
  <c r="AI1113" i="5"/>
  <c r="AH1114" i="5"/>
  <c r="AI1114" i="5"/>
  <c r="AH1115" i="5"/>
  <c r="AI1115" i="5"/>
  <c r="AH1116" i="5"/>
  <c r="AI1116" i="5"/>
  <c r="AH1117" i="5"/>
  <c r="AI1117" i="5"/>
  <c r="AH1118" i="5"/>
  <c r="AI1118" i="5"/>
  <c r="AH1119" i="5"/>
  <c r="AI1119" i="5"/>
  <c r="AH1120" i="5"/>
  <c r="AI1120" i="5"/>
  <c r="AH1121" i="5"/>
  <c r="AI1121" i="5"/>
  <c r="AH1122" i="5"/>
  <c r="AI1122" i="5"/>
  <c r="AH1123" i="5"/>
  <c r="AI1123" i="5"/>
  <c r="AH1124" i="5"/>
  <c r="AI1124" i="5"/>
  <c r="AH1125" i="5"/>
  <c r="AI1125" i="5"/>
  <c r="AH1126" i="5"/>
  <c r="AI1126" i="5"/>
  <c r="AH1127" i="5"/>
  <c r="AI1127" i="5"/>
  <c r="AH1128" i="5"/>
  <c r="AI1128" i="5"/>
  <c r="AH1129" i="5"/>
  <c r="AI1129" i="5"/>
  <c r="AH1130" i="5"/>
  <c r="AI1130" i="5"/>
  <c r="AH1131" i="5"/>
  <c r="AI1131" i="5"/>
  <c r="AH1132" i="5"/>
  <c r="AI1132" i="5"/>
  <c r="AH1133" i="5"/>
  <c r="AI1133" i="5"/>
  <c r="AH1134" i="5"/>
  <c r="AI1134" i="5"/>
  <c r="AH1135" i="5"/>
  <c r="AI1135" i="5"/>
  <c r="AH1083" i="5"/>
  <c r="AI1083" i="5"/>
  <c r="AH1084" i="5"/>
  <c r="AI1084" i="5"/>
  <c r="AH1085" i="5"/>
  <c r="AI1085" i="5"/>
  <c r="AH1086" i="5"/>
  <c r="AI1086" i="5"/>
  <c r="AH1087" i="5"/>
  <c r="AI1087" i="5"/>
  <c r="AH1088" i="5"/>
  <c r="AI1088" i="5"/>
  <c r="AH1089" i="5"/>
  <c r="AI1089" i="5"/>
  <c r="AH1090" i="5"/>
  <c r="AI1090" i="5"/>
  <c r="AH1091" i="5"/>
  <c r="AI1091" i="5"/>
  <c r="AH1092" i="5"/>
  <c r="AI1092" i="5"/>
  <c r="AH1093" i="5"/>
  <c r="AI1093" i="5"/>
  <c r="AH1094" i="5"/>
  <c r="AI1094" i="5"/>
  <c r="AH1095" i="5"/>
  <c r="AI1095" i="5"/>
  <c r="AH1096" i="5"/>
  <c r="AI1096" i="5"/>
  <c r="AH1097" i="5"/>
  <c r="AI1097" i="5"/>
  <c r="AH1098" i="5"/>
  <c r="AI1098" i="5"/>
  <c r="AH1099" i="5"/>
  <c r="AI1099" i="5"/>
  <c r="AH1100" i="5"/>
  <c r="AI1100" i="5"/>
  <c r="AH1101" i="5"/>
  <c r="AI1101" i="5"/>
  <c r="AH1064" i="5"/>
  <c r="AI1064" i="5"/>
  <c r="AH1065" i="5"/>
  <c r="AI1065" i="5"/>
  <c r="AH1066" i="5"/>
  <c r="AI1066" i="5"/>
  <c r="AH1067" i="5"/>
  <c r="AI1067" i="5"/>
  <c r="AH1068" i="5"/>
  <c r="AI1068" i="5"/>
  <c r="AH1069" i="5"/>
  <c r="AI1069" i="5"/>
  <c r="AH1070" i="5"/>
  <c r="AI1070" i="5"/>
  <c r="AH1071" i="5"/>
  <c r="AI1071" i="5"/>
  <c r="AH1072" i="5"/>
  <c r="AI1072" i="5"/>
  <c r="AH1073" i="5"/>
  <c r="AI1073" i="5"/>
  <c r="AH1074" i="5"/>
  <c r="AI1074" i="5"/>
  <c r="AH1075" i="5"/>
  <c r="AI1075" i="5"/>
  <c r="AH1076" i="5"/>
  <c r="AI1076" i="5"/>
  <c r="AH1077" i="5"/>
  <c r="AI1077" i="5"/>
  <c r="AH1078" i="5"/>
  <c r="AI1078" i="5"/>
  <c r="AH1079" i="5"/>
  <c r="AI1079" i="5"/>
  <c r="AH1080" i="5"/>
  <c r="AI1080" i="5"/>
  <c r="AH1040" i="5"/>
  <c r="AI1040" i="5"/>
  <c r="AH1041" i="5"/>
  <c r="AI1041" i="5"/>
  <c r="AH1042" i="5"/>
  <c r="AI1042" i="5"/>
  <c r="AH1043" i="5"/>
  <c r="AI1043" i="5"/>
  <c r="AH1044" i="5"/>
  <c r="AI1044" i="5"/>
  <c r="AH1045" i="5"/>
  <c r="AI1045" i="5"/>
  <c r="AH1046" i="5"/>
  <c r="AI1046" i="5"/>
  <c r="AH1047" i="5"/>
  <c r="AI1047" i="5"/>
  <c r="AH1048" i="5"/>
  <c r="AI1048" i="5"/>
  <c r="AH1049" i="5"/>
  <c r="AI1049" i="5"/>
  <c r="AH1016" i="5"/>
  <c r="AI1016" i="5"/>
  <c r="AH1017" i="5"/>
  <c r="AI1017" i="5"/>
  <c r="AH1018" i="5"/>
  <c r="AI1018" i="5"/>
  <c r="AH1019" i="5"/>
  <c r="AI1019" i="5"/>
  <c r="AH1020" i="5"/>
  <c r="AI1020" i="5"/>
  <c r="AH1021" i="5"/>
  <c r="AI1021" i="5"/>
  <c r="AH1022" i="5"/>
  <c r="AI1022" i="5"/>
  <c r="AH1023" i="5"/>
  <c r="AI1023" i="5"/>
  <c r="AH1024" i="5"/>
  <c r="AI1024" i="5"/>
  <c r="AH1025" i="5"/>
  <c r="AI1025" i="5"/>
  <c r="AH971" i="5"/>
  <c r="AI971" i="5"/>
  <c r="AH972" i="5"/>
  <c r="AI972" i="5"/>
  <c r="AH973" i="5"/>
  <c r="AI973" i="5"/>
  <c r="AH974" i="5"/>
  <c r="AI974" i="5"/>
  <c r="AH975" i="5"/>
  <c r="AI975" i="5"/>
  <c r="AH976" i="5"/>
  <c r="AI976" i="5"/>
  <c r="AH977" i="5"/>
  <c r="AI977" i="5"/>
  <c r="AH978" i="5"/>
  <c r="AI978" i="5"/>
  <c r="AH979" i="5"/>
  <c r="AI979" i="5"/>
  <c r="AH980" i="5"/>
  <c r="AI980" i="5"/>
  <c r="AH981" i="5"/>
  <c r="AI981" i="5"/>
  <c r="AH982" i="5"/>
  <c r="AI982" i="5"/>
  <c r="AH983" i="5"/>
  <c r="AI983" i="5"/>
  <c r="AH969" i="5"/>
  <c r="AI969" i="5"/>
  <c r="AH949" i="5"/>
  <c r="AI949" i="5"/>
  <c r="AH950" i="5"/>
  <c r="AI950" i="5"/>
  <c r="AH951" i="5"/>
  <c r="AI951" i="5"/>
  <c r="AH952" i="5"/>
  <c r="AI952" i="5"/>
  <c r="AH953" i="5"/>
  <c r="AI953" i="5"/>
  <c r="AH954" i="5"/>
  <c r="AI954" i="5"/>
  <c r="AH955" i="5"/>
  <c r="AI955" i="5"/>
  <c r="AH956" i="5"/>
  <c r="AI956" i="5"/>
  <c r="AH957" i="5"/>
  <c r="AI957" i="5"/>
  <c r="AH958" i="5"/>
  <c r="AI958" i="5"/>
  <c r="AH959" i="5"/>
  <c r="AI959" i="5"/>
  <c r="AH960" i="5"/>
  <c r="AI960" i="5"/>
  <c r="AH961" i="5"/>
  <c r="AI961" i="5"/>
  <c r="AH962" i="5"/>
  <c r="AI962" i="5"/>
  <c r="AH963" i="5"/>
  <c r="AI963" i="5"/>
  <c r="AH964" i="5"/>
  <c r="AI964" i="5"/>
  <c r="AH965" i="5"/>
  <c r="AI965" i="5"/>
  <c r="AH966" i="5"/>
  <c r="AI966" i="5"/>
  <c r="AH967" i="5"/>
  <c r="AI967" i="5"/>
  <c r="AH942" i="5"/>
  <c r="AI942" i="5"/>
  <c r="AH943" i="5"/>
  <c r="AI943" i="5"/>
  <c r="AH944" i="5"/>
  <c r="AI944" i="5"/>
  <c r="AH945" i="5"/>
  <c r="AI945" i="5"/>
  <c r="AH946" i="5"/>
  <c r="AI946" i="5"/>
  <c r="AH947" i="5"/>
  <c r="AI947" i="5"/>
  <c r="AH915" i="5"/>
  <c r="AI915" i="5"/>
  <c r="AH916" i="5"/>
  <c r="AI916" i="5"/>
  <c r="AH917" i="5"/>
  <c r="AI917" i="5"/>
  <c r="AH918" i="5"/>
  <c r="AI918" i="5"/>
  <c r="AH919" i="5"/>
  <c r="AI919" i="5"/>
  <c r="AH920" i="5"/>
  <c r="AI920" i="5"/>
  <c r="AH921" i="5"/>
  <c r="AI921" i="5"/>
  <c r="AH922" i="5"/>
  <c r="AI922" i="5"/>
  <c r="AH923" i="5"/>
  <c r="AI923" i="5"/>
  <c r="AH924" i="5"/>
  <c r="AI924" i="5"/>
  <c r="AH925" i="5"/>
  <c r="AI925" i="5"/>
  <c r="AH926" i="5"/>
  <c r="AI926" i="5"/>
  <c r="AH927" i="5"/>
  <c r="AI927" i="5"/>
  <c r="AH928" i="5"/>
  <c r="AI928" i="5"/>
  <c r="AH929" i="5"/>
  <c r="AI929" i="5"/>
  <c r="AH930" i="5"/>
  <c r="AI930" i="5"/>
  <c r="AH931" i="5"/>
  <c r="AI931" i="5"/>
  <c r="AH932" i="5"/>
  <c r="AI932" i="5"/>
  <c r="AH888" i="5"/>
  <c r="AI888" i="5"/>
  <c r="AH889" i="5"/>
  <c r="AI889" i="5"/>
  <c r="AH890" i="5"/>
  <c r="AI890" i="5"/>
  <c r="AH891" i="5"/>
  <c r="AI891" i="5"/>
  <c r="AH892" i="5"/>
  <c r="AI892" i="5"/>
  <c r="AH893" i="5"/>
  <c r="AI893" i="5"/>
  <c r="AH894" i="5"/>
  <c r="AI894" i="5"/>
  <c r="AH895" i="5"/>
  <c r="AI895" i="5"/>
  <c r="AH896" i="5"/>
  <c r="AI896" i="5"/>
  <c r="AH897" i="5"/>
  <c r="AI897" i="5"/>
  <c r="AH898" i="5"/>
  <c r="AI898" i="5"/>
  <c r="AH899" i="5"/>
  <c r="AI899" i="5"/>
  <c r="AH900" i="5"/>
  <c r="AI900" i="5"/>
  <c r="AH901" i="5"/>
  <c r="AI901" i="5"/>
  <c r="AH902" i="5"/>
  <c r="AI902" i="5"/>
  <c r="AH903" i="5"/>
  <c r="AI903" i="5"/>
  <c r="AH904" i="5"/>
  <c r="AI904" i="5"/>
  <c r="AH905" i="5"/>
  <c r="AI905" i="5"/>
  <c r="AH906" i="5"/>
  <c r="AI906" i="5"/>
  <c r="AH907" i="5"/>
  <c r="AI907" i="5"/>
  <c r="AH874" i="5"/>
  <c r="AI874" i="5"/>
  <c r="AH875" i="5"/>
  <c r="AI875" i="5"/>
  <c r="AH876" i="5"/>
  <c r="AI876" i="5"/>
  <c r="AH877" i="5"/>
  <c r="AI877" i="5"/>
  <c r="AH867" i="5"/>
  <c r="AI867" i="5"/>
  <c r="AH868" i="5"/>
  <c r="AI868" i="5"/>
  <c r="AH869" i="5"/>
  <c r="AI869" i="5"/>
  <c r="AH870" i="5"/>
  <c r="AI870" i="5"/>
  <c r="AH871" i="5"/>
  <c r="AI871" i="5"/>
  <c r="AH861" i="5"/>
  <c r="AI861" i="5"/>
  <c r="AH843" i="5"/>
  <c r="AI843" i="5"/>
  <c r="AH844" i="5"/>
  <c r="AI844" i="5"/>
  <c r="AH837" i="5"/>
  <c r="AI837" i="5"/>
  <c r="AH838" i="5"/>
  <c r="AI838" i="5"/>
  <c r="AH839" i="5"/>
  <c r="AI839" i="5"/>
  <c r="AH840" i="5"/>
  <c r="AI840" i="5"/>
  <c r="AH841" i="5"/>
  <c r="AI841" i="5"/>
  <c r="AH835" i="5"/>
  <c r="AI835" i="5"/>
  <c r="AH825" i="5"/>
  <c r="AI825" i="5"/>
  <c r="AH826" i="5"/>
  <c r="AI826" i="5"/>
  <c r="AH814" i="5"/>
  <c r="AI814" i="5"/>
  <c r="AH815" i="5"/>
  <c r="AI815" i="5"/>
  <c r="AH816" i="5"/>
  <c r="AI816" i="5"/>
  <c r="AH817" i="5"/>
  <c r="AI817" i="5"/>
  <c r="AH818" i="5"/>
  <c r="AI818" i="5"/>
  <c r="AH819" i="5"/>
  <c r="AI819" i="5"/>
  <c r="AH820" i="5"/>
  <c r="AI820" i="5"/>
  <c r="AH810" i="5"/>
  <c r="AI810" i="5"/>
  <c r="AH811" i="5"/>
  <c r="AI811" i="5"/>
  <c r="AH812" i="5"/>
  <c r="AI812" i="5"/>
  <c r="AH806" i="5"/>
  <c r="AI806" i="5"/>
  <c r="AH807" i="5"/>
  <c r="AI807" i="5"/>
  <c r="AH808" i="5"/>
  <c r="AI808" i="5"/>
  <c r="AH787" i="5"/>
  <c r="AI787" i="5"/>
  <c r="AH788" i="5"/>
  <c r="AI788" i="5"/>
  <c r="AH789" i="5"/>
  <c r="AI789" i="5"/>
  <c r="AH790" i="5"/>
  <c r="AI790" i="5"/>
  <c r="AH791" i="5"/>
  <c r="AI791" i="5"/>
  <c r="AH792" i="5"/>
  <c r="AI792" i="5"/>
  <c r="AH793" i="5"/>
  <c r="AI793" i="5"/>
  <c r="AH794" i="5"/>
  <c r="AI794" i="5"/>
  <c r="AH795" i="5"/>
  <c r="AI795" i="5"/>
  <c r="AH796" i="5"/>
  <c r="AI796" i="5"/>
  <c r="AH784" i="5"/>
  <c r="AI784" i="5"/>
  <c r="AH785" i="5"/>
  <c r="AI785" i="5"/>
  <c r="AH780" i="5"/>
  <c r="AI780" i="5"/>
  <c r="AH781" i="5"/>
  <c r="AI781" i="5"/>
  <c r="AH782" i="5"/>
  <c r="AI782" i="5"/>
  <c r="AH778" i="5"/>
  <c r="AI778" i="5"/>
  <c r="AH772" i="5"/>
  <c r="AI772" i="5"/>
  <c r="AH773" i="5"/>
  <c r="AI773" i="5"/>
  <c r="AH774" i="5"/>
  <c r="AI774" i="5"/>
  <c r="AH775" i="5"/>
  <c r="AI775" i="5"/>
  <c r="AH776" i="5"/>
  <c r="AI776" i="5"/>
  <c r="AH759" i="5"/>
  <c r="AI759" i="5"/>
  <c r="AH760" i="5"/>
  <c r="AI760" i="5"/>
  <c r="AH761" i="5"/>
  <c r="AI761" i="5"/>
  <c r="AH762" i="5"/>
  <c r="AI762" i="5"/>
  <c r="AH763" i="5"/>
  <c r="AI763" i="5"/>
  <c r="AH764" i="5"/>
  <c r="AI764" i="5"/>
  <c r="AH765" i="5"/>
  <c r="AI765" i="5"/>
  <c r="AH766" i="5"/>
  <c r="AI766" i="5"/>
  <c r="AH767" i="5"/>
  <c r="AI767" i="5"/>
  <c r="AH768" i="5"/>
  <c r="AI768" i="5"/>
  <c r="AH769" i="5"/>
  <c r="AI769" i="5"/>
  <c r="AH747" i="5"/>
  <c r="AI747" i="5"/>
  <c r="AH748" i="5"/>
  <c r="AI748" i="5"/>
  <c r="AH749" i="5"/>
  <c r="AI749" i="5"/>
  <c r="AH750" i="5"/>
  <c r="AI750" i="5"/>
  <c r="AH751" i="5"/>
  <c r="AI751" i="5"/>
  <c r="AH752" i="5"/>
  <c r="AI752" i="5"/>
  <c r="AH753" i="5"/>
  <c r="AI753" i="5"/>
  <c r="AH754" i="5"/>
  <c r="AI754" i="5"/>
  <c r="AH755" i="5"/>
  <c r="AI755" i="5"/>
  <c r="AH756" i="5"/>
  <c r="AI756" i="5"/>
  <c r="AH757" i="5"/>
  <c r="AI757" i="5"/>
  <c r="AH742" i="5"/>
  <c r="AI742" i="5"/>
  <c r="AH738" i="5"/>
  <c r="AI738" i="5"/>
  <c r="AH723" i="5"/>
  <c r="AI723" i="5"/>
  <c r="AH724" i="5"/>
  <c r="AI724" i="5"/>
  <c r="AH725" i="5"/>
  <c r="AI725" i="5"/>
  <c r="AH726" i="5"/>
  <c r="AI726" i="5"/>
  <c r="AH727" i="5"/>
  <c r="AI727" i="5"/>
  <c r="AH728" i="5"/>
  <c r="AI728" i="5"/>
  <c r="AH729" i="5"/>
  <c r="AI729" i="5"/>
  <c r="AH730" i="5"/>
  <c r="AI730" i="5"/>
  <c r="AH731" i="5"/>
  <c r="AI731" i="5"/>
  <c r="AH718" i="5"/>
  <c r="AI718" i="5"/>
  <c r="AH719" i="5"/>
  <c r="AI719" i="5"/>
  <c r="AH720" i="5"/>
  <c r="AI720" i="5"/>
  <c r="AH713" i="5"/>
  <c r="AI713" i="5"/>
  <c r="AH697" i="5"/>
  <c r="AH698" i="5"/>
  <c r="AH699" i="5"/>
  <c r="AI699" i="5"/>
  <c r="AH700" i="5"/>
  <c r="AI700" i="5"/>
  <c r="AH701" i="5"/>
  <c r="AI701" i="5"/>
  <c r="AH702" i="5"/>
  <c r="AI702" i="5"/>
  <c r="AH703" i="5"/>
  <c r="AI703" i="5"/>
  <c r="AH704" i="5"/>
  <c r="AI704" i="5"/>
  <c r="AH705" i="5"/>
  <c r="AI705" i="5"/>
  <c r="AH706" i="5"/>
  <c r="AI706" i="5"/>
  <c r="AH707" i="5"/>
  <c r="AI707" i="5"/>
  <c r="AH708" i="5"/>
  <c r="AI708" i="5"/>
  <c r="AH709" i="5"/>
  <c r="AI709" i="5"/>
  <c r="AH710" i="5"/>
  <c r="AI710" i="5"/>
  <c r="AH711" i="5"/>
  <c r="AI711" i="5"/>
  <c r="AH690" i="5"/>
  <c r="AH691" i="5"/>
  <c r="AH692" i="5"/>
  <c r="AH693" i="5"/>
  <c r="AH694" i="5"/>
  <c r="AH695" i="5"/>
  <c r="AC1178" i="5"/>
  <c r="AC1174" i="5"/>
  <c r="AC1172" i="5"/>
  <c r="G1035" i="11"/>
  <c r="G1034" i="11"/>
  <c r="G1033" i="11"/>
  <c r="H1035" i="11" s="1"/>
  <c r="G1032" i="11"/>
  <c r="G1031" i="11"/>
  <c r="G1030" i="11"/>
  <c r="G1029" i="11"/>
  <c r="G1028" i="11"/>
  <c r="H1034" i="11" s="1"/>
  <c r="G1027" i="11"/>
  <c r="G1026" i="11"/>
  <c r="G1025" i="11"/>
  <c r="G1024" i="11"/>
  <c r="G1023" i="11"/>
  <c r="K322" i="8"/>
  <c r="L322" i="8"/>
  <c r="M322" i="8"/>
  <c r="N322" i="8"/>
  <c r="K321" i="8"/>
  <c r="L321" i="8"/>
  <c r="N321" i="8"/>
  <c r="AD1183" i="5"/>
  <c r="AC1183" i="5"/>
  <c r="AC1157" i="5"/>
  <c r="AC1155" i="5"/>
  <c r="AC1154" i="5"/>
  <c r="AC1163" i="5"/>
  <c r="AC1165" i="5"/>
  <c r="AC1168" i="5"/>
  <c r="AC1153" i="5"/>
  <c r="AC1152" i="5"/>
  <c r="G1000" i="11"/>
  <c r="G1001" i="11"/>
  <c r="G1002" i="11"/>
  <c r="B264" i="1"/>
  <c r="D264" i="1"/>
  <c r="E264" i="1"/>
  <c r="F264" i="1"/>
  <c r="G264" i="1"/>
  <c r="H264" i="1"/>
  <c r="I264" i="1"/>
  <c r="B265" i="1"/>
  <c r="D265" i="1"/>
  <c r="E265" i="1"/>
  <c r="F265" i="1"/>
  <c r="G265" i="1"/>
  <c r="H265" i="1"/>
  <c r="I265" i="1"/>
  <c r="B266" i="1"/>
  <c r="D266" i="1"/>
  <c r="E266" i="1"/>
  <c r="F266" i="1"/>
  <c r="G266" i="1"/>
  <c r="H266" i="1"/>
  <c r="I266" i="1"/>
  <c r="B267" i="1"/>
  <c r="D267" i="1"/>
  <c r="E267" i="1"/>
  <c r="F267" i="1"/>
  <c r="G267" i="1"/>
  <c r="H267" i="1"/>
  <c r="I267" i="1"/>
  <c r="B268" i="1"/>
  <c r="D268" i="1"/>
  <c r="E268" i="1"/>
  <c r="F268" i="1"/>
  <c r="G268" i="1"/>
  <c r="H268" i="1"/>
  <c r="I268" i="1"/>
  <c r="B269" i="1"/>
  <c r="D269" i="1"/>
  <c r="E269" i="1"/>
  <c r="F269" i="1"/>
  <c r="G269" i="1"/>
  <c r="H269" i="1"/>
  <c r="I269" i="1"/>
  <c r="B270" i="1"/>
  <c r="D270" i="1"/>
  <c r="E270" i="1"/>
  <c r="F270" i="1"/>
  <c r="G270" i="1"/>
  <c r="H270" i="1"/>
  <c r="I270" i="1"/>
  <c r="B271" i="1"/>
  <c r="D271" i="1"/>
  <c r="E271" i="1"/>
  <c r="F271" i="1"/>
  <c r="G271" i="1"/>
  <c r="H271" i="1"/>
  <c r="I271" i="1"/>
  <c r="B272" i="1"/>
  <c r="D272" i="1"/>
  <c r="E272" i="1"/>
  <c r="F272" i="1"/>
  <c r="G272" i="1"/>
  <c r="H272" i="1"/>
  <c r="I272" i="1"/>
  <c r="B273" i="1"/>
  <c r="D273" i="1"/>
  <c r="E273" i="1"/>
  <c r="F273" i="1"/>
  <c r="G273" i="1"/>
  <c r="H273" i="1"/>
  <c r="I273" i="1"/>
  <c r="B274" i="1"/>
  <c r="D274" i="1"/>
  <c r="E274" i="1"/>
  <c r="F274" i="1"/>
  <c r="G274" i="1"/>
  <c r="H274" i="1"/>
  <c r="I274" i="1"/>
  <c r="B275" i="1"/>
  <c r="D275" i="1"/>
  <c r="E275" i="1"/>
  <c r="F275" i="1"/>
  <c r="G275" i="1"/>
  <c r="H275" i="1"/>
  <c r="I275" i="1"/>
  <c r="B276" i="1"/>
  <c r="D276" i="1"/>
  <c r="E276" i="1"/>
  <c r="F276" i="1"/>
  <c r="G276" i="1"/>
  <c r="H276" i="1"/>
  <c r="I276" i="1"/>
  <c r="B277" i="1"/>
  <c r="D277" i="1"/>
  <c r="E277" i="1"/>
  <c r="F277" i="1"/>
  <c r="G277" i="1"/>
  <c r="H277" i="1"/>
  <c r="I277" i="1"/>
  <c r="B278" i="1"/>
  <c r="I278" i="1"/>
  <c r="B251" i="1"/>
  <c r="D251" i="1"/>
  <c r="E251" i="1"/>
  <c r="F251" i="1"/>
  <c r="G251" i="1"/>
  <c r="H251" i="1"/>
  <c r="I251" i="1"/>
  <c r="B252" i="1"/>
  <c r="E252" i="1"/>
  <c r="B253" i="1"/>
  <c r="D253" i="1"/>
  <c r="E253" i="1"/>
  <c r="F253" i="1"/>
  <c r="G253" i="1"/>
  <c r="H253" i="1"/>
  <c r="I253" i="1"/>
  <c r="B254" i="1"/>
  <c r="E254" i="1"/>
  <c r="B255" i="1"/>
  <c r="D255" i="1"/>
  <c r="E255" i="1"/>
  <c r="F255" i="1"/>
  <c r="G255" i="1"/>
  <c r="H255" i="1"/>
  <c r="B256" i="1"/>
  <c r="D256" i="1"/>
  <c r="E256" i="1"/>
  <c r="F256" i="1"/>
  <c r="G256" i="1"/>
  <c r="H256" i="1"/>
  <c r="I256" i="1"/>
  <c r="B257" i="1"/>
  <c r="D257" i="1"/>
  <c r="E257" i="1"/>
  <c r="F257" i="1"/>
  <c r="G257" i="1"/>
  <c r="H257" i="1"/>
  <c r="I257" i="1"/>
  <c r="B258" i="1"/>
  <c r="D258" i="1"/>
  <c r="E258" i="1"/>
  <c r="F258" i="1"/>
  <c r="G258" i="1"/>
  <c r="H258" i="1"/>
  <c r="I258" i="1"/>
  <c r="B259" i="1"/>
  <c r="G1013" i="11"/>
  <c r="G1014" i="11"/>
  <c r="G1015" i="11"/>
  <c r="G1016" i="11"/>
  <c r="G1017" i="11"/>
  <c r="G1018" i="11"/>
  <c r="D259" i="1"/>
  <c r="E259" i="1"/>
  <c r="H259" i="1"/>
  <c r="B260" i="1"/>
  <c r="D260" i="1"/>
  <c r="E260" i="1"/>
  <c r="F260" i="1"/>
  <c r="G260" i="1"/>
  <c r="H260" i="1"/>
  <c r="I260" i="1"/>
  <c r="B261" i="1"/>
  <c r="D261" i="1"/>
  <c r="E261" i="1"/>
  <c r="F261" i="1"/>
  <c r="G261" i="1"/>
  <c r="H261" i="1"/>
  <c r="I261" i="1"/>
  <c r="B262" i="1"/>
  <c r="D262" i="1"/>
  <c r="E262" i="1"/>
  <c r="F262" i="1"/>
  <c r="G262" i="1"/>
  <c r="H262" i="1"/>
  <c r="I262" i="1"/>
  <c r="B263" i="1"/>
  <c r="D263" i="1"/>
  <c r="E263" i="1"/>
  <c r="F263" i="1"/>
  <c r="G263" i="1"/>
  <c r="H263" i="1"/>
  <c r="I263" i="1"/>
  <c r="G1010" i="11"/>
  <c r="G1011" i="11"/>
  <c r="G1012" i="11"/>
  <c r="G1019" i="11"/>
  <c r="G1020" i="11"/>
  <c r="G1021" i="11"/>
  <c r="G1022" i="11"/>
  <c r="G990" i="11"/>
  <c r="G991" i="11"/>
  <c r="G992" i="11"/>
  <c r="G993" i="11"/>
  <c r="G994" i="11"/>
  <c r="G995" i="11"/>
  <c r="G996" i="11"/>
  <c r="G997" i="11"/>
  <c r="G998" i="11"/>
  <c r="G999" i="11"/>
  <c r="G1003" i="11"/>
  <c r="G1004" i="11"/>
  <c r="G1005" i="11"/>
  <c r="G1006" i="11"/>
  <c r="G1007" i="11"/>
  <c r="G1008" i="11"/>
  <c r="G1009" i="11"/>
  <c r="G967" i="11"/>
  <c r="G968" i="11"/>
  <c r="G969" i="11"/>
  <c r="G970" i="11"/>
  <c r="G971" i="11"/>
  <c r="G972" i="11"/>
  <c r="G973" i="11"/>
  <c r="G974" i="11"/>
  <c r="G975" i="11"/>
  <c r="G976" i="11"/>
  <c r="G977" i="11"/>
  <c r="G978" i="11"/>
  <c r="G979" i="11"/>
  <c r="G980" i="11"/>
  <c r="G981" i="11"/>
  <c r="G982" i="11"/>
  <c r="G983" i="11"/>
  <c r="G984" i="11"/>
  <c r="G985" i="11"/>
  <c r="G986" i="11"/>
  <c r="G987" i="11"/>
  <c r="G988" i="11"/>
  <c r="G989" i="11"/>
  <c r="C1309" i="5"/>
  <c r="C1308" i="5"/>
  <c r="K317" i="8"/>
  <c r="L317" i="8"/>
  <c r="M317" i="8"/>
  <c r="N317" i="8"/>
  <c r="O317" i="8"/>
  <c r="O312" i="8"/>
  <c r="K315" i="8"/>
  <c r="L315" i="8"/>
  <c r="M315" i="8"/>
  <c r="N315" i="8"/>
  <c r="O315" i="8"/>
  <c r="P315" i="8"/>
  <c r="Q315" i="8"/>
  <c r="R315" i="8"/>
  <c r="S315" i="8"/>
  <c r="K316" i="8"/>
  <c r="L316" i="8"/>
  <c r="M316" i="8"/>
  <c r="N316" i="8"/>
  <c r="O316" i="8"/>
  <c r="P316" i="8"/>
  <c r="Q316" i="8"/>
  <c r="R316" i="8"/>
  <c r="S316" i="8"/>
  <c r="P317" i="8"/>
  <c r="Q317" i="8"/>
  <c r="R317" i="8"/>
  <c r="S317" i="8"/>
  <c r="K318" i="8"/>
  <c r="L318" i="8"/>
  <c r="M318" i="8"/>
  <c r="N318" i="8"/>
  <c r="O318" i="8"/>
  <c r="P318" i="8"/>
  <c r="Q318" i="8"/>
  <c r="R318" i="8"/>
  <c r="S318" i="8"/>
  <c r="K319" i="8"/>
  <c r="L319" i="8"/>
  <c r="M319" i="8"/>
  <c r="N319" i="8"/>
  <c r="O319" i="8"/>
  <c r="P319" i="8"/>
  <c r="Q319" i="8"/>
  <c r="R319" i="8"/>
  <c r="S319" i="8"/>
  <c r="K320" i="8"/>
  <c r="L320" i="8"/>
  <c r="M320" i="8"/>
  <c r="N320" i="8"/>
  <c r="O320" i="8"/>
  <c r="P320" i="8"/>
  <c r="Q320" i="8"/>
  <c r="R320" i="8"/>
  <c r="S320" i="8"/>
  <c r="G941" i="11"/>
  <c r="G942" i="11"/>
  <c r="G943" i="11"/>
  <c r="G944" i="11"/>
  <c r="G945" i="11"/>
  <c r="G946" i="11"/>
  <c r="G947" i="11"/>
  <c r="G948" i="11"/>
  <c r="G949" i="11"/>
  <c r="G950" i="11"/>
  <c r="G951" i="11"/>
  <c r="G952" i="11"/>
  <c r="G953" i="11"/>
  <c r="G954" i="11"/>
  <c r="G955" i="11"/>
  <c r="G956" i="11"/>
  <c r="G957" i="11"/>
  <c r="G958" i="11"/>
  <c r="G959" i="11"/>
  <c r="G960" i="11"/>
  <c r="G961" i="11"/>
  <c r="G962" i="11"/>
  <c r="G963" i="11"/>
  <c r="G964" i="11"/>
  <c r="G965" i="11"/>
  <c r="G966" i="11"/>
  <c r="G922" i="11"/>
  <c r="G923" i="11"/>
  <c r="G924" i="11"/>
  <c r="G925" i="11"/>
  <c r="G926" i="11"/>
  <c r="G927" i="11"/>
  <c r="G928" i="11"/>
  <c r="G929" i="11"/>
  <c r="G930" i="11"/>
  <c r="G931" i="11"/>
  <c r="G932" i="11"/>
  <c r="G933" i="11"/>
  <c r="G934" i="11"/>
  <c r="G935" i="11"/>
  <c r="G936" i="11"/>
  <c r="G937" i="11"/>
  <c r="G938" i="11"/>
  <c r="G939" i="11"/>
  <c r="G940" i="11"/>
  <c r="AC1151" i="5"/>
  <c r="AC1147" i="5"/>
  <c r="AC1106" i="5"/>
  <c r="AC1105" i="5"/>
  <c r="AC110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267" i="5"/>
  <c r="D1268" i="5"/>
  <c r="D1269" i="5"/>
  <c r="D1270" i="5"/>
  <c r="D1271" i="5"/>
  <c r="D1272" i="5"/>
  <c r="D1273" i="5"/>
  <c r="D1274" i="5"/>
  <c r="D1275" i="5"/>
  <c r="D1276" i="5"/>
  <c r="D1277" i="5"/>
  <c r="D1278" i="5"/>
  <c r="D1279" i="5"/>
  <c r="D1280" i="5"/>
  <c r="D1281" i="5"/>
  <c r="D1282" i="5"/>
  <c r="D1283" i="5"/>
  <c r="D1284" i="5"/>
  <c r="AC1128" i="5"/>
  <c r="AC1134" i="5"/>
  <c r="AC1129" i="5"/>
  <c r="AC1146" i="5"/>
  <c r="AC1145" i="5"/>
  <c r="AC1143" i="5"/>
  <c r="G907" i="11"/>
  <c r="G908" i="11"/>
  <c r="G909" i="11"/>
  <c r="G910" i="11"/>
  <c r="G911" i="11"/>
  <c r="G912" i="11"/>
  <c r="G913" i="11"/>
  <c r="G914" i="11"/>
  <c r="G915" i="11"/>
  <c r="G916" i="11"/>
  <c r="G917" i="11"/>
  <c r="G918" i="11"/>
  <c r="G919" i="11"/>
  <c r="G920" i="11"/>
  <c r="G921" i="11"/>
  <c r="D1262" i="5"/>
  <c r="D1263" i="5"/>
  <c r="D1264" i="5"/>
  <c r="D1265" i="5"/>
  <c r="D1266" i="5"/>
  <c r="K313" i="8"/>
  <c r="L313" i="8"/>
  <c r="M313" i="8"/>
  <c r="P313" i="8"/>
  <c r="Q313" i="8"/>
  <c r="R313" i="8"/>
  <c r="S313" i="8"/>
  <c r="K314" i="8"/>
  <c r="L314" i="8"/>
  <c r="M314" i="8"/>
  <c r="N314" i="8"/>
  <c r="P314" i="8"/>
  <c r="Q314" i="8"/>
  <c r="R314" i="8"/>
  <c r="S314" i="8"/>
  <c r="M321" i="8"/>
  <c r="O321" i="8"/>
  <c r="P321" i="8"/>
  <c r="Q321" i="8"/>
  <c r="R321" i="8"/>
  <c r="S321" i="8"/>
  <c r="O322" i="8"/>
  <c r="P322" i="8"/>
  <c r="Q322" i="8"/>
  <c r="R322" i="8"/>
  <c r="S322" i="8"/>
  <c r="P323" i="8"/>
  <c r="Q323" i="8"/>
  <c r="R323" i="8"/>
  <c r="S323" i="8"/>
  <c r="K324" i="8"/>
  <c r="L324" i="8"/>
  <c r="M324" i="8"/>
  <c r="N324" i="8"/>
  <c r="O324" i="8"/>
  <c r="P324" i="8"/>
  <c r="Q324" i="8"/>
  <c r="R324" i="8"/>
  <c r="S324" i="8"/>
  <c r="K325" i="8"/>
  <c r="L325" i="8"/>
  <c r="M325" i="8"/>
  <c r="N325" i="8"/>
  <c r="P325" i="8"/>
  <c r="Q325" i="8"/>
  <c r="R325" i="8"/>
  <c r="S325" i="8"/>
  <c r="K326" i="8"/>
  <c r="L326" i="8"/>
  <c r="M326" i="8"/>
  <c r="N326" i="8"/>
  <c r="O326" i="8"/>
  <c r="P326" i="8"/>
  <c r="Q326" i="8"/>
  <c r="R326" i="8"/>
  <c r="S326" i="8"/>
  <c r="O327" i="8"/>
  <c r="P327" i="8"/>
  <c r="Q327" i="8"/>
  <c r="K328" i="8"/>
  <c r="L328" i="8"/>
  <c r="M328" i="8"/>
  <c r="N328" i="8"/>
  <c r="O328" i="8"/>
  <c r="P328" i="8"/>
  <c r="Q328" i="8"/>
  <c r="R328" i="8"/>
  <c r="S328" i="8"/>
  <c r="K329" i="8"/>
  <c r="L329" i="8"/>
  <c r="M329" i="8"/>
  <c r="N329" i="8"/>
  <c r="O329" i="8"/>
  <c r="P329" i="8"/>
  <c r="Q329" i="8"/>
  <c r="R329" i="8"/>
  <c r="S329" i="8"/>
  <c r="K330" i="8"/>
  <c r="L330" i="8"/>
  <c r="M330" i="8"/>
  <c r="N330" i="8"/>
  <c r="O330" i="8"/>
  <c r="P330" i="8"/>
  <c r="Q330" i="8"/>
  <c r="R330" i="8"/>
  <c r="S330" i="8"/>
  <c r="K331" i="8"/>
  <c r="L331" i="8"/>
  <c r="M331" i="8"/>
  <c r="N331" i="8"/>
  <c r="O331" i="8"/>
  <c r="P331" i="8"/>
  <c r="Q331" i="8"/>
  <c r="R331" i="8"/>
  <c r="S331" i="8"/>
  <c r="K332" i="8"/>
  <c r="L332" i="8"/>
  <c r="M332" i="8"/>
  <c r="N332" i="8"/>
  <c r="O332" i="8"/>
  <c r="P332" i="8"/>
  <c r="Q332" i="8"/>
  <c r="R332" i="8"/>
  <c r="S332" i="8"/>
  <c r="K333" i="8"/>
  <c r="L333" i="8"/>
  <c r="M333" i="8"/>
  <c r="N333" i="8"/>
  <c r="P333" i="8"/>
  <c r="Q333" i="8"/>
  <c r="R333" i="8"/>
  <c r="S333" i="8"/>
  <c r="K334" i="8"/>
  <c r="L334" i="8"/>
  <c r="M334" i="8"/>
  <c r="N334" i="8"/>
  <c r="O334" i="8"/>
  <c r="P334" i="8"/>
  <c r="Q334" i="8"/>
  <c r="R334" i="8"/>
  <c r="S334" i="8"/>
  <c r="K335" i="8"/>
  <c r="L335" i="8"/>
  <c r="M335" i="8"/>
  <c r="N335" i="8"/>
  <c r="O335" i="8"/>
  <c r="P335" i="8"/>
  <c r="Q335" i="8"/>
  <c r="R335" i="8"/>
  <c r="S335" i="8"/>
  <c r="K336" i="8"/>
  <c r="L336" i="8"/>
  <c r="M336" i="8"/>
  <c r="N336" i="8"/>
  <c r="O336" i="8"/>
  <c r="P336" i="8"/>
  <c r="Q336" i="8"/>
  <c r="R336" i="8"/>
  <c r="S336" i="8"/>
  <c r="K337" i="8"/>
  <c r="L337" i="8"/>
  <c r="M337" i="8"/>
  <c r="N337" i="8"/>
  <c r="O337" i="8"/>
  <c r="P337" i="8"/>
  <c r="Q337" i="8"/>
  <c r="R337" i="8"/>
  <c r="S337" i="8"/>
  <c r="K338" i="8"/>
  <c r="L338" i="8"/>
  <c r="M338" i="8"/>
  <c r="N338" i="8"/>
  <c r="O338" i="8"/>
  <c r="P338" i="8"/>
  <c r="Q338" i="8"/>
  <c r="R338" i="8"/>
  <c r="S338" i="8"/>
  <c r="K339" i="8"/>
  <c r="L339" i="8"/>
  <c r="M339" i="8"/>
  <c r="N339" i="8"/>
  <c r="O339" i="8"/>
  <c r="P339" i="8"/>
  <c r="Q339" i="8"/>
  <c r="R339" i="8"/>
  <c r="S339" i="8"/>
  <c r="N340" i="8"/>
  <c r="O340" i="8"/>
  <c r="P340" i="8"/>
  <c r="Q340" i="8"/>
  <c r="R340" i="8"/>
  <c r="S340" i="8"/>
  <c r="K341" i="8"/>
  <c r="L341" i="8"/>
  <c r="M341" i="8"/>
  <c r="N341" i="8"/>
  <c r="O341" i="8"/>
  <c r="P341" i="8"/>
  <c r="Q341" i="8"/>
  <c r="R341" i="8"/>
  <c r="S341" i="8"/>
  <c r="K342" i="8"/>
  <c r="L342" i="8"/>
  <c r="M342" i="8"/>
  <c r="N342" i="8"/>
  <c r="O342" i="8"/>
  <c r="P342" i="8"/>
  <c r="Q342" i="8"/>
  <c r="R342" i="8"/>
  <c r="S342" i="8"/>
  <c r="K343" i="8"/>
  <c r="L343" i="8"/>
  <c r="M343" i="8"/>
  <c r="N343" i="8"/>
  <c r="O343" i="8"/>
  <c r="P343" i="8"/>
  <c r="Q343" i="8"/>
  <c r="R343" i="8"/>
  <c r="S343" i="8"/>
  <c r="K344" i="8"/>
  <c r="L344" i="8"/>
  <c r="M344" i="8"/>
  <c r="N344" i="8"/>
  <c r="O344" i="8"/>
  <c r="P344" i="8"/>
  <c r="Q344" i="8"/>
  <c r="R344" i="8"/>
  <c r="S344" i="8"/>
  <c r="K345" i="8"/>
  <c r="L345" i="8"/>
  <c r="M345" i="8"/>
  <c r="N345" i="8"/>
  <c r="O345" i="8"/>
  <c r="P345" i="8"/>
  <c r="Q345" i="8"/>
  <c r="R345" i="8"/>
  <c r="S345" i="8"/>
  <c r="K346" i="8"/>
  <c r="L346" i="8"/>
  <c r="M346" i="8"/>
  <c r="N346" i="8"/>
  <c r="O346" i="8"/>
  <c r="P346" i="8"/>
  <c r="Q346" i="8"/>
  <c r="R346" i="8"/>
  <c r="S346" i="8"/>
  <c r="K347" i="8"/>
  <c r="L347" i="8"/>
  <c r="M347" i="8"/>
  <c r="N347" i="8"/>
  <c r="O347" i="8"/>
  <c r="P347" i="8"/>
  <c r="Q347" i="8"/>
  <c r="R347" i="8"/>
  <c r="S347" i="8"/>
  <c r="K348" i="8"/>
  <c r="L348" i="8"/>
  <c r="M348" i="8"/>
  <c r="N348" i="8"/>
  <c r="O348" i="8"/>
  <c r="P348" i="8"/>
  <c r="Q348" i="8"/>
  <c r="R348" i="8"/>
  <c r="S348" i="8"/>
  <c r="K349" i="8"/>
  <c r="L349" i="8"/>
  <c r="M349" i="8"/>
  <c r="N349" i="8"/>
  <c r="O349" i="8"/>
  <c r="P349" i="8"/>
  <c r="Q349" i="8"/>
  <c r="R349" i="8"/>
  <c r="S349" i="8"/>
  <c r="K350" i="8"/>
  <c r="L350" i="8"/>
  <c r="M350" i="8"/>
  <c r="N350" i="8"/>
  <c r="O350" i="8"/>
  <c r="P350" i="8"/>
  <c r="Q350" i="8"/>
  <c r="R350" i="8"/>
  <c r="S350" i="8"/>
  <c r="G899" i="11"/>
  <c r="G900" i="11"/>
  <c r="G901" i="11"/>
  <c r="G902" i="11"/>
  <c r="G903" i="11"/>
  <c r="G904" i="11"/>
  <c r="G905" i="11"/>
  <c r="G906" i="11"/>
  <c r="G888" i="11"/>
  <c r="G889" i="11"/>
  <c r="G890" i="11"/>
  <c r="G891" i="11"/>
  <c r="G892" i="11"/>
  <c r="G893" i="11"/>
  <c r="G894" i="11"/>
  <c r="G895" i="11"/>
  <c r="G896" i="11"/>
  <c r="G897" i="11"/>
  <c r="G898" i="11"/>
  <c r="AC1113" i="5"/>
  <c r="AC1110" i="5"/>
  <c r="AC1107" i="5"/>
  <c r="AC1125" i="5"/>
  <c r="AC1122" i="5"/>
  <c r="AC1119" i="5"/>
  <c r="AC1088" i="5"/>
  <c r="AC1085" i="5"/>
  <c r="AC1084" i="5"/>
  <c r="H201" i="6"/>
  <c r="D1184" i="5"/>
  <c r="D1185" i="5"/>
  <c r="D1186" i="5"/>
  <c r="D1187" i="5"/>
  <c r="D1188" i="5"/>
  <c r="D1189"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AC1080" i="5"/>
  <c r="AC1078" i="5"/>
  <c r="AC1070" i="5"/>
  <c r="AC1141" i="5"/>
  <c r="AC1140" i="5"/>
  <c r="AC1138" i="5"/>
  <c r="K301" i="8"/>
  <c r="L301" i="8"/>
  <c r="M301" i="8"/>
  <c r="K302" i="8"/>
  <c r="L302" i="8"/>
  <c r="M302" i="8"/>
  <c r="K303" i="8"/>
  <c r="L303" i="8"/>
  <c r="M303" i="8"/>
  <c r="K304" i="8"/>
  <c r="L304" i="8"/>
  <c r="M304" i="8"/>
  <c r="K305" i="8"/>
  <c r="L305" i="8"/>
  <c r="M305" i="8"/>
  <c r="K306" i="8"/>
  <c r="L306" i="8"/>
  <c r="M306" i="8"/>
  <c r="K307" i="8"/>
  <c r="L307" i="8"/>
  <c r="M307" i="8"/>
  <c r="K308" i="8"/>
  <c r="L308" i="8"/>
  <c r="M308" i="8"/>
  <c r="K309" i="8"/>
  <c r="L309" i="8"/>
  <c r="M309" i="8"/>
  <c r="K310" i="8"/>
  <c r="L310" i="8"/>
  <c r="M310" i="8"/>
  <c r="K311" i="8"/>
  <c r="L311" i="8"/>
  <c r="M311" i="8"/>
  <c r="K312" i="8"/>
  <c r="L312" i="8"/>
  <c r="M312" i="8"/>
  <c r="R301" i="8"/>
  <c r="R302" i="8"/>
  <c r="R303" i="8"/>
  <c r="R304" i="8"/>
  <c r="R305" i="8"/>
  <c r="R306" i="8"/>
  <c r="R307" i="8"/>
  <c r="R308" i="8"/>
  <c r="R309" i="8"/>
  <c r="R310" i="8"/>
  <c r="R311" i="8"/>
  <c r="R312" i="8"/>
  <c r="N301" i="8"/>
  <c r="N302" i="8"/>
  <c r="N303" i="8"/>
  <c r="N304" i="8"/>
  <c r="N305" i="8"/>
  <c r="N306" i="8"/>
  <c r="N307" i="8"/>
  <c r="N308" i="8"/>
  <c r="N309" i="8"/>
  <c r="N310" i="8"/>
  <c r="N311" i="8"/>
  <c r="N312" i="8"/>
  <c r="G871" i="11"/>
  <c r="G872" i="11"/>
  <c r="G873" i="11"/>
  <c r="G874" i="11"/>
  <c r="G875" i="11"/>
  <c r="G876" i="11"/>
  <c r="G877" i="11"/>
  <c r="G878" i="11"/>
  <c r="G879" i="11"/>
  <c r="G880" i="11"/>
  <c r="G881" i="11"/>
  <c r="G882" i="11"/>
  <c r="G883" i="11"/>
  <c r="G884" i="11"/>
  <c r="G885" i="11"/>
  <c r="G886" i="11"/>
  <c r="G887" i="11"/>
  <c r="AC1101" i="5"/>
  <c r="AC1094" i="5"/>
  <c r="AC1093" i="5"/>
  <c r="AC1074" i="5"/>
  <c r="AC1071" i="5"/>
  <c r="AC1072" i="5"/>
  <c r="O201" i="6"/>
  <c r="O202" i="6"/>
  <c r="O203" i="6"/>
  <c r="O204" i="6"/>
  <c r="O205" i="6"/>
  <c r="O206" i="6"/>
  <c r="O207" i="6"/>
  <c r="O208" i="6"/>
  <c r="O209" i="6"/>
  <c r="O210" i="6"/>
  <c r="O211" i="6"/>
  <c r="O212" i="6"/>
  <c r="O213" i="6"/>
  <c r="O214" i="6"/>
  <c r="O215" i="6"/>
  <c r="O216" i="6"/>
  <c r="O217" i="6"/>
  <c r="O218" i="6"/>
  <c r="O219" i="6"/>
  <c r="O220" i="6"/>
  <c r="O221" i="6"/>
  <c r="O222" i="6"/>
  <c r="H202" i="6"/>
  <c r="H203" i="6"/>
  <c r="H204" i="6"/>
  <c r="H205" i="6"/>
  <c r="H206" i="6"/>
  <c r="H207" i="6"/>
  <c r="H208" i="6"/>
  <c r="H209" i="6"/>
  <c r="H210" i="6"/>
  <c r="H211" i="6"/>
  <c r="H212" i="6"/>
  <c r="H213" i="6"/>
  <c r="H214" i="6"/>
  <c r="H215" i="6"/>
  <c r="H216" i="6"/>
  <c r="H217" i="6"/>
  <c r="H218" i="6"/>
  <c r="H219" i="6"/>
  <c r="H220" i="6"/>
  <c r="H221" i="6"/>
  <c r="H222" i="6"/>
  <c r="G853" i="11"/>
  <c r="G854" i="11"/>
  <c r="G855" i="11"/>
  <c r="G856" i="11"/>
  <c r="G857" i="11"/>
  <c r="G858" i="11"/>
  <c r="G859" i="11"/>
  <c r="G860" i="11"/>
  <c r="G861" i="11"/>
  <c r="G862" i="11"/>
  <c r="G863" i="11"/>
  <c r="G864" i="11"/>
  <c r="G865" i="11"/>
  <c r="G866" i="11"/>
  <c r="G867" i="11"/>
  <c r="G868" i="11"/>
  <c r="G869" i="11"/>
  <c r="G870" i="11"/>
  <c r="G846" i="11"/>
  <c r="G847" i="11"/>
  <c r="G848" i="11"/>
  <c r="G849" i="11"/>
  <c r="G850" i="11"/>
  <c r="G851" i="11"/>
  <c r="G852" i="11"/>
  <c r="G826" i="11"/>
  <c r="G827" i="11"/>
  <c r="G828" i="11"/>
  <c r="G829" i="11"/>
  <c r="G830" i="11"/>
  <c r="G831" i="11"/>
  <c r="G832" i="11"/>
  <c r="G833" i="11"/>
  <c r="G834" i="11"/>
  <c r="G835" i="11"/>
  <c r="G836" i="11"/>
  <c r="G837" i="11"/>
  <c r="G838" i="11"/>
  <c r="G839" i="11"/>
  <c r="G840" i="11"/>
  <c r="G841" i="11"/>
  <c r="G842" i="11"/>
  <c r="G843" i="11"/>
  <c r="G844" i="11"/>
  <c r="G845" i="11"/>
  <c r="D1169" i="5"/>
  <c r="D1170" i="5"/>
  <c r="D1171" i="5"/>
  <c r="D1172" i="5"/>
  <c r="D1173" i="5"/>
  <c r="D1174" i="5"/>
  <c r="D1175" i="5"/>
  <c r="D1176" i="5"/>
  <c r="D1177" i="5"/>
  <c r="D1178" i="5"/>
  <c r="D1179" i="5"/>
  <c r="D1180" i="5"/>
  <c r="D1181" i="5"/>
  <c r="D1182" i="5"/>
  <c r="D1183" i="5"/>
  <c r="AC1076" i="5"/>
  <c r="AC1069" i="5"/>
  <c r="AC1068" i="5"/>
  <c r="AC1064" i="5"/>
  <c r="G824" i="11"/>
  <c r="G825" i="11"/>
  <c r="G823" i="11"/>
  <c r="G819" i="11"/>
  <c r="G820" i="11"/>
  <c r="G821" i="11"/>
  <c r="G822" i="11"/>
  <c r="G813" i="11"/>
  <c r="G814" i="11"/>
  <c r="G815" i="11"/>
  <c r="G816" i="11"/>
  <c r="G817" i="11"/>
  <c r="G818" i="11"/>
  <c r="D1162" i="5"/>
  <c r="D1163" i="5"/>
  <c r="D1164" i="5"/>
  <c r="D1165" i="5"/>
  <c r="D1166" i="5"/>
  <c r="D1167" i="5"/>
  <c r="D1168" i="5"/>
  <c r="D1161" i="5"/>
  <c r="P92" i="3"/>
  <c r="O92" i="3"/>
  <c r="AC1047" i="5"/>
  <c r="AC1045" i="5"/>
  <c r="AC1044" i="5"/>
  <c r="AP47" i="1"/>
  <c r="AP48" i="1"/>
  <c r="AP49" i="1"/>
  <c r="AP50" i="1"/>
  <c r="AP51" i="1"/>
  <c r="P91" i="3"/>
  <c r="O91" i="3"/>
  <c r="E91" i="3"/>
  <c r="D91" i="3"/>
  <c r="C91" i="3"/>
  <c r="G808" i="11"/>
  <c r="G809" i="11"/>
  <c r="G810" i="11"/>
  <c r="G811" i="11"/>
  <c r="G812" i="11"/>
  <c r="G805" i="11"/>
  <c r="G806" i="11"/>
  <c r="G807" i="11"/>
  <c r="G796" i="11"/>
  <c r="G797" i="11"/>
  <c r="G798" i="11"/>
  <c r="G799" i="11"/>
  <c r="G800" i="11"/>
  <c r="G801" i="11"/>
  <c r="G802" i="11"/>
  <c r="G803" i="11"/>
  <c r="G804" i="11"/>
  <c r="G784" i="11"/>
  <c r="G785" i="11"/>
  <c r="G786" i="11"/>
  <c r="G787" i="11"/>
  <c r="G788" i="11"/>
  <c r="G789" i="11"/>
  <c r="G790" i="11"/>
  <c r="G791" i="11"/>
  <c r="G792" i="11"/>
  <c r="G793" i="11"/>
  <c r="G794" i="11"/>
  <c r="G795" i="11"/>
  <c r="G776" i="11"/>
  <c r="G777" i="11"/>
  <c r="G778" i="11"/>
  <c r="G779" i="11"/>
  <c r="G780" i="11"/>
  <c r="G781" i="11"/>
  <c r="G782" i="11"/>
  <c r="G783" i="11"/>
  <c r="AC1019" i="5"/>
  <c r="AC1018" i="5"/>
  <c r="AC1017" i="5"/>
  <c r="AC1024" i="5"/>
  <c r="AC1022" i="5"/>
  <c r="AC1021" i="5"/>
  <c r="AC978" i="5"/>
  <c r="AC977" i="5"/>
  <c r="AC974" i="5"/>
  <c r="E90" i="3"/>
  <c r="P90" i="3"/>
  <c r="O90" i="3"/>
  <c r="D90" i="3"/>
  <c r="C90" i="3"/>
  <c r="D1152" i="5"/>
  <c r="D1153" i="5"/>
  <c r="D1154" i="5"/>
  <c r="D1155" i="5"/>
  <c r="D1156" i="5"/>
  <c r="D1157" i="5"/>
  <c r="D1158" i="5"/>
  <c r="D1159" i="5"/>
  <c r="D1160" i="5"/>
  <c r="P89" i="3"/>
  <c r="W89" i="3"/>
  <c r="W90" i="3"/>
  <c r="W91" i="3"/>
  <c r="W92" i="3"/>
  <c r="O89" i="3"/>
  <c r="F89" i="3"/>
  <c r="E89" i="3"/>
  <c r="D89" i="3"/>
  <c r="C89" i="3"/>
  <c r="G758" i="11"/>
  <c r="G759" i="11"/>
  <c r="G760" i="11"/>
  <c r="G761" i="11"/>
  <c r="G762" i="11"/>
  <c r="G763" i="11"/>
  <c r="G764" i="11"/>
  <c r="G765" i="11"/>
  <c r="G766" i="11"/>
  <c r="G767" i="11"/>
  <c r="G768" i="11"/>
  <c r="G769" i="11"/>
  <c r="G770" i="11"/>
  <c r="G771" i="11"/>
  <c r="G772" i="11"/>
  <c r="G773" i="11"/>
  <c r="G774" i="11"/>
  <c r="G775" i="11"/>
  <c r="W88" i="3"/>
  <c r="D88" i="3"/>
  <c r="C88" i="3"/>
  <c r="P88" i="3"/>
  <c r="O88" i="3"/>
  <c r="F88" i="3"/>
  <c r="E88" i="3"/>
  <c r="AC956" i="5"/>
  <c r="AC961" i="5"/>
  <c r="AC960" i="5"/>
  <c r="G744" i="11"/>
  <c r="G745" i="11"/>
  <c r="G746" i="11"/>
  <c r="G747" i="11"/>
  <c r="G748" i="11"/>
  <c r="G749" i="11"/>
  <c r="G750" i="11"/>
  <c r="F221" i="1"/>
  <c r="G751" i="11"/>
  <c r="G752" i="11"/>
  <c r="G753" i="11"/>
  <c r="G754" i="11"/>
  <c r="G755" i="11"/>
  <c r="G756" i="11"/>
  <c r="G757" i="11"/>
  <c r="G735" i="11"/>
  <c r="G736" i="11"/>
  <c r="G737" i="11"/>
  <c r="G738" i="11"/>
  <c r="G739" i="11"/>
  <c r="G740" i="11"/>
  <c r="G741" i="11"/>
  <c r="G742" i="11"/>
  <c r="G743" i="11"/>
  <c r="H1" i="5"/>
  <c r="D1148" i="5"/>
  <c r="D1149" i="5"/>
  <c r="D1150" i="5"/>
  <c r="D1151" i="5"/>
  <c r="D1127" i="5"/>
  <c r="D1128" i="5"/>
  <c r="D1129" i="5"/>
  <c r="D1130" i="5"/>
  <c r="D1131" i="5"/>
  <c r="D1132" i="5"/>
  <c r="D1133" i="5"/>
  <c r="D1134" i="5"/>
  <c r="D1135" i="5"/>
  <c r="D1136" i="5"/>
  <c r="D1137" i="5"/>
  <c r="D1138" i="5"/>
  <c r="D1139" i="5"/>
  <c r="D1140" i="5"/>
  <c r="D1141" i="5"/>
  <c r="D1142" i="5"/>
  <c r="D1143" i="5"/>
  <c r="D1144" i="5"/>
  <c r="D1145" i="5"/>
  <c r="D1146" i="5"/>
  <c r="D1147" i="5"/>
  <c r="F87" i="3"/>
  <c r="E87" i="3"/>
  <c r="P87" i="3"/>
  <c r="O87" i="3"/>
  <c r="W87" i="3"/>
  <c r="AC983" i="5"/>
  <c r="AC980" i="5"/>
  <c r="AC979" i="5"/>
  <c r="G724" i="11"/>
  <c r="G725" i="11"/>
  <c r="G726" i="11"/>
  <c r="G727" i="11"/>
  <c r="G728" i="11"/>
  <c r="G729" i="11"/>
  <c r="G730" i="11"/>
  <c r="G731" i="11"/>
  <c r="G732" i="11"/>
  <c r="G733" i="11"/>
  <c r="G734" i="11"/>
  <c r="P86" i="3"/>
  <c r="O86" i="3"/>
  <c r="K283" i="8"/>
  <c r="L283" i="8"/>
  <c r="M283" i="8"/>
  <c r="AC950" i="5"/>
  <c r="AC945" i="5"/>
  <c r="AC943" i="5"/>
  <c r="G715" i="11"/>
  <c r="G716" i="11"/>
  <c r="G717" i="11"/>
  <c r="G718" i="11"/>
  <c r="G719" i="11"/>
  <c r="G720" i="11"/>
  <c r="G721" i="11"/>
  <c r="G722" i="11"/>
  <c r="G723" i="11"/>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K278" i="8"/>
  <c r="AC794" i="5"/>
  <c r="AC793" i="5"/>
  <c r="AC792"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C1072" i="5"/>
  <c r="C1073" i="5"/>
  <c r="C1074" i="5"/>
  <c r="C1075" i="5"/>
  <c r="C1076" i="5"/>
  <c r="C1071" i="5"/>
  <c r="G682" i="11"/>
  <c r="G683" i="11"/>
  <c r="G684" i="11"/>
  <c r="G685" i="11"/>
  <c r="G686" i="11"/>
  <c r="G687" i="11"/>
  <c r="G688" i="11"/>
  <c r="G689" i="11"/>
  <c r="G690" i="11"/>
  <c r="G691" i="11"/>
  <c r="G692" i="11"/>
  <c r="G693" i="11"/>
  <c r="G694" i="11"/>
  <c r="G695" i="11"/>
  <c r="G696" i="11"/>
  <c r="G697" i="11"/>
  <c r="G698" i="11"/>
  <c r="G699" i="11"/>
  <c r="G700" i="11"/>
  <c r="G701" i="11"/>
  <c r="G702" i="11"/>
  <c r="G703" i="11"/>
  <c r="G704" i="11"/>
  <c r="G705" i="11"/>
  <c r="G706" i="11"/>
  <c r="G707" i="11"/>
  <c r="G708" i="11"/>
  <c r="G709" i="11"/>
  <c r="G710" i="11"/>
  <c r="G711" i="11"/>
  <c r="G712" i="11"/>
  <c r="G713" i="11"/>
  <c r="G714" i="11"/>
  <c r="R19" i="12"/>
  <c r="S18" i="12"/>
  <c r="Q19" i="12"/>
  <c r="Q18" i="12"/>
  <c r="G681" i="11"/>
  <c r="G680" i="11"/>
  <c r="G679" i="11"/>
  <c r="I679" i="11"/>
  <c r="G678" i="11"/>
  <c r="G677" i="11"/>
  <c r="G676" i="11"/>
  <c r="G675" i="11"/>
  <c r="G674" i="11"/>
  <c r="G673" i="11"/>
  <c r="G672" i="11"/>
  <c r="G671" i="11"/>
  <c r="G670" i="11"/>
  <c r="G669" i="11"/>
  <c r="G668" i="11"/>
  <c r="G667" i="11"/>
  <c r="G666" i="11"/>
  <c r="G665" i="11"/>
  <c r="G664" i="11"/>
  <c r="G663" i="11"/>
  <c r="G662" i="11"/>
  <c r="G661" i="11"/>
  <c r="G648" i="11"/>
  <c r="G649" i="11"/>
  <c r="G650" i="11"/>
  <c r="G651" i="11"/>
  <c r="G652" i="11"/>
  <c r="G653" i="11"/>
  <c r="G654" i="11"/>
  <c r="G655" i="11"/>
  <c r="G656" i="11"/>
  <c r="G657" i="11"/>
  <c r="G658" i="11"/>
  <c r="G659" i="11"/>
  <c r="G660" i="11"/>
  <c r="W77" i="3"/>
  <c r="AC929" i="5"/>
  <c r="AC927" i="5"/>
  <c r="AC926" i="5"/>
  <c r="AC837" i="5"/>
  <c r="AC839" i="5"/>
  <c r="AC838" i="5"/>
  <c r="AC840" i="5"/>
  <c r="AC691" i="5"/>
  <c r="AC650" i="5"/>
  <c r="AC647" i="5"/>
  <c r="W75" i="3"/>
  <c r="W76" i="3"/>
  <c r="W78" i="3"/>
  <c r="W79" i="3"/>
  <c r="W80" i="3"/>
  <c r="W81" i="3"/>
  <c r="W82" i="3"/>
  <c r="W83" i="3"/>
  <c r="W84" i="3"/>
  <c r="W85" i="3"/>
  <c r="W86" i="3"/>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AC919" i="5"/>
  <c r="AC918" i="5"/>
  <c r="AC915" i="5"/>
  <c r="G626" i="11"/>
  <c r="G627" i="11"/>
  <c r="G628" i="11"/>
  <c r="G629" i="11"/>
  <c r="G630" i="11"/>
  <c r="G631" i="11"/>
  <c r="G632" i="11"/>
  <c r="G633" i="11"/>
  <c r="G634" i="11"/>
  <c r="G635" i="11"/>
  <c r="G636" i="11"/>
  <c r="G637" i="11"/>
  <c r="G638" i="11"/>
  <c r="G639" i="11"/>
  <c r="G640" i="11"/>
  <c r="G641" i="11"/>
  <c r="G642" i="11"/>
  <c r="G643" i="11"/>
  <c r="G644" i="11"/>
  <c r="G645" i="11"/>
  <c r="G646" i="11"/>
  <c r="G647" i="11"/>
  <c r="AC581" i="5"/>
  <c r="AC579" i="5"/>
  <c r="AC578" i="5"/>
  <c r="G602" i="11"/>
  <c r="G603" i="11"/>
  <c r="G604" i="11"/>
  <c r="G605" i="11"/>
  <c r="G606" i="11"/>
  <c r="G607" i="11"/>
  <c r="G608" i="11"/>
  <c r="G609" i="11"/>
  <c r="G610" i="11"/>
  <c r="G611" i="11"/>
  <c r="G612" i="11"/>
  <c r="G613" i="11"/>
  <c r="G614" i="11"/>
  <c r="G615" i="11"/>
  <c r="G616" i="11"/>
  <c r="G617" i="11"/>
  <c r="G618" i="11"/>
  <c r="G619" i="11"/>
  <c r="G620" i="11"/>
  <c r="G621" i="11"/>
  <c r="G622" i="11"/>
  <c r="G623" i="11"/>
  <c r="G624" i="11"/>
  <c r="G625" i="11"/>
  <c r="D1015" i="5"/>
  <c r="D1016" i="5"/>
  <c r="D1017" i="5"/>
  <c r="D1018" i="5"/>
  <c r="D1019" i="5"/>
  <c r="D1020" i="5"/>
  <c r="D1021" i="5"/>
  <c r="D1022" i="5"/>
  <c r="D1023" i="5"/>
  <c r="D1024" i="5"/>
  <c r="D1025" i="5"/>
  <c r="D1026" i="5"/>
  <c r="D1027" i="5"/>
  <c r="D1028" i="5"/>
  <c r="D1029" i="5"/>
  <c r="F75" i="3"/>
  <c r="E75" i="3"/>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G600" i="11"/>
  <c r="G601" i="11"/>
  <c r="G588" i="11"/>
  <c r="G589" i="11"/>
  <c r="G590" i="11"/>
  <c r="G591" i="11"/>
  <c r="G592" i="11"/>
  <c r="G593" i="11"/>
  <c r="G594" i="11"/>
  <c r="G595" i="11"/>
  <c r="G596" i="11"/>
  <c r="G597" i="11"/>
  <c r="G598" i="11"/>
  <c r="G599" i="11"/>
  <c r="AC738" i="5"/>
  <c r="AC731" i="5"/>
  <c r="AC730" i="5"/>
  <c r="AC577" i="5"/>
  <c r="AC576" i="5"/>
  <c r="AC502" i="5"/>
  <c r="AC844" i="5"/>
  <c r="AC843" i="5"/>
  <c r="AC841" i="5"/>
  <c r="AG983" i="5"/>
  <c r="AG982" i="5"/>
  <c r="AG981" i="5"/>
  <c r="AG980" i="5"/>
  <c r="AG979" i="5"/>
  <c r="AG978" i="5"/>
  <c r="AG977" i="5"/>
  <c r="AG976" i="5"/>
  <c r="AG975" i="5"/>
  <c r="AG974" i="5"/>
  <c r="AG973" i="5"/>
  <c r="AG972" i="5"/>
  <c r="AG971" i="5"/>
  <c r="AG970" i="5"/>
  <c r="AG969" i="5"/>
  <c r="AG968" i="5"/>
  <c r="AG967" i="5"/>
  <c r="AG966" i="5"/>
  <c r="AG965" i="5"/>
  <c r="AG964" i="5"/>
  <c r="AG963" i="5"/>
  <c r="AG962" i="5"/>
  <c r="AG961" i="5"/>
  <c r="AG960" i="5"/>
  <c r="AG959" i="5"/>
  <c r="AG958" i="5"/>
  <c r="AG957" i="5"/>
  <c r="AG956" i="5"/>
  <c r="AG955" i="5"/>
  <c r="AG954" i="5"/>
  <c r="AG953" i="5"/>
  <c r="AG952" i="5"/>
  <c r="AG951" i="5"/>
  <c r="AG950" i="5"/>
  <c r="AG949" i="5"/>
  <c r="AG948" i="5"/>
  <c r="AG947" i="5"/>
  <c r="AG946" i="5"/>
  <c r="AG945" i="5"/>
  <c r="AG944" i="5"/>
  <c r="AG943" i="5"/>
  <c r="AG942" i="5"/>
  <c r="AG941" i="5"/>
  <c r="AG940" i="5"/>
  <c r="AG939" i="5"/>
  <c r="AG938" i="5"/>
  <c r="AG937" i="5"/>
  <c r="AG936" i="5"/>
  <c r="AG935" i="5"/>
  <c r="AG934" i="5"/>
  <c r="AG933" i="5"/>
  <c r="AG932" i="5"/>
  <c r="AG931" i="5"/>
  <c r="AG930" i="5"/>
  <c r="AG929" i="5"/>
  <c r="AG928" i="5"/>
  <c r="AG927" i="5"/>
  <c r="AG926" i="5"/>
  <c r="AG920" i="5"/>
  <c r="AG919" i="5"/>
  <c r="AG918" i="5"/>
  <c r="AG917" i="5"/>
  <c r="AG916" i="5"/>
  <c r="AG915" i="5"/>
  <c r="AG873" i="5"/>
  <c r="AG872" i="5"/>
  <c r="AG871" i="5"/>
  <c r="AG870" i="5"/>
  <c r="AG869" i="5"/>
  <c r="AG868" i="5"/>
  <c r="AG867" i="5"/>
  <c r="AG862" i="5"/>
  <c r="AG861" i="5"/>
  <c r="AG851" i="5"/>
  <c r="AG845" i="5"/>
  <c r="AG844" i="5"/>
  <c r="AG843" i="5"/>
  <c r="AG842" i="5"/>
  <c r="AG841" i="5"/>
  <c r="AC820" i="5"/>
  <c r="AC810" i="5"/>
  <c r="AC808" i="5"/>
  <c r="AC835" i="5"/>
  <c r="G572" i="11"/>
  <c r="G573" i="11"/>
  <c r="G574" i="11"/>
  <c r="G575" i="11"/>
  <c r="G576" i="11"/>
  <c r="G577" i="11"/>
  <c r="G578" i="11"/>
  <c r="G579" i="11"/>
  <c r="G580" i="11"/>
  <c r="G581" i="11"/>
  <c r="G582" i="11"/>
  <c r="G583" i="11"/>
  <c r="G584" i="11"/>
  <c r="G585" i="11"/>
  <c r="G586" i="11"/>
  <c r="G587" i="11"/>
  <c r="D968" i="5"/>
  <c r="D969" i="5"/>
  <c r="D970" i="5"/>
  <c r="D971" i="5"/>
  <c r="D972" i="5"/>
  <c r="D973" i="5"/>
  <c r="D974" i="5"/>
  <c r="D975" i="5"/>
  <c r="D976" i="5"/>
  <c r="D977" i="5"/>
  <c r="D978" i="5"/>
  <c r="D979" i="5"/>
  <c r="D980" i="5"/>
  <c r="D981" i="5"/>
  <c r="D982" i="5"/>
  <c r="D983" i="5"/>
  <c r="G569" i="11"/>
  <c r="G570" i="11"/>
  <c r="G571" i="11"/>
  <c r="K251" i="8"/>
  <c r="AC876" i="5"/>
  <c r="AC875" i="5"/>
  <c r="AC874" i="5"/>
  <c r="F79" i="7"/>
  <c r="W74" i="3"/>
  <c r="B322" i="14"/>
  <c r="B200" i="14"/>
  <c r="F280" i="14"/>
  <c r="F281" i="14"/>
  <c r="F282" i="14"/>
  <c r="F321" i="14"/>
  <c r="F322" i="14"/>
  <c r="F323" i="14"/>
  <c r="F324" i="14"/>
  <c r="F325" i="14"/>
  <c r="F326" i="14"/>
  <c r="F327" i="14"/>
  <c r="F328" i="14"/>
  <c r="F329" i="14"/>
  <c r="F330" i="14"/>
  <c r="F319" i="14"/>
  <c r="G317" i="14"/>
  <c r="G309" i="14"/>
  <c r="G310" i="14"/>
  <c r="G311" i="14"/>
  <c r="G312" i="14"/>
  <c r="G313" i="14"/>
  <c r="G314" i="14"/>
  <c r="G315" i="14"/>
  <c r="G316" i="14"/>
  <c r="G318" i="14"/>
  <c r="G319" i="14"/>
  <c r="G320"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F310" i="14"/>
  <c r="F311" i="14"/>
  <c r="F312" i="14"/>
  <c r="F313" i="14"/>
  <c r="F314" i="14"/>
  <c r="F315" i="14"/>
  <c r="F316" i="14"/>
  <c r="F317" i="14"/>
  <c r="F318" i="14"/>
  <c r="F320" i="14"/>
  <c r="F331" i="14"/>
  <c r="F332" i="14"/>
  <c r="F333" i="14"/>
  <c r="F334" i="14"/>
  <c r="F335" i="14"/>
  <c r="F336" i="14"/>
  <c r="F337" i="14"/>
  <c r="F338" i="14"/>
  <c r="F339" i="14"/>
  <c r="F340" i="14"/>
  <c r="F341" i="14"/>
  <c r="F342" i="14"/>
  <c r="F343" i="14"/>
  <c r="F344" i="14"/>
  <c r="F345" i="14"/>
  <c r="F346" i="14"/>
  <c r="F347" i="14"/>
  <c r="F348" i="14"/>
  <c r="B319" i="14"/>
  <c r="B320" i="14"/>
  <c r="B321"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F279" i="14"/>
  <c r="F283" i="14"/>
  <c r="F284" i="14"/>
  <c r="F285" i="14"/>
  <c r="F286" i="14"/>
  <c r="F287" i="14"/>
  <c r="F288" i="14"/>
  <c r="F289" i="14"/>
  <c r="F290" i="14"/>
  <c r="F291" i="14"/>
  <c r="F292" i="14"/>
  <c r="F293" i="14"/>
  <c r="F294" i="14"/>
  <c r="F295" i="14"/>
  <c r="F296" i="14"/>
  <c r="F297" i="14"/>
  <c r="F298" i="14"/>
  <c r="F299" i="14"/>
  <c r="F300" i="14"/>
  <c r="F301" i="14"/>
  <c r="F302" i="14"/>
  <c r="F303" i="14"/>
  <c r="F304" i="14"/>
  <c r="F305" i="14"/>
  <c r="F306" i="14"/>
  <c r="F307" i="14"/>
  <c r="F308" i="14"/>
  <c r="F309" i="14"/>
  <c r="B309" i="14"/>
  <c r="B310" i="14"/>
  <c r="B311" i="14"/>
  <c r="B312" i="14"/>
  <c r="B313" i="14"/>
  <c r="B314" i="14"/>
  <c r="B315" i="14"/>
  <c r="B316" i="14"/>
  <c r="B317" i="14"/>
  <c r="B318" i="14"/>
  <c r="G550" i="11"/>
  <c r="G551" i="11"/>
  <c r="G552" i="11"/>
  <c r="G553" i="11"/>
  <c r="G554" i="11"/>
  <c r="G555" i="11"/>
  <c r="G556" i="11"/>
  <c r="G557" i="11"/>
  <c r="G558" i="11"/>
  <c r="G559" i="11"/>
  <c r="G560" i="11"/>
  <c r="G561" i="11"/>
  <c r="G562" i="11"/>
  <c r="G563" i="11"/>
  <c r="G564" i="11"/>
  <c r="G565" i="11"/>
  <c r="G566" i="11"/>
  <c r="G567" i="11"/>
  <c r="G568" i="11"/>
  <c r="B307" i="14"/>
  <c r="B308" i="14"/>
  <c r="H563" i="11"/>
  <c r="H562" i="11"/>
  <c r="D964" i="5"/>
  <c r="D965" i="5"/>
  <c r="D966" i="5"/>
  <c r="D967" i="5"/>
  <c r="D921" i="5"/>
  <c r="D922" i="5"/>
  <c r="D923" i="5"/>
  <c r="D924" i="5"/>
  <c r="D925" i="5"/>
  <c r="D893" i="5"/>
  <c r="D894" i="5"/>
  <c r="D895" i="5"/>
  <c r="D896" i="5"/>
  <c r="D897" i="5"/>
  <c r="D898" i="5"/>
  <c r="D899" i="5"/>
  <c r="D900" i="5"/>
  <c r="D901" i="5"/>
  <c r="D902" i="5"/>
  <c r="D903" i="5"/>
  <c r="D904" i="5"/>
  <c r="D905" i="5"/>
  <c r="D906" i="5"/>
  <c r="D907" i="5"/>
  <c r="D814" i="5"/>
  <c r="D815" i="5"/>
  <c r="D816" i="5"/>
  <c r="D817" i="5"/>
  <c r="D818" i="5"/>
  <c r="D819" i="5"/>
  <c r="D811" i="5"/>
  <c r="D812" i="5"/>
  <c r="D788" i="5"/>
  <c r="D784" i="5"/>
  <c r="D785" i="5"/>
  <c r="D780" i="5"/>
  <c r="D781" i="5"/>
  <c r="D782" i="5"/>
  <c r="D778" i="5"/>
  <c r="D772" i="5"/>
  <c r="D773" i="5"/>
  <c r="D774" i="5"/>
  <c r="D775" i="5"/>
  <c r="D776" i="5"/>
  <c r="D3" i="5"/>
  <c r="D4" i="5"/>
  <c r="D5" i="5"/>
  <c r="D7" i="5"/>
  <c r="D11" i="5"/>
  <c r="D12" i="5"/>
  <c r="D14" i="5"/>
  <c r="D16" i="5"/>
  <c r="D17" i="5"/>
  <c r="D18" i="5"/>
  <c r="D81" i="5"/>
  <c r="D82" i="5"/>
  <c r="D83" i="5"/>
  <c r="D84" i="5"/>
  <c r="D124" i="5"/>
  <c r="D126" i="5"/>
  <c r="D127" i="5"/>
  <c r="D129" i="5"/>
  <c r="D130" i="5"/>
  <c r="D146" i="5"/>
  <c r="D147" i="5"/>
  <c r="D149" i="5"/>
  <c r="D150" i="5"/>
  <c r="D151" i="5"/>
  <c r="D274" i="5"/>
  <c r="D275" i="5"/>
  <c r="D293" i="5"/>
  <c r="D295" i="5"/>
  <c r="D296" i="5"/>
  <c r="D297" i="5"/>
  <c r="D298" i="5"/>
  <c r="D299" i="5"/>
  <c r="D321" i="5"/>
  <c r="D322" i="5"/>
  <c r="D385" i="5"/>
  <c r="D386" i="5"/>
  <c r="D400" i="5"/>
  <c r="D403" i="5"/>
  <c r="D446" i="5"/>
  <c r="D471" i="5"/>
  <c r="D475" i="5"/>
  <c r="D478" i="5"/>
  <c r="D479" i="5"/>
  <c r="D483" i="5"/>
  <c r="AD493" i="5"/>
  <c r="AD495" i="5"/>
  <c r="AD497" i="5"/>
  <c r="AD498" i="5"/>
  <c r="AD503" i="5"/>
  <c r="AD508" i="5"/>
  <c r="AD509" i="5"/>
  <c r="AD510" i="5"/>
  <c r="AD511" i="5"/>
  <c r="AD518" i="5"/>
  <c r="AD519" i="5"/>
  <c r="AD521" i="5"/>
  <c r="D529" i="5"/>
  <c r="D530" i="5"/>
  <c r="D557" i="5"/>
  <c r="D560" i="5"/>
  <c r="D561" i="5"/>
  <c r="D562" i="5"/>
  <c r="D594" i="5"/>
  <c r="D598" i="5"/>
  <c r="D599" i="5"/>
  <c r="D602" i="5"/>
  <c r="D603" i="5"/>
  <c r="AD604" i="5"/>
  <c r="D604" i="5"/>
  <c r="D606" i="5"/>
  <c r="D608" i="5"/>
  <c r="D609" i="5"/>
  <c r="AL3" i="5"/>
  <c r="AK3" i="5"/>
  <c r="D19" i="5"/>
  <c r="D20" i="5"/>
  <c r="AC904" i="5"/>
  <c r="AC907" i="5"/>
  <c r="AC905" i="5"/>
  <c r="AC895" i="5"/>
  <c r="AC894" i="5"/>
  <c r="AC896" i="5"/>
  <c r="AC922" i="5"/>
  <c r="AC921" i="5"/>
  <c r="AC924" i="5"/>
  <c r="B305" i="14"/>
  <c r="B306" i="14"/>
  <c r="G305" i="14"/>
  <c r="G306" i="14"/>
  <c r="O8" i="14"/>
  <c r="G321" i="14"/>
  <c r="G307" i="14"/>
  <c r="G308" i="14"/>
  <c r="D949" i="5"/>
  <c r="D950" i="5"/>
  <c r="D951" i="5"/>
  <c r="D952" i="5"/>
  <c r="D953" i="5"/>
  <c r="D954" i="5"/>
  <c r="D955" i="5"/>
  <c r="D956" i="5"/>
  <c r="D957" i="5"/>
  <c r="D958" i="5"/>
  <c r="D959" i="5"/>
  <c r="D960" i="5"/>
  <c r="D961" i="5"/>
  <c r="D962" i="5"/>
  <c r="D963" i="5"/>
  <c r="AC724" i="5"/>
  <c r="AC725" i="5"/>
  <c r="AC727" i="5"/>
  <c r="G532" i="11"/>
  <c r="G533" i="11"/>
  <c r="G534" i="11"/>
  <c r="G535" i="11"/>
  <c r="G536" i="11"/>
  <c r="G537" i="11"/>
  <c r="G538" i="11"/>
  <c r="G539" i="11"/>
  <c r="G540" i="11"/>
  <c r="G541" i="11"/>
  <c r="G542" i="11"/>
  <c r="G543" i="11"/>
  <c r="G544" i="11"/>
  <c r="G545" i="11"/>
  <c r="G546" i="11"/>
  <c r="G547" i="11"/>
  <c r="G548" i="11"/>
  <c r="G549" i="11"/>
  <c r="AC900" i="5"/>
  <c r="AC899" i="5"/>
  <c r="AC898" i="5"/>
  <c r="W73" i="3"/>
  <c r="G507" i="11"/>
  <c r="H507" i="11"/>
  <c r="G508" i="11"/>
  <c r="G509" i="11"/>
  <c r="G510" i="11"/>
  <c r="G511" i="11"/>
  <c r="G512" i="11"/>
  <c r="G513" i="11"/>
  <c r="G514" i="11"/>
  <c r="G515" i="11"/>
  <c r="G516" i="11"/>
  <c r="G517" i="11"/>
  <c r="G518" i="11"/>
  <c r="G519" i="11"/>
  <c r="G520" i="11"/>
  <c r="G521" i="11"/>
  <c r="G522" i="11"/>
  <c r="G523" i="11"/>
  <c r="G524" i="11"/>
  <c r="G525" i="11"/>
  <c r="G526" i="11"/>
  <c r="G527" i="11"/>
  <c r="G528" i="11"/>
  <c r="G529" i="11"/>
  <c r="G530" i="11"/>
  <c r="G531" i="11"/>
  <c r="C72" i="3"/>
  <c r="D72" i="3"/>
  <c r="E72" i="3"/>
  <c r="F72" i="3"/>
  <c r="O72" i="3"/>
  <c r="W72" i="3"/>
  <c r="AC748" i="5"/>
  <c r="AC749" i="5"/>
  <c r="AC751" i="5"/>
  <c r="AC759" i="5"/>
  <c r="AC755" i="5"/>
  <c r="AC756" i="5"/>
  <c r="AC780" i="5"/>
  <c r="AC784" i="5"/>
  <c r="AC781" i="5"/>
  <c r="B267" i="14"/>
  <c r="F267" i="14"/>
  <c r="G476" i="11"/>
  <c r="G477" i="11"/>
  <c r="G478" i="11"/>
  <c r="G479" i="11"/>
  <c r="G480" i="11"/>
  <c r="G481" i="11"/>
  <c r="G482" i="11"/>
  <c r="G483" i="11"/>
  <c r="G484" i="11"/>
  <c r="G485" i="11"/>
  <c r="G486" i="11"/>
  <c r="G487" i="11"/>
  <c r="G488" i="11"/>
  <c r="G489" i="11"/>
  <c r="G490" i="11"/>
  <c r="G491" i="11"/>
  <c r="G492" i="11"/>
  <c r="G493" i="11"/>
  <c r="G494" i="11"/>
  <c r="G495" i="11"/>
  <c r="G496" i="11"/>
  <c r="G497" i="11"/>
  <c r="G498" i="11"/>
  <c r="G499" i="11"/>
  <c r="G500" i="11"/>
  <c r="G501" i="11"/>
  <c r="G502" i="11"/>
  <c r="G503" i="11"/>
  <c r="G504" i="11"/>
  <c r="G505" i="11"/>
  <c r="G506" i="11"/>
  <c r="B62" i="7"/>
  <c r="C62" i="7"/>
  <c r="D62" i="7"/>
  <c r="E62" i="7"/>
  <c r="F62" i="7"/>
  <c r="G62" i="7"/>
  <c r="K62" i="7"/>
  <c r="L62" i="7"/>
  <c r="M62" i="7"/>
  <c r="N62" i="7"/>
  <c r="O62" i="7"/>
  <c r="P62" i="7"/>
  <c r="S62" i="7"/>
  <c r="T62" i="7"/>
  <c r="U62" i="7"/>
  <c r="V62" i="7"/>
  <c r="W62" i="7"/>
  <c r="X62" i="7"/>
  <c r="B63" i="7"/>
  <c r="C63" i="7"/>
  <c r="D63" i="7"/>
  <c r="E63" i="7"/>
  <c r="F63" i="7"/>
  <c r="G63" i="7"/>
  <c r="K63" i="7"/>
  <c r="L63" i="7"/>
  <c r="M63" i="7"/>
  <c r="N63" i="7"/>
  <c r="O63" i="7"/>
  <c r="P63" i="7"/>
  <c r="S63" i="7"/>
  <c r="T63" i="7"/>
  <c r="U63" i="7"/>
  <c r="V63" i="7"/>
  <c r="W63" i="7"/>
  <c r="X63" i="7"/>
  <c r="B64" i="7"/>
  <c r="C64" i="7"/>
  <c r="D64" i="7"/>
  <c r="E64" i="7"/>
  <c r="F64" i="7"/>
  <c r="G64" i="7"/>
  <c r="K64" i="7"/>
  <c r="L64" i="7"/>
  <c r="M64" i="7"/>
  <c r="N64" i="7"/>
  <c r="O64" i="7"/>
  <c r="P64" i="7"/>
  <c r="S64" i="7"/>
  <c r="T64" i="7"/>
  <c r="U64" i="7"/>
  <c r="V64" i="7"/>
  <c r="W64" i="7"/>
  <c r="X64" i="7"/>
  <c r="B65" i="7"/>
  <c r="C65" i="7"/>
  <c r="D65" i="7"/>
  <c r="E65" i="7"/>
  <c r="F65" i="7"/>
  <c r="G65" i="7"/>
  <c r="K65" i="7"/>
  <c r="L65" i="7"/>
  <c r="M65" i="7"/>
  <c r="N65" i="7"/>
  <c r="O65" i="7"/>
  <c r="P65" i="7"/>
  <c r="S65" i="7"/>
  <c r="T65" i="7"/>
  <c r="U65" i="7"/>
  <c r="V65" i="7"/>
  <c r="W65" i="7"/>
  <c r="X65" i="7"/>
  <c r="B66" i="7"/>
  <c r="C66" i="7"/>
  <c r="D66" i="7"/>
  <c r="E66" i="7"/>
  <c r="F66" i="7"/>
  <c r="G66" i="7"/>
  <c r="K66" i="7"/>
  <c r="L66" i="7"/>
  <c r="M66" i="7"/>
  <c r="N66" i="7"/>
  <c r="O66" i="7"/>
  <c r="P66" i="7"/>
  <c r="S66" i="7"/>
  <c r="T66" i="7"/>
  <c r="U66" i="7"/>
  <c r="V66" i="7"/>
  <c r="W66" i="7"/>
  <c r="X66" i="7"/>
  <c r="B67" i="7"/>
  <c r="C67" i="7"/>
  <c r="D67" i="7"/>
  <c r="E67" i="7"/>
  <c r="F67" i="7"/>
  <c r="G67" i="7"/>
  <c r="K67" i="7"/>
  <c r="L67" i="7"/>
  <c r="M67" i="7"/>
  <c r="N67" i="7"/>
  <c r="O67" i="7"/>
  <c r="P67" i="7"/>
  <c r="S67" i="7"/>
  <c r="T67" i="7"/>
  <c r="U67" i="7"/>
  <c r="V67" i="7"/>
  <c r="W67" i="7"/>
  <c r="X67" i="7"/>
  <c r="F275" i="14"/>
  <c r="F276" i="14"/>
  <c r="F277" i="14"/>
  <c r="F278" i="14"/>
  <c r="F261" i="14"/>
  <c r="F262" i="14"/>
  <c r="F263" i="14"/>
  <c r="F264" i="14"/>
  <c r="B261" i="14"/>
  <c r="B262" i="14"/>
  <c r="B263" i="14"/>
  <c r="B264" i="14"/>
  <c r="F272" i="14"/>
  <c r="F273" i="14"/>
  <c r="F274" i="14"/>
  <c r="K233" i="8"/>
  <c r="M233" i="8"/>
  <c r="L233" i="8"/>
  <c r="N233" i="8"/>
  <c r="O233" i="8"/>
  <c r="B221" i="14"/>
  <c r="W2" i="3"/>
  <c r="W3" i="3"/>
  <c r="W4" i="3"/>
  <c r="W5" i="3"/>
  <c r="W6" i="3"/>
  <c r="W7" i="3"/>
  <c r="W8" i="3"/>
  <c r="W9" i="3"/>
  <c r="W10" i="3"/>
  <c r="K11" i="3"/>
  <c r="W11" i="3"/>
  <c r="W12" i="3"/>
  <c r="K13" i="3"/>
  <c r="O13" i="3"/>
  <c r="P13" i="3"/>
  <c r="Q13" i="3"/>
  <c r="W13" i="3"/>
  <c r="K14" i="3"/>
  <c r="O14" i="3"/>
  <c r="P14" i="3"/>
  <c r="Q14" i="3"/>
  <c r="W14" i="3"/>
  <c r="W15" i="3"/>
  <c r="K16" i="3"/>
  <c r="Q16" i="3"/>
  <c r="W16" i="3"/>
  <c r="K17" i="3"/>
  <c r="O17" i="3"/>
  <c r="P17" i="3"/>
  <c r="Q17" i="3"/>
  <c r="W17" i="3"/>
  <c r="W18" i="3"/>
  <c r="K19" i="3"/>
  <c r="O19" i="3"/>
  <c r="P19" i="3"/>
  <c r="Q19" i="3"/>
  <c r="W19" i="3"/>
  <c r="K20" i="3"/>
  <c r="O20" i="3"/>
  <c r="P20" i="3"/>
  <c r="Q20" i="3"/>
  <c r="W20" i="3"/>
  <c r="K21" i="3"/>
  <c r="O21" i="3"/>
  <c r="P21" i="3"/>
  <c r="Q21" i="3"/>
  <c r="W21" i="3"/>
  <c r="K22" i="3"/>
  <c r="O22" i="3"/>
  <c r="W22" i="3"/>
  <c r="K23" i="3"/>
  <c r="Q23" i="3"/>
  <c r="W23" i="3"/>
  <c r="K24" i="3"/>
  <c r="Q24" i="3"/>
  <c r="W24" i="3"/>
  <c r="K25" i="3"/>
  <c r="Q25" i="3"/>
  <c r="W25" i="3"/>
  <c r="W26" i="3"/>
  <c r="W27" i="3"/>
  <c r="W28" i="3"/>
  <c r="W29" i="3"/>
  <c r="W30" i="3"/>
  <c r="W31" i="3"/>
  <c r="W32" i="3"/>
  <c r="W33" i="3"/>
  <c r="W34" i="3"/>
  <c r="W35" i="3"/>
  <c r="W36" i="3"/>
  <c r="W37" i="3"/>
  <c r="W38" i="3"/>
  <c r="W42" i="3"/>
  <c r="W43" i="3"/>
  <c r="W44" i="3"/>
  <c r="W45" i="3"/>
  <c r="W46" i="3"/>
  <c r="W47" i="3"/>
  <c r="W48" i="3"/>
  <c r="W49" i="3"/>
  <c r="W50" i="3"/>
  <c r="W51" i="3"/>
  <c r="W52" i="3"/>
  <c r="W53" i="3"/>
  <c r="W54" i="3"/>
  <c r="W55" i="3"/>
  <c r="W56" i="3"/>
  <c r="W57" i="3"/>
  <c r="W58" i="3"/>
  <c r="K59" i="3"/>
  <c r="O59" i="3"/>
  <c r="P59" i="3"/>
  <c r="W59" i="3"/>
  <c r="K60" i="3"/>
  <c r="O60" i="3"/>
  <c r="W60" i="3"/>
  <c r="W61" i="3"/>
  <c r="W62" i="3"/>
  <c r="W63" i="3"/>
  <c r="W64" i="3"/>
  <c r="W65" i="3"/>
  <c r="E66" i="3"/>
  <c r="F66" i="3"/>
  <c r="O66" i="3"/>
  <c r="P66" i="3"/>
  <c r="W66" i="3"/>
  <c r="E67" i="3"/>
  <c r="O67" i="3"/>
  <c r="P67" i="3"/>
  <c r="W67" i="3"/>
  <c r="P68" i="3"/>
  <c r="W68" i="3"/>
  <c r="D69" i="3"/>
  <c r="E69" i="3"/>
  <c r="P69" i="3"/>
  <c r="W69" i="3"/>
  <c r="C70" i="3"/>
  <c r="D70" i="3"/>
  <c r="E70" i="3"/>
  <c r="F70" i="3"/>
  <c r="P70" i="3"/>
  <c r="W70" i="3"/>
  <c r="P71" i="3"/>
  <c r="W71" i="3"/>
  <c r="D647" i="5"/>
  <c r="D648" i="5"/>
  <c r="D649" i="5"/>
  <c r="D650" i="5"/>
  <c r="D651" i="5"/>
  <c r="D690" i="5"/>
  <c r="D691" i="5"/>
  <c r="D692" i="5"/>
  <c r="D693" i="5"/>
  <c r="D719" i="5"/>
  <c r="D720" i="5"/>
  <c r="D458" i="5"/>
  <c r="D459" i="5"/>
  <c r="D461" i="5"/>
  <c r="D463" i="5"/>
  <c r="D464" i="5"/>
  <c r="D465" i="5"/>
  <c r="D469" i="5"/>
  <c r="D470" i="5"/>
  <c r="D472" i="5"/>
  <c r="D481" i="5"/>
  <c r="D828" i="5"/>
  <c r="D829" i="5"/>
  <c r="D830" i="5"/>
  <c r="D831" i="5"/>
  <c r="D832" i="5"/>
  <c r="D915" i="5"/>
  <c r="D916" i="5"/>
  <c r="D917" i="5"/>
  <c r="D918" i="5"/>
  <c r="D919" i="5"/>
  <c r="D834" i="5"/>
  <c r="D920" i="5"/>
  <c r="D861" i="5"/>
  <c r="D862" i="5"/>
  <c r="D867" i="5"/>
  <c r="D868" i="5"/>
  <c r="D869" i="5"/>
  <c r="D870" i="5"/>
  <c r="D871" i="5"/>
  <c r="D872" i="5"/>
  <c r="D873" i="5"/>
  <c r="D787" i="5"/>
  <c r="D789" i="5"/>
  <c r="D790" i="5"/>
  <c r="D791" i="5"/>
  <c r="D792" i="5"/>
  <c r="D793" i="5"/>
  <c r="D794" i="5"/>
  <c r="D795" i="5"/>
  <c r="D796" i="5"/>
  <c r="D797" i="5"/>
  <c r="D798" i="5"/>
  <c r="D799" i="5"/>
  <c r="D800" i="5"/>
  <c r="D801" i="5"/>
  <c r="D802" i="5"/>
  <c r="D806" i="5"/>
  <c r="D807" i="5"/>
  <c r="D926" i="5"/>
  <c r="D927" i="5"/>
  <c r="D928" i="5"/>
  <c r="D929" i="5"/>
  <c r="D930" i="5"/>
  <c r="D931" i="5"/>
  <c r="D932" i="5"/>
  <c r="D933" i="5"/>
  <c r="D934" i="5"/>
  <c r="D935" i="5"/>
  <c r="D936" i="5"/>
  <c r="D937" i="5"/>
  <c r="D938" i="5"/>
  <c r="D939" i="5"/>
  <c r="D940" i="5"/>
  <c r="D941" i="5"/>
  <c r="D942" i="5"/>
  <c r="D943" i="5"/>
  <c r="D944" i="5"/>
  <c r="D945" i="5"/>
  <c r="D946" i="5"/>
  <c r="D947" i="5"/>
  <c r="D948" i="5"/>
  <c r="G434" i="11"/>
  <c r="G435" i="11"/>
  <c r="G436" i="11"/>
  <c r="G437" i="11"/>
  <c r="G438" i="11"/>
  <c r="G439" i="11"/>
  <c r="G440" i="11"/>
  <c r="G441" i="11"/>
  <c r="G442" i="11"/>
  <c r="G443" i="11"/>
  <c r="G444" i="11"/>
  <c r="G445" i="11"/>
  <c r="G446" i="11"/>
  <c r="G447" i="11"/>
  <c r="G448" i="11"/>
  <c r="G449" i="11"/>
  <c r="G450" i="11"/>
  <c r="G451" i="11"/>
  <c r="G452" i="11"/>
  <c r="G453" i="11"/>
  <c r="G454" i="11"/>
  <c r="G455" i="11"/>
  <c r="G456" i="11"/>
  <c r="G457" i="11"/>
  <c r="G458" i="11"/>
  <c r="G459" i="11"/>
  <c r="G460" i="11"/>
  <c r="G461" i="11"/>
  <c r="G462" i="11"/>
  <c r="G463" i="11"/>
  <c r="G464" i="11"/>
  <c r="G465" i="11"/>
  <c r="G466" i="11"/>
  <c r="G467" i="11"/>
  <c r="G468" i="11"/>
  <c r="G469" i="11"/>
  <c r="G470" i="11"/>
  <c r="G471" i="11"/>
  <c r="G472" i="11"/>
  <c r="G473" i="11"/>
  <c r="G474" i="11"/>
  <c r="G475" i="11"/>
  <c r="D845" i="5"/>
  <c r="D851" i="5"/>
  <c r="D449" i="5"/>
  <c r="D450" i="5"/>
  <c r="D451" i="5"/>
  <c r="D452" i="5"/>
  <c r="D453" i="5"/>
  <c r="D578" i="5"/>
  <c r="D579" i="5"/>
  <c r="D580" i="5"/>
  <c r="D581" i="5"/>
  <c r="D582" i="5"/>
  <c r="D595" i="5"/>
  <c r="D597" i="5"/>
  <c r="D600" i="5"/>
  <c r="D438" i="5"/>
  <c r="D439" i="5"/>
  <c r="D440" i="5"/>
  <c r="D441" i="5"/>
  <c r="D442" i="5"/>
  <c r="D482" i="5"/>
  <c r="D643" i="5"/>
  <c r="D443" i="5"/>
  <c r="D444" i="5"/>
  <c r="D646" i="5"/>
  <c r="D771" i="5"/>
  <c r="D908" i="5"/>
  <c r="D909" i="5"/>
  <c r="D910" i="5"/>
  <c r="D911" i="5"/>
  <c r="D912" i="5"/>
  <c r="D913" i="5"/>
  <c r="D914" i="5"/>
  <c r="D824" i="5"/>
  <c r="D841" i="5"/>
  <c r="D842" i="5"/>
  <c r="D843" i="5"/>
  <c r="D844" i="5"/>
  <c r="D502" i="5"/>
  <c r="D504" i="5"/>
  <c r="D505" i="5"/>
  <c r="D506" i="5"/>
  <c r="D575" i="5"/>
  <c r="D576" i="5"/>
  <c r="D577" i="5"/>
  <c r="D744" i="5"/>
  <c r="D821" i="5"/>
  <c r="D822" i="5"/>
  <c r="D823" i="5"/>
  <c r="D837" i="5"/>
  <c r="D838" i="5"/>
  <c r="D839" i="5"/>
  <c r="D840" i="5"/>
  <c r="D488" i="5"/>
  <c r="D489" i="5"/>
  <c r="D490" i="5"/>
  <c r="D431" i="5"/>
  <c r="D499" i="5"/>
  <c r="D500" i="5"/>
  <c r="D6" i="5"/>
  <c r="D8" i="5"/>
  <c r="D9" i="5"/>
  <c r="D10" i="5"/>
  <c r="D13" i="5"/>
  <c r="D15" i="5"/>
  <c r="D58" i="5"/>
  <c r="D61" i="5"/>
  <c r="D62" i="5"/>
  <c r="D63" i="5"/>
  <c r="D64" i="5"/>
  <c r="U85" i="5"/>
  <c r="D85" i="5"/>
  <c r="D86" i="5"/>
  <c r="D87" i="5"/>
  <c r="D88" i="5"/>
  <c r="D104" i="5"/>
  <c r="D105" i="5"/>
  <c r="D106" i="5"/>
  <c r="D107" i="5"/>
  <c r="D108" i="5"/>
  <c r="D109" i="5"/>
  <c r="D117" i="5"/>
  <c r="D118" i="5"/>
  <c r="D119" i="5"/>
  <c r="D120" i="5"/>
  <c r="D121" i="5"/>
  <c r="D122" i="5"/>
  <c r="D123" i="5"/>
  <c r="D125" i="5"/>
  <c r="D128" i="5"/>
  <c r="D131" i="5"/>
  <c r="D145" i="5"/>
  <c r="D148" i="5"/>
  <c r="D372" i="5"/>
  <c r="D373" i="5"/>
  <c r="D374" i="5"/>
  <c r="D375" i="5"/>
  <c r="D376" i="5"/>
  <c r="D377" i="5"/>
  <c r="D378" i="5"/>
  <c r="D379" i="5"/>
  <c r="D380" i="5"/>
  <c r="D381" i="5"/>
  <c r="D382" i="5"/>
  <c r="D383" i="5"/>
  <c r="D384" i="5"/>
  <c r="D387" i="5"/>
  <c r="D388" i="5"/>
  <c r="D401" i="5"/>
  <c r="D402" i="5"/>
  <c r="D445" i="5"/>
  <c r="D473" i="5"/>
  <c r="D474" i="5"/>
  <c r="D476" i="5"/>
  <c r="D477" i="5"/>
  <c r="D480" i="5"/>
  <c r="AE493" i="5"/>
  <c r="AE495" i="5"/>
  <c r="AE497" i="5"/>
  <c r="AE498" i="5"/>
  <c r="AE503" i="5"/>
  <c r="AE508" i="5"/>
  <c r="AE509" i="5"/>
  <c r="AE510" i="5"/>
  <c r="AE511" i="5"/>
  <c r="AE518" i="5"/>
  <c r="AE519" i="5"/>
  <c r="AE521" i="5"/>
  <c r="AL13" i="5"/>
  <c r="D703" i="5"/>
  <c r="D704" i="5"/>
  <c r="D705" i="5"/>
  <c r="D808" i="5"/>
  <c r="D809" i="5"/>
  <c r="D810" i="5"/>
  <c r="D820" i="5"/>
  <c r="D733" i="5"/>
  <c r="D423" i="5"/>
  <c r="D736" i="5"/>
  <c r="D737" i="5"/>
  <c r="D424" i="5"/>
  <c r="D758" i="5"/>
  <c r="D294" i="5"/>
  <c r="D302" i="5"/>
  <c r="D303" i="5"/>
  <c r="D304" i="5"/>
  <c r="D309" i="5"/>
  <c r="D825" i="5"/>
  <c r="D432" i="5"/>
  <c r="D826" i="5"/>
  <c r="D747" i="5"/>
  <c r="D748" i="5"/>
  <c r="D749" i="5"/>
  <c r="D750" i="5"/>
  <c r="D751" i="5"/>
  <c r="D425" i="5"/>
  <c r="D752" i="5"/>
  <c r="D827" i="5"/>
  <c r="D755" i="5"/>
  <c r="D756" i="5"/>
  <c r="D833" i="5"/>
  <c r="D757" i="5"/>
  <c r="D433" i="5"/>
  <c r="D759" i="5"/>
  <c r="D434" i="5"/>
  <c r="D878" i="5"/>
  <c r="D835" i="5"/>
  <c r="D426" i="5"/>
  <c r="D879" i="5"/>
  <c r="D427" i="5"/>
  <c r="D436" i="5"/>
  <c r="D437" i="5"/>
  <c r="D880" i="5"/>
  <c r="D310" i="5"/>
  <c r="D311" i="5"/>
  <c r="D312" i="5"/>
  <c r="D313" i="5"/>
  <c r="D314" i="5"/>
  <c r="D852" i="5"/>
  <c r="D853" i="5"/>
  <c r="D881" i="5"/>
  <c r="D882" i="5"/>
  <c r="D854" i="5"/>
  <c r="D855" i="5"/>
  <c r="D856" i="5"/>
  <c r="D857" i="5"/>
  <c r="D858" i="5"/>
  <c r="D859" i="5"/>
  <c r="D860" i="5"/>
  <c r="D435" i="5"/>
  <c r="D883" i="5"/>
  <c r="D884" i="5"/>
  <c r="D885" i="5"/>
  <c r="D874" i="5"/>
  <c r="D875" i="5"/>
  <c r="D876" i="5"/>
  <c r="D886" i="5"/>
  <c r="D887" i="5"/>
  <c r="D877" i="5"/>
  <c r="D888" i="5"/>
  <c r="D889" i="5"/>
  <c r="D890" i="5"/>
  <c r="D891" i="5"/>
  <c r="D892" i="5"/>
  <c r="D723" i="5"/>
  <c r="D724" i="5"/>
  <c r="D725" i="5"/>
  <c r="D726" i="5"/>
  <c r="D727" i="5"/>
  <c r="D728" i="5"/>
  <c r="D729" i="5"/>
  <c r="D730" i="5"/>
  <c r="D731" i="5"/>
  <c r="D738" i="5"/>
  <c r="D742" i="5"/>
  <c r="AO3" i="5"/>
  <c r="AN3" i="5"/>
  <c r="AM3" i="5"/>
  <c r="G422" i="11"/>
  <c r="G423" i="11"/>
  <c r="G424" i="11"/>
  <c r="G426" i="11"/>
  <c r="G427" i="11"/>
  <c r="G428" i="11"/>
  <c r="F429" i="11"/>
  <c r="E429" i="11"/>
  <c r="G429" i="11"/>
  <c r="G430" i="11"/>
  <c r="G431" i="11"/>
  <c r="G432" i="11"/>
  <c r="I423" i="11"/>
  <c r="G421" i="11"/>
  <c r="G425" i="11"/>
  <c r="G433" i="11"/>
  <c r="F150" i="1"/>
  <c r="AH150" i="1"/>
  <c r="AJ150" i="1"/>
  <c r="AL156" i="1"/>
  <c r="AI156" i="1"/>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F255" i="14"/>
  <c r="B256" i="14"/>
  <c r="B255" i="14"/>
  <c r="AC274" i="5"/>
  <c r="AC275" i="5"/>
  <c r="AC106" i="5"/>
  <c r="AC104" i="5"/>
  <c r="G406" i="11"/>
  <c r="G407" i="11"/>
  <c r="G408" i="11"/>
  <c r="G409" i="11"/>
  <c r="G410" i="11"/>
  <c r="G411" i="11"/>
  <c r="G412" i="11"/>
  <c r="G413" i="11"/>
  <c r="G414" i="11"/>
  <c r="G415" i="11"/>
  <c r="G416" i="11"/>
  <c r="G417" i="11"/>
  <c r="G418" i="11"/>
  <c r="G419" i="11"/>
  <c r="G420" i="11"/>
  <c r="AC156" i="1"/>
  <c r="B181" i="1"/>
  <c r="D181" i="1"/>
  <c r="AB181" i="1"/>
  <c r="AD181" i="1"/>
  <c r="E181" i="1"/>
  <c r="AE181" i="1"/>
  <c r="AG181" i="1"/>
  <c r="F181" i="1"/>
  <c r="AH181" i="1"/>
  <c r="AJ181" i="1"/>
  <c r="G181" i="1"/>
  <c r="AK181" i="1"/>
  <c r="AM181" i="1"/>
  <c r="H181" i="1"/>
  <c r="AN181" i="1"/>
  <c r="AP181" i="1"/>
  <c r="B182" i="1"/>
  <c r="D182" i="1"/>
  <c r="AB182" i="1"/>
  <c r="AD182" i="1"/>
  <c r="E182" i="1"/>
  <c r="AE182" i="1"/>
  <c r="AG182" i="1"/>
  <c r="F182" i="1"/>
  <c r="AH182" i="1"/>
  <c r="AJ182" i="1"/>
  <c r="G182" i="1"/>
  <c r="AK182" i="1"/>
  <c r="AM182" i="1"/>
  <c r="H182" i="1"/>
  <c r="AN182" i="1"/>
  <c r="AP182" i="1"/>
  <c r="B183" i="1"/>
  <c r="D183" i="1"/>
  <c r="AB183" i="1"/>
  <c r="AD183" i="1"/>
  <c r="E183" i="1"/>
  <c r="AE183" i="1"/>
  <c r="AG183" i="1"/>
  <c r="F183" i="1"/>
  <c r="AH183" i="1"/>
  <c r="AJ183" i="1"/>
  <c r="G183" i="1"/>
  <c r="AK183" i="1"/>
  <c r="AM183" i="1"/>
  <c r="H183" i="1"/>
  <c r="AN183" i="1"/>
  <c r="AP183" i="1"/>
  <c r="B184" i="1"/>
  <c r="D184" i="1"/>
  <c r="AB184" i="1"/>
  <c r="AD184" i="1"/>
  <c r="E184" i="1"/>
  <c r="AE184" i="1"/>
  <c r="AG184" i="1"/>
  <c r="F184" i="1"/>
  <c r="AH184" i="1"/>
  <c r="AJ184" i="1"/>
  <c r="G184" i="1"/>
  <c r="AK184" i="1"/>
  <c r="AM184" i="1"/>
  <c r="H184" i="1"/>
  <c r="AN184" i="1"/>
  <c r="AP184" i="1"/>
  <c r="B185" i="1"/>
  <c r="D185" i="1"/>
  <c r="AB185" i="1"/>
  <c r="AD185" i="1"/>
  <c r="E185" i="1"/>
  <c r="AE185" i="1"/>
  <c r="AG185" i="1"/>
  <c r="F185" i="1"/>
  <c r="AH185" i="1"/>
  <c r="AJ185" i="1"/>
  <c r="G185" i="1"/>
  <c r="AK185" i="1"/>
  <c r="AM185" i="1"/>
  <c r="H185" i="1"/>
  <c r="AN185" i="1"/>
  <c r="AP185" i="1"/>
  <c r="B186" i="1"/>
  <c r="D186" i="1"/>
  <c r="AB186" i="1"/>
  <c r="AD186" i="1"/>
  <c r="E186" i="1"/>
  <c r="AE186" i="1"/>
  <c r="AG186" i="1"/>
  <c r="F186" i="1"/>
  <c r="AH186" i="1"/>
  <c r="AJ186" i="1"/>
  <c r="G186" i="1"/>
  <c r="AK186" i="1"/>
  <c r="AM186" i="1"/>
  <c r="H186" i="1"/>
  <c r="AN186" i="1"/>
  <c r="AP186" i="1"/>
  <c r="B187" i="1"/>
  <c r="D187" i="1"/>
  <c r="E187" i="1"/>
  <c r="AE187" i="1"/>
  <c r="AG187" i="1"/>
  <c r="F187" i="1"/>
  <c r="AH187" i="1"/>
  <c r="AJ187" i="1"/>
  <c r="G187" i="1"/>
  <c r="AK187" i="1"/>
  <c r="AM187" i="1"/>
  <c r="H187" i="1"/>
  <c r="AN187" i="1"/>
  <c r="AP187" i="1"/>
  <c r="B188" i="1"/>
  <c r="D188" i="1"/>
  <c r="E188" i="1"/>
  <c r="AE188" i="1"/>
  <c r="AG188" i="1"/>
  <c r="F188" i="1"/>
  <c r="AH188" i="1"/>
  <c r="AJ188" i="1"/>
  <c r="G188" i="1"/>
  <c r="AK188" i="1"/>
  <c r="AM188" i="1"/>
  <c r="H188" i="1"/>
  <c r="AN188" i="1"/>
  <c r="AP188" i="1"/>
  <c r="B189" i="1"/>
  <c r="D189" i="1"/>
  <c r="AB189" i="1"/>
  <c r="AD189" i="1"/>
  <c r="E189" i="1"/>
  <c r="AE189" i="1"/>
  <c r="AG189" i="1"/>
  <c r="F189" i="1"/>
  <c r="AH189" i="1"/>
  <c r="AJ189" i="1"/>
  <c r="G189" i="1"/>
  <c r="AK189" i="1"/>
  <c r="AM189" i="1"/>
  <c r="H189" i="1"/>
  <c r="AN189" i="1"/>
  <c r="AP189" i="1"/>
  <c r="B190" i="1"/>
  <c r="D190" i="1"/>
  <c r="AB190" i="1"/>
  <c r="AD190" i="1"/>
  <c r="E190" i="1"/>
  <c r="AE190" i="1"/>
  <c r="AG190" i="1"/>
  <c r="F190" i="1"/>
  <c r="AH190" i="1"/>
  <c r="AJ190" i="1"/>
  <c r="G190" i="1"/>
  <c r="AK190" i="1"/>
  <c r="AM190" i="1"/>
  <c r="H190" i="1"/>
  <c r="AN190" i="1"/>
  <c r="AP190" i="1"/>
  <c r="B191" i="1"/>
  <c r="D191" i="1"/>
  <c r="AB191" i="1"/>
  <c r="AD191" i="1"/>
  <c r="E191" i="1"/>
  <c r="AE191" i="1"/>
  <c r="AG191" i="1"/>
  <c r="F191" i="1"/>
  <c r="AH191" i="1"/>
  <c r="AJ191" i="1"/>
  <c r="G191" i="1"/>
  <c r="AK191" i="1"/>
  <c r="AM191" i="1"/>
  <c r="H191" i="1"/>
  <c r="AN191" i="1"/>
  <c r="AP191" i="1"/>
  <c r="B192" i="1"/>
  <c r="D192" i="1"/>
  <c r="AB192" i="1"/>
  <c r="AD192" i="1"/>
  <c r="E192" i="1"/>
  <c r="AE192" i="1"/>
  <c r="AG192" i="1"/>
  <c r="F192" i="1"/>
  <c r="AH192" i="1"/>
  <c r="AJ192" i="1"/>
  <c r="G192" i="1"/>
  <c r="AK192" i="1"/>
  <c r="AM192" i="1"/>
  <c r="H192" i="1"/>
  <c r="AN192" i="1"/>
  <c r="AP192" i="1"/>
  <c r="B193" i="1"/>
  <c r="D193" i="1"/>
  <c r="AB193" i="1"/>
  <c r="AD193" i="1"/>
  <c r="E193" i="1"/>
  <c r="AE193" i="1"/>
  <c r="AG193" i="1"/>
  <c r="F193" i="1"/>
  <c r="AH193" i="1"/>
  <c r="AJ193" i="1"/>
  <c r="G193" i="1"/>
  <c r="AK193" i="1"/>
  <c r="AM193" i="1"/>
  <c r="H193" i="1"/>
  <c r="AN193" i="1"/>
  <c r="AP193" i="1"/>
  <c r="I193" i="1"/>
  <c r="B194" i="1"/>
  <c r="D194" i="1"/>
  <c r="AB194" i="1"/>
  <c r="AD194" i="1"/>
  <c r="E194" i="1"/>
  <c r="AE194" i="1"/>
  <c r="AG194" i="1"/>
  <c r="F194" i="1"/>
  <c r="AH194" i="1"/>
  <c r="AJ194" i="1"/>
  <c r="G194" i="1"/>
  <c r="AK194" i="1"/>
  <c r="AM194" i="1"/>
  <c r="H194" i="1"/>
  <c r="AN194" i="1"/>
  <c r="AP194" i="1"/>
  <c r="I194" i="1"/>
  <c r="B195" i="1"/>
  <c r="D195" i="1"/>
  <c r="AB195" i="1"/>
  <c r="AD195" i="1"/>
  <c r="E195" i="1"/>
  <c r="AE195" i="1"/>
  <c r="AG195" i="1"/>
  <c r="F195" i="1"/>
  <c r="AH195" i="1"/>
  <c r="AJ195" i="1"/>
  <c r="G195" i="1"/>
  <c r="AK195" i="1"/>
  <c r="AM195" i="1"/>
  <c r="H195" i="1"/>
  <c r="AN195" i="1"/>
  <c r="AP195" i="1"/>
  <c r="B196" i="1"/>
  <c r="D196" i="1"/>
  <c r="E196" i="1"/>
  <c r="AE196" i="1"/>
  <c r="AG196" i="1"/>
  <c r="F196" i="1"/>
  <c r="AH196" i="1"/>
  <c r="AJ196" i="1"/>
  <c r="G196" i="1"/>
  <c r="AK196" i="1"/>
  <c r="AM196" i="1"/>
  <c r="H196" i="1"/>
  <c r="AN196" i="1"/>
  <c r="AP196" i="1"/>
  <c r="B197" i="1"/>
  <c r="D197" i="1"/>
  <c r="E197" i="1"/>
  <c r="AE197" i="1"/>
  <c r="AG197" i="1"/>
  <c r="F197" i="1"/>
  <c r="AH197" i="1"/>
  <c r="AJ197" i="1"/>
  <c r="G197" i="1"/>
  <c r="AK197" i="1"/>
  <c r="AM197" i="1"/>
  <c r="H197" i="1"/>
  <c r="AN197" i="1"/>
  <c r="AP197" i="1"/>
  <c r="B198" i="1"/>
  <c r="D198" i="1"/>
  <c r="AB198" i="1"/>
  <c r="AD198" i="1"/>
  <c r="E198" i="1"/>
  <c r="AE198" i="1"/>
  <c r="AG198" i="1"/>
  <c r="F198" i="1"/>
  <c r="AH198" i="1"/>
  <c r="AJ198" i="1"/>
  <c r="G198" i="1"/>
  <c r="AK198" i="1"/>
  <c r="AM198" i="1"/>
  <c r="H198" i="1"/>
  <c r="AN198" i="1"/>
  <c r="AP198" i="1"/>
  <c r="B199" i="1"/>
  <c r="D199" i="1"/>
  <c r="AB199" i="1"/>
  <c r="AD199" i="1"/>
  <c r="E199" i="1"/>
  <c r="AE199" i="1"/>
  <c r="AG199" i="1"/>
  <c r="F199" i="1"/>
  <c r="AH199" i="1"/>
  <c r="AJ199" i="1"/>
  <c r="G199" i="1"/>
  <c r="AK199" i="1"/>
  <c r="AM199" i="1"/>
  <c r="H199" i="1"/>
  <c r="AN199" i="1"/>
  <c r="AP199" i="1"/>
  <c r="B200" i="1"/>
  <c r="D200" i="1"/>
  <c r="AB200" i="1"/>
  <c r="AD200" i="1"/>
  <c r="E200" i="1"/>
  <c r="AE200" i="1"/>
  <c r="AG200" i="1"/>
  <c r="F200" i="1"/>
  <c r="AH200" i="1"/>
  <c r="AJ200" i="1"/>
  <c r="G200" i="1"/>
  <c r="AK200" i="1"/>
  <c r="AM200" i="1"/>
  <c r="H200" i="1"/>
  <c r="AN200" i="1"/>
  <c r="AP200" i="1"/>
  <c r="B201" i="1"/>
  <c r="D201" i="1"/>
  <c r="AB201" i="1"/>
  <c r="AD201" i="1"/>
  <c r="E201" i="1"/>
  <c r="AE201" i="1"/>
  <c r="AG201" i="1"/>
  <c r="F201" i="1"/>
  <c r="AH201" i="1"/>
  <c r="AJ201" i="1"/>
  <c r="G201" i="1"/>
  <c r="AK201" i="1"/>
  <c r="AM201" i="1"/>
  <c r="H201" i="1"/>
  <c r="AN201" i="1"/>
  <c r="AP201" i="1"/>
  <c r="B202" i="1"/>
  <c r="D202" i="1"/>
  <c r="AB202" i="1"/>
  <c r="AD202" i="1"/>
  <c r="E202" i="1"/>
  <c r="AE202" i="1"/>
  <c r="AG202" i="1"/>
  <c r="F202" i="1"/>
  <c r="AH202" i="1"/>
  <c r="AJ202" i="1"/>
  <c r="G202" i="1"/>
  <c r="AK202" i="1"/>
  <c r="AM202" i="1"/>
  <c r="H202" i="1"/>
  <c r="AN202" i="1"/>
  <c r="AP202" i="1"/>
  <c r="I202" i="1"/>
  <c r="B203" i="1"/>
  <c r="D203" i="1"/>
  <c r="AB203" i="1"/>
  <c r="AD203" i="1"/>
  <c r="E203" i="1"/>
  <c r="AE203" i="1"/>
  <c r="AG203" i="1"/>
  <c r="F203" i="1"/>
  <c r="AH203" i="1"/>
  <c r="AJ203" i="1"/>
  <c r="G203" i="1"/>
  <c r="AK203" i="1"/>
  <c r="AM203" i="1"/>
  <c r="H203" i="1"/>
  <c r="AN203" i="1"/>
  <c r="AP203" i="1"/>
  <c r="B204" i="1"/>
  <c r="D204" i="1"/>
  <c r="AB204" i="1"/>
  <c r="AD204" i="1"/>
  <c r="E204" i="1"/>
  <c r="AE204" i="1"/>
  <c r="AG204" i="1"/>
  <c r="F204" i="1"/>
  <c r="AH204" i="1"/>
  <c r="AJ204" i="1"/>
  <c r="G204" i="1"/>
  <c r="AK204" i="1"/>
  <c r="AM204" i="1"/>
  <c r="H204" i="1"/>
  <c r="AN204" i="1"/>
  <c r="AP204" i="1"/>
  <c r="B205" i="1"/>
  <c r="D205" i="1"/>
  <c r="AB205" i="1"/>
  <c r="AD205" i="1"/>
  <c r="E205" i="1"/>
  <c r="AE205" i="1"/>
  <c r="AG205" i="1"/>
  <c r="F205" i="1"/>
  <c r="AH205" i="1"/>
  <c r="AJ205" i="1"/>
  <c r="G205" i="1"/>
  <c r="AK205" i="1"/>
  <c r="AM205" i="1"/>
  <c r="H205" i="1"/>
  <c r="AN205" i="1"/>
  <c r="AP205" i="1"/>
  <c r="B206" i="1"/>
  <c r="D206" i="1"/>
  <c r="AB206" i="1"/>
  <c r="AD206" i="1"/>
  <c r="E206" i="1"/>
  <c r="AE206" i="1"/>
  <c r="AG206" i="1"/>
  <c r="F206" i="1"/>
  <c r="AH206" i="1"/>
  <c r="AJ206" i="1"/>
  <c r="G206" i="1"/>
  <c r="AK206" i="1"/>
  <c r="AM206" i="1"/>
  <c r="H206" i="1"/>
  <c r="AN206" i="1"/>
  <c r="AP206" i="1"/>
  <c r="B207" i="1"/>
  <c r="D207" i="1"/>
  <c r="AB207" i="1"/>
  <c r="AD207" i="1"/>
  <c r="E207" i="1"/>
  <c r="AE207" i="1"/>
  <c r="AG207" i="1"/>
  <c r="F207" i="1"/>
  <c r="AH207" i="1"/>
  <c r="AJ207" i="1"/>
  <c r="G207" i="1"/>
  <c r="AK207" i="1"/>
  <c r="AM207" i="1"/>
  <c r="H207" i="1"/>
  <c r="AN207" i="1"/>
  <c r="AP207" i="1"/>
  <c r="B208" i="1"/>
  <c r="D208" i="1"/>
  <c r="AB208" i="1"/>
  <c r="AD208" i="1"/>
  <c r="E208" i="1"/>
  <c r="AE208" i="1"/>
  <c r="AG208" i="1"/>
  <c r="F208" i="1"/>
  <c r="AH208" i="1"/>
  <c r="AJ208" i="1"/>
  <c r="G208" i="1"/>
  <c r="AK208" i="1"/>
  <c r="AM208" i="1"/>
  <c r="H208" i="1"/>
  <c r="AN208" i="1"/>
  <c r="AP208" i="1"/>
  <c r="B209" i="1"/>
  <c r="D209" i="1"/>
  <c r="AB209" i="1"/>
  <c r="AD209" i="1"/>
  <c r="E209" i="1"/>
  <c r="AE209" i="1"/>
  <c r="AG209" i="1"/>
  <c r="F209" i="1"/>
  <c r="AH209" i="1"/>
  <c r="AJ209" i="1"/>
  <c r="G209" i="1"/>
  <c r="AK209" i="1"/>
  <c r="AM209" i="1"/>
  <c r="H209" i="1"/>
  <c r="AN209" i="1"/>
  <c r="AP209" i="1"/>
  <c r="B210" i="1"/>
  <c r="D210" i="1"/>
  <c r="AB210" i="1"/>
  <c r="AD210" i="1"/>
  <c r="E210" i="1"/>
  <c r="AE210" i="1"/>
  <c r="AG210" i="1"/>
  <c r="F210" i="1"/>
  <c r="AH210" i="1"/>
  <c r="AJ210" i="1"/>
  <c r="G210" i="1"/>
  <c r="AK210" i="1"/>
  <c r="AM210" i="1"/>
  <c r="H210" i="1"/>
  <c r="AN210" i="1"/>
  <c r="AP210" i="1"/>
  <c r="B211" i="1"/>
  <c r="D211" i="1"/>
  <c r="AB211" i="1"/>
  <c r="AD211" i="1"/>
  <c r="E211" i="1"/>
  <c r="AE211" i="1"/>
  <c r="AG211" i="1"/>
  <c r="F211" i="1"/>
  <c r="AH211" i="1"/>
  <c r="AJ211" i="1"/>
  <c r="G211" i="1"/>
  <c r="AK211" i="1"/>
  <c r="AM211" i="1"/>
  <c r="H211" i="1"/>
  <c r="AN211" i="1"/>
  <c r="AP211" i="1"/>
  <c r="I211" i="1"/>
  <c r="B212" i="1"/>
  <c r="D212" i="1"/>
  <c r="AB212" i="1"/>
  <c r="AD212" i="1"/>
  <c r="E212" i="1"/>
  <c r="AE212" i="1"/>
  <c r="AG212" i="1"/>
  <c r="F212" i="1"/>
  <c r="AH212" i="1"/>
  <c r="AJ212" i="1"/>
  <c r="G212" i="1"/>
  <c r="AK212" i="1"/>
  <c r="AM212" i="1"/>
  <c r="H212" i="1"/>
  <c r="AN212" i="1"/>
  <c r="AP212" i="1"/>
  <c r="B213" i="1"/>
  <c r="D213" i="1"/>
  <c r="AB213" i="1"/>
  <c r="AD213" i="1"/>
  <c r="E213" i="1"/>
  <c r="AE213" i="1"/>
  <c r="AG213" i="1"/>
  <c r="F213" i="1"/>
  <c r="AH213" i="1"/>
  <c r="AJ213" i="1"/>
  <c r="G213" i="1"/>
  <c r="AK213" i="1"/>
  <c r="AM213" i="1"/>
  <c r="H213" i="1"/>
  <c r="AN213" i="1"/>
  <c r="AP213" i="1"/>
  <c r="B214" i="1"/>
  <c r="D214" i="1"/>
  <c r="AB214" i="1"/>
  <c r="AD214" i="1"/>
  <c r="E214" i="1"/>
  <c r="AE214" i="1"/>
  <c r="AG214" i="1"/>
  <c r="F214" i="1"/>
  <c r="AH214" i="1"/>
  <c r="AJ214" i="1"/>
  <c r="G214" i="1"/>
  <c r="AK214" i="1"/>
  <c r="AM214" i="1"/>
  <c r="H214" i="1"/>
  <c r="AN214" i="1"/>
  <c r="AP214" i="1"/>
  <c r="B215" i="1"/>
  <c r="D215" i="1"/>
  <c r="AB215" i="1"/>
  <c r="AD215" i="1"/>
  <c r="E215" i="1"/>
  <c r="AE215" i="1"/>
  <c r="AG215" i="1"/>
  <c r="F215" i="1"/>
  <c r="AH215" i="1"/>
  <c r="AJ215" i="1"/>
  <c r="G215" i="1"/>
  <c r="AK215" i="1"/>
  <c r="AM215" i="1"/>
  <c r="H215" i="1"/>
  <c r="AN215" i="1"/>
  <c r="AP215" i="1"/>
  <c r="B216" i="1"/>
  <c r="D216" i="1"/>
  <c r="AB216" i="1"/>
  <c r="AD216" i="1"/>
  <c r="E216" i="1"/>
  <c r="AE216" i="1"/>
  <c r="AG216" i="1"/>
  <c r="F216" i="1"/>
  <c r="AH216" i="1"/>
  <c r="AJ216" i="1"/>
  <c r="G216" i="1"/>
  <c r="AK216" i="1"/>
  <c r="AM216" i="1"/>
  <c r="H216" i="1"/>
  <c r="AN216" i="1"/>
  <c r="AP216" i="1"/>
  <c r="I216" i="1"/>
  <c r="B217" i="1"/>
  <c r="D217" i="1"/>
  <c r="AB217" i="1"/>
  <c r="AD217" i="1"/>
  <c r="E217" i="1"/>
  <c r="AE217" i="1"/>
  <c r="AG217" i="1"/>
  <c r="F217" i="1"/>
  <c r="AH217" i="1"/>
  <c r="AJ217" i="1"/>
  <c r="G217" i="1"/>
  <c r="AK217" i="1"/>
  <c r="AM217" i="1"/>
  <c r="H217" i="1"/>
  <c r="AN217" i="1"/>
  <c r="AP217" i="1"/>
  <c r="I217" i="1"/>
  <c r="B218" i="1"/>
  <c r="D218" i="1"/>
  <c r="AB218" i="1"/>
  <c r="AD218" i="1"/>
  <c r="E218" i="1"/>
  <c r="AE218" i="1"/>
  <c r="AG218" i="1"/>
  <c r="F218" i="1"/>
  <c r="AH218" i="1"/>
  <c r="AJ218" i="1"/>
  <c r="G218" i="1"/>
  <c r="AK218" i="1"/>
  <c r="AM218" i="1"/>
  <c r="H218" i="1"/>
  <c r="AN218" i="1"/>
  <c r="AP218" i="1"/>
  <c r="B219" i="1"/>
  <c r="D219" i="1"/>
  <c r="AB219" i="1"/>
  <c r="AD219" i="1"/>
  <c r="E219" i="1"/>
  <c r="AE219" i="1"/>
  <c r="AG219" i="1"/>
  <c r="F219" i="1"/>
  <c r="AH219" i="1"/>
  <c r="AJ219" i="1"/>
  <c r="G219" i="1"/>
  <c r="AK219" i="1"/>
  <c r="AM219" i="1"/>
  <c r="H219" i="1"/>
  <c r="AN219" i="1"/>
  <c r="AP219" i="1"/>
  <c r="B220" i="1"/>
  <c r="D220" i="1"/>
  <c r="AB220" i="1"/>
  <c r="AD220" i="1"/>
  <c r="E220" i="1"/>
  <c r="AE220" i="1"/>
  <c r="AG220" i="1"/>
  <c r="F220" i="1"/>
  <c r="AH220" i="1"/>
  <c r="AJ220" i="1"/>
  <c r="G220" i="1"/>
  <c r="AK220" i="1"/>
  <c r="AM220" i="1"/>
  <c r="H220" i="1"/>
  <c r="AN220" i="1"/>
  <c r="AP220" i="1"/>
  <c r="B221" i="1"/>
  <c r="D221" i="1"/>
  <c r="AB221" i="1"/>
  <c r="AD221" i="1"/>
  <c r="AH221" i="1"/>
  <c r="AJ221" i="1"/>
  <c r="G221" i="1"/>
  <c r="AK221" i="1"/>
  <c r="AM221" i="1"/>
  <c r="H221" i="1"/>
  <c r="AN221" i="1"/>
  <c r="AP221" i="1"/>
  <c r="B222" i="1"/>
  <c r="D222" i="1"/>
  <c r="AB222" i="1"/>
  <c r="AD222" i="1"/>
  <c r="E222" i="1"/>
  <c r="AE222" i="1"/>
  <c r="AG222" i="1"/>
  <c r="F222" i="1"/>
  <c r="AH222" i="1"/>
  <c r="AJ222" i="1"/>
  <c r="G222" i="1"/>
  <c r="AK222" i="1"/>
  <c r="AM222" i="1"/>
  <c r="H222" i="1"/>
  <c r="AN222" i="1"/>
  <c r="AP222" i="1"/>
  <c r="B223" i="1"/>
  <c r="D223" i="1"/>
  <c r="AB223" i="1"/>
  <c r="AD223" i="1"/>
  <c r="E223" i="1"/>
  <c r="AE223" i="1"/>
  <c r="AG223" i="1"/>
  <c r="F223" i="1"/>
  <c r="AH223" i="1"/>
  <c r="AJ223" i="1"/>
  <c r="G223" i="1"/>
  <c r="AK223" i="1"/>
  <c r="AM223" i="1"/>
  <c r="H223" i="1"/>
  <c r="AN223" i="1"/>
  <c r="AP223" i="1"/>
  <c r="B224" i="1"/>
  <c r="D224" i="1"/>
  <c r="AB224" i="1"/>
  <c r="AD224" i="1"/>
  <c r="E224" i="1"/>
  <c r="AE224" i="1"/>
  <c r="AG224" i="1"/>
  <c r="F224" i="1"/>
  <c r="AH224" i="1"/>
  <c r="AJ224" i="1"/>
  <c r="G224" i="1"/>
  <c r="AK224" i="1"/>
  <c r="AM224" i="1"/>
  <c r="H224" i="1"/>
  <c r="AN224" i="1"/>
  <c r="AP224" i="1"/>
  <c r="B225" i="1"/>
  <c r="D225" i="1"/>
  <c r="AB225" i="1"/>
  <c r="AD225" i="1"/>
  <c r="E225" i="1"/>
  <c r="AE225" i="1"/>
  <c r="AG225" i="1"/>
  <c r="F225" i="1"/>
  <c r="AH225" i="1"/>
  <c r="AJ225" i="1"/>
  <c r="G225" i="1"/>
  <c r="AK225" i="1"/>
  <c r="AM225" i="1"/>
  <c r="H225" i="1"/>
  <c r="AN225" i="1"/>
  <c r="AP225" i="1"/>
  <c r="I225" i="1"/>
  <c r="B226" i="1"/>
  <c r="D226" i="1"/>
  <c r="AB226" i="1"/>
  <c r="AD226" i="1"/>
  <c r="E226" i="1"/>
  <c r="AE226" i="1"/>
  <c r="AG226" i="1"/>
  <c r="F226" i="1"/>
  <c r="AH226" i="1"/>
  <c r="AJ226" i="1"/>
  <c r="G226" i="1"/>
  <c r="AK226" i="1"/>
  <c r="AM226" i="1"/>
  <c r="H226" i="1"/>
  <c r="AN226" i="1"/>
  <c r="AP226" i="1"/>
  <c r="I226" i="1"/>
  <c r="B227" i="1"/>
  <c r="D227" i="1"/>
  <c r="AB227" i="1"/>
  <c r="AD227" i="1"/>
  <c r="E227" i="1"/>
  <c r="AE227" i="1"/>
  <c r="AG227" i="1"/>
  <c r="F227" i="1"/>
  <c r="AH227" i="1"/>
  <c r="AJ227" i="1"/>
  <c r="G227" i="1"/>
  <c r="AK227" i="1"/>
  <c r="AM227" i="1"/>
  <c r="H227" i="1"/>
  <c r="AN227" i="1"/>
  <c r="AP227" i="1"/>
  <c r="B228" i="1"/>
  <c r="D228" i="1"/>
  <c r="AB228" i="1"/>
  <c r="AD228" i="1"/>
  <c r="E228" i="1"/>
  <c r="AE228" i="1"/>
  <c r="AG228" i="1"/>
  <c r="F228" i="1"/>
  <c r="AH228" i="1"/>
  <c r="AJ228" i="1"/>
  <c r="G228" i="1"/>
  <c r="AK228" i="1"/>
  <c r="AM228" i="1"/>
  <c r="H228" i="1"/>
  <c r="AN228" i="1"/>
  <c r="AP228" i="1"/>
  <c r="B229" i="1"/>
  <c r="D229" i="1"/>
  <c r="AB229" i="1"/>
  <c r="AD229" i="1"/>
  <c r="E229" i="1"/>
  <c r="AE229" i="1"/>
  <c r="AG229" i="1"/>
  <c r="F229" i="1"/>
  <c r="AH229" i="1"/>
  <c r="AJ229" i="1"/>
  <c r="G229" i="1"/>
  <c r="AK229" i="1"/>
  <c r="AM229" i="1"/>
  <c r="H229" i="1"/>
  <c r="AN229" i="1"/>
  <c r="AP229" i="1"/>
  <c r="B230" i="1"/>
  <c r="D230" i="1"/>
  <c r="AB230" i="1"/>
  <c r="AD230" i="1"/>
  <c r="E230" i="1"/>
  <c r="AE230" i="1"/>
  <c r="AG230" i="1"/>
  <c r="F230" i="1"/>
  <c r="AH230" i="1"/>
  <c r="AJ230" i="1"/>
  <c r="G230" i="1"/>
  <c r="AK230" i="1"/>
  <c r="AM230" i="1"/>
  <c r="H230" i="1"/>
  <c r="AN230" i="1"/>
  <c r="AP230" i="1"/>
  <c r="I230" i="1"/>
  <c r="B231" i="1"/>
  <c r="D231" i="1"/>
  <c r="AB231" i="1"/>
  <c r="AD231" i="1"/>
  <c r="E231" i="1"/>
  <c r="AE231" i="1"/>
  <c r="AG231" i="1"/>
  <c r="F231" i="1"/>
  <c r="AH231" i="1"/>
  <c r="AJ231" i="1"/>
  <c r="G231" i="1"/>
  <c r="AK231" i="1"/>
  <c r="AM231" i="1"/>
  <c r="H231" i="1"/>
  <c r="AN231" i="1"/>
  <c r="AP231" i="1"/>
  <c r="B232" i="1"/>
  <c r="D232" i="1"/>
  <c r="AB232" i="1"/>
  <c r="AD232" i="1"/>
  <c r="E232" i="1"/>
  <c r="AE232" i="1"/>
  <c r="AG232" i="1"/>
  <c r="F232" i="1"/>
  <c r="AH232" i="1"/>
  <c r="AJ232" i="1"/>
  <c r="G232" i="1"/>
  <c r="AK232" i="1"/>
  <c r="AM232" i="1"/>
  <c r="H232" i="1"/>
  <c r="AN232" i="1"/>
  <c r="AP232" i="1"/>
  <c r="B233" i="1"/>
  <c r="D233" i="1"/>
  <c r="AB233" i="1"/>
  <c r="AD233" i="1"/>
  <c r="E233" i="1"/>
  <c r="AE233" i="1"/>
  <c r="AG233" i="1"/>
  <c r="F233" i="1"/>
  <c r="AH233" i="1"/>
  <c r="AJ233" i="1"/>
  <c r="G233" i="1"/>
  <c r="AK233" i="1"/>
  <c r="AM233" i="1"/>
  <c r="H233" i="1"/>
  <c r="AN233" i="1"/>
  <c r="AP233" i="1"/>
  <c r="I233" i="1"/>
  <c r="B234" i="1"/>
  <c r="D234" i="1"/>
  <c r="AB234" i="1"/>
  <c r="AD234" i="1"/>
  <c r="E234" i="1"/>
  <c r="AE234" i="1"/>
  <c r="AG234" i="1"/>
  <c r="F234" i="1"/>
  <c r="AH234" i="1"/>
  <c r="AJ234" i="1"/>
  <c r="G234" i="1"/>
  <c r="AK234" i="1"/>
  <c r="AM234" i="1"/>
  <c r="H234" i="1"/>
  <c r="AN234" i="1"/>
  <c r="AP234" i="1"/>
  <c r="B235" i="1"/>
  <c r="D235" i="1"/>
  <c r="AB235" i="1"/>
  <c r="AD235" i="1"/>
  <c r="E235" i="1"/>
  <c r="AE235" i="1"/>
  <c r="AG235" i="1"/>
  <c r="F235" i="1"/>
  <c r="AH235" i="1"/>
  <c r="AJ235" i="1"/>
  <c r="G235" i="1"/>
  <c r="AK235" i="1"/>
  <c r="AM235" i="1"/>
  <c r="H235" i="1"/>
  <c r="AN235" i="1"/>
  <c r="AP235" i="1"/>
  <c r="B236" i="1"/>
  <c r="D236" i="1"/>
  <c r="AB236" i="1"/>
  <c r="AD236" i="1"/>
  <c r="E236" i="1"/>
  <c r="AE236" i="1"/>
  <c r="AG236" i="1"/>
  <c r="F236" i="1"/>
  <c r="AH236" i="1"/>
  <c r="AJ236" i="1"/>
  <c r="G236" i="1"/>
  <c r="AK236" i="1"/>
  <c r="AM236" i="1"/>
  <c r="H236" i="1"/>
  <c r="AN236" i="1"/>
  <c r="AP236" i="1"/>
  <c r="I236" i="1"/>
  <c r="B237" i="1"/>
  <c r="D237" i="1"/>
  <c r="AB237" i="1"/>
  <c r="AD237" i="1"/>
  <c r="E237" i="1"/>
  <c r="AE237" i="1"/>
  <c r="AG237" i="1"/>
  <c r="F237" i="1"/>
  <c r="AH237" i="1"/>
  <c r="AJ237" i="1"/>
  <c r="G237" i="1"/>
  <c r="AK237" i="1"/>
  <c r="AM237" i="1"/>
  <c r="H237" i="1"/>
  <c r="AN237" i="1"/>
  <c r="AP237" i="1"/>
  <c r="B238" i="1"/>
  <c r="D238" i="1"/>
  <c r="AB238" i="1"/>
  <c r="AD238" i="1"/>
  <c r="E238" i="1"/>
  <c r="AE238" i="1"/>
  <c r="AG238" i="1"/>
  <c r="F238" i="1"/>
  <c r="AH238" i="1"/>
  <c r="AJ238" i="1"/>
  <c r="G238" i="1"/>
  <c r="AK238" i="1"/>
  <c r="AM238" i="1"/>
  <c r="H238" i="1"/>
  <c r="AN238" i="1"/>
  <c r="AP238" i="1"/>
  <c r="B239" i="1"/>
  <c r="D239" i="1"/>
  <c r="AB239" i="1"/>
  <c r="AD239" i="1"/>
  <c r="E239" i="1"/>
  <c r="AE239" i="1"/>
  <c r="AG239" i="1"/>
  <c r="F239" i="1"/>
  <c r="AH239" i="1"/>
  <c r="AJ239" i="1"/>
  <c r="G239" i="1"/>
  <c r="AK239" i="1"/>
  <c r="AM239" i="1"/>
  <c r="H239" i="1"/>
  <c r="AN239" i="1"/>
  <c r="AP239" i="1"/>
  <c r="I239" i="1"/>
  <c r="B240" i="1"/>
  <c r="D240" i="1"/>
  <c r="AB240" i="1"/>
  <c r="AD240" i="1"/>
  <c r="E240" i="1"/>
  <c r="AE240" i="1"/>
  <c r="AG240" i="1"/>
  <c r="F240" i="1"/>
  <c r="AH240" i="1"/>
  <c r="AJ240" i="1"/>
  <c r="G240" i="1"/>
  <c r="AK240" i="1"/>
  <c r="AM240" i="1"/>
  <c r="H240" i="1"/>
  <c r="AN240" i="1"/>
  <c r="AP240" i="1"/>
  <c r="B241" i="1"/>
  <c r="D241" i="1"/>
  <c r="AB241" i="1"/>
  <c r="AD241" i="1"/>
  <c r="E241" i="1"/>
  <c r="AE241" i="1"/>
  <c r="AG241" i="1"/>
  <c r="F241" i="1"/>
  <c r="AH241" i="1"/>
  <c r="AJ241" i="1"/>
  <c r="G241" i="1"/>
  <c r="AK241" i="1"/>
  <c r="AM241" i="1"/>
  <c r="H241" i="1"/>
  <c r="AN241" i="1"/>
  <c r="AP241" i="1"/>
  <c r="B242" i="1"/>
  <c r="AB242" i="1"/>
  <c r="AD242" i="1"/>
  <c r="E242" i="1"/>
  <c r="AE242" i="1"/>
  <c r="AG242" i="1"/>
  <c r="F242" i="1"/>
  <c r="AH242" i="1"/>
  <c r="AJ242" i="1"/>
  <c r="G242" i="1"/>
  <c r="AK242" i="1"/>
  <c r="AM242" i="1"/>
  <c r="H242" i="1"/>
  <c r="AN242" i="1"/>
  <c r="AP242" i="1"/>
  <c r="I242" i="1"/>
  <c r="B243" i="1"/>
  <c r="D243" i="1"/>
  <c r="AB243" i="1"/>
  <c r="AD243" i="1"/>
  <c r="E243" i="1"/>
  <c r="AE243" i="1"/>
  <c r="AG243" i="1"/>
  <c r="F243" i="1"/>
  <c r="AH243" i="1"/>
  <c r="AJ243" i="1"/>
  <c r="G243" i="1"/>
  <c r="AK243" i="1"/>
  <c r="AM243" i="1"/>
  <c r="H243" i="1"/>
  <c r="AN243" i="1"/>
  <c r="AP243" i="1"/>
  <c r="B244" i="1"/>
  <c r="D244" i="1"/>
  <c r="AB244" i="1"/>
  <c r="AD244" i="1"/>
  <c r="E244" i="1"/>
  <c r="AE244" i="1"/>
  <c r="AG244" i="1"/>
  <c r="F244" i="1"/>
  <c r="AH244" i="1"/>
  <c r="AJ244" i="1"/>
  <c r="G244" i="1"/>
  <c r="AK244" i="1"/>
  <c r="AM244" i="1"/>
  <c r="H244" i="1"/>
  <c r="AN244" i="1"/>
  <c r="AP244" i="1"/>
  <c r="B245" i="1"/>
  <c r="D245" i="1"/>
  <c r="AB245" i="1"/>
  <c r="AD245" i="1"/>
  <c r="E245" i="1"/>
  <c r="AE245" i="1"/>
  <c r="AG245" i="1"/>
  <c r="F245" i="1"/>
  <c r="AH245" i="1"/>
  <c r="AJ245" i="1"/>
  <c r="G245" i="1"/>
  <c r="AK245" i="1"/>
  <c r="AM245" i="1"/>
  <c r="H245" i="1"/>
  <c r="AN245" i="1"/>
  <c r="AP245" i="1"/>
  <c r="I245" i="1"/>
  <c r="B246" i="1"/>
  <c r="D246" i="1"/>
  <c r="AB246" i="1"/>
  <c r="AD246" i="1"/>
  <c r="E246" i="1"/>
  <c r="AE246" i="1"/>
  <c r="AG246" i="1"/>
  <c r="F246" i="1"/>
  <c r="AH246" i="1"/>
  <c r="AJ246" i="1"/>
  <c r="G246" i="1"/>
  <c r="AK246" i="1"/>
  <c r="AM246" i="1"/>
  <c r="H246" i="1"/>
  <c r="AN246" i="1"/>
  <c r="AP246" i="1"/>
  <c r="B247" i="1"/>
  <c r="D247" i="1"/>
  <c r="AB247" i="1"/>
  <c r="AD247" i="1"/>
  <c r="E247" i="1"/>
  <c r="AE247" i="1"/>
  <c r="AG247" i="1"/>
  <c r="F247" i="1"/>
  <c r="AH247" i="1"/>
  <c r="AJ247" i="1"/>
  <c r="G247" i="1"/>
  <c r="AK247" i="1"/>
  <c r="AM247" i="1"/>
  <c r="H247" i="1"/>
  <c r="AN247" i="1"/>
  <c r="AP247" i="1"/>
  <c r="B248" i="1"/>
  <c r="D248" i="1"/>
  <c r="AB248" i="1"/>
  <c r="AD248" i="1"/>
  <c r="E248" i="1"/>
  <c r="AE248" i="1"/>
  <c r="AG248" i="1"/>
  <c r="F248" i="1"/>
  <c r="AH248" i="1"/>
  <c r="AJ248" i="1"/>
  <c r="G248" i="1"/>
  <c r="AK248" i="1"/>
  <c r="AM248" i="1"/>
  <c r="H248" i="1"/>
  <c r="AN248" i="1"/>
  <c r="AP248" i="1"/>
  <c r="I248" i="1"/>
  <c r="B249" i="1"/>
  <c r="D249" i="1"/>
  <c r="AB249" i="1"/>
  <c r="AD249" i="1"/>
  <c r="E249" i="1"/>
  <c r="AE249" i="1"/>
  <c r="AG249" i="1"/>
  <c r="F249" i="1"/>
  <c r="AH249" i="1"/>
  <c r="AJ249" i="1"/>
  <c r="G249" i="1"/>
  <c r="AK249" i="1"/>
  <c r="AM249" i="1"/>
  <c r="H249" i="1"/>
  <c r="AN249" i="1"/>
  <c r="AP249" i="1"/>
  <c r="B250" i="1"/>
  <c r="D250" i="1"/>
  <c r="E250" i="1"/>
  <c r="F250" i="1"/>
  <c r="G250" i="1"/>
  <c r="H250" i="1"/>
  <c r="I250" i="1"/>
  <c r="G390" i="11"/>
  <c r="G391" i="11"/>
  <c r="G392" i="11"/>
  <c r="G393" i="11"/>
  <c r="G394" i="11"/>
  <c r="G395" i="11"/>
  <c r="G396" i="11"/>
  <c r="G397" i="11"/>
  <c r="G398" i="11"/>
  <c r="G399" i="11"/>
  <c r="G400" i="11"/>
  <c r="G401" i="11"/>
  <c r="G402" i="11"/>
  <c r="G403" i="11"/>
  <c r="G404" i="11"/>
  <c r="G405" i="11"/>
  <c r="B229" i="14"/>
  <c r="B230" i="14"/>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F215" i="14"/>
  <c r="AG840" i="5"/>
  <c r="AG839" i="5"/>
  <c r="AG838" i="5"/>
  <c r="AG837" i="5"/>
  <c r="AG823" i="5"/>
  <c r="AG822" i="5"/>
  <c r="AG821" i="5"/>
  <c r="AG744" i="5"/>
  <c r="AG577" i="5"/>
  <c r="AG576" i="5"/>
  <c r="AG575" i="5"/>
  <c r="AG506" i="5"/>
  <c r="AG505" i="5"/>
  <c r="AG504" i="5"/>
  <c r="AG502" i="5"/>
  <c r="AG430" i="5"/>
  <c r="AG429" i="5"/>
  <c r="AG428" i="5"/>
  <c r="AG742" i="5"/>
  <c r="AG738" i="5"/>
  <c r="AG731" i="5"/>
  <c r="AG730" i="5"/>
  <c r="AG457" i="5"/>
  <c r="AG456" i="5"/>
  <c r="AG455" i="5"/>
  <c r="AG454" i="5"/>
  <c r="AG925" i="5"/>
  <c r="AG924" i="5"/>
  <c r="AG923" i="5"/>
  <c r="AG922" i="5"/>
  <c r="AG921" i="5"/>
  <c r="AG907" i="5"/>
  <c r="AG906" i="5"/>
  <c r="AG905" i="5"/>
  <c r="AG904" i="5"/>
  <c r="AG903" i="5"/>
  <c r="AG902" i="5"/>
  <c r="AG901" i="5"/>
  <c r="AG900" i="5"/>
  <c r="AG899" i="5"/>
  <c r="AG898" i="5"/>
  <c r="AG60" i="5"/>
  <c r="AG836" i="5"/>
  <c r="AG59" i="5"/>
  <c r="AG729" i="5"/>
  <c r="AG728" i="5"/>
  <c r="AG727" i="5"/>
  <c r="AG726" i="5"/>
  <c r="AG725" i="5"/>
  <c r="AG724" i="5"/>
  <c r="AG723" i="5"/>
  <c r="AG897" i="5"/>
  <c r="AG896" i="5"/>
  <c r="AG895" i="5"/>
  <c r="AG894" i="5"/>
  <c r="AG893" i="5"/>
  <c r="AG892" i="5"/>
  <c r="AG891" i="5"/>
  <c r="AG890" i="5"/>
  <c r="AG889" i="5"/>
  <c r="AG888" i="5"/>
  <c r="AG877" i="5"/>
  <c r="AG876" i="5"/>
  <c r="AG875" i="5"/>
  <c r="AG874" i="5"/>
  <c r="AG885" i="5"/>
  <c r="AG884" i="5"/>
  <c r="AG883" i="5"/>
  <c r="AG819" i="5"/>
  <c r="AG818" i="5"/>
  <c r="AG817" i="5"/>
  <c r="AG816" i="5"/>
  <c r="AG815" i="5"/>
  <c r="AG814" i="5"/>
  <c r="AG435" i="5"/>
  <c r="AG812" i="5"/>
  <c r="AG811" i="5"/>
  <c r="AG860" i="5"/>
  <c r="AG859" i="5"/>
  <c r="AG858" i="5"/>
  <c r="AG857" i="5"/>
  <c r="AG856" i="5"/>
  <c r="AG855" i="5"/>
  <c r="AG854" i="5"/>
  <c r="AG853" i="5"/>
  <c r="AG852" i="5"/>
  <c r="AC299" i="5"/>
  <c r="AC298" i="5"/>
  <c r="AC297" i="5"/>
  <c r="AC296" i="5"/>
  <c r="AC295" i="5"/>
  <c r="AC293" i="5"/>
  <c r="AB299" i="5"/>
  <c r="AB298" i="5"/>
  <c r="AB297" i="5"/>
  <c r="AB296" i="5"/>
  <c r="AB295" i="5"/>
  <c r="AB293" i="5"/>
  <c r="AC108" i="5"/>
  <c r="AC561" i="5"/>
  <c r="AC560" i="5"/>
  <c r="AC557" i="5"/>
  <c r="AC594" i="5"/>
  <c r="AC599" i="5"/>
  <c r="AB599" i="5"/>
  <c r="AB594" i="5"/>
  <c r="AG788" i="5"/>
  <c r="AG437" i="5"/>
  <c r="AG785" i="5"/>
  <c r="AG784" i="5"/>
  <c r="AG436" i="5"/>
  <c r="AG782" i="5"/>
  <c r="AG781" i="5"/>
  <c r="AG780" i="5"/>
  <c r="AG778" i="5"/>
  <c r="AG776" i="5"/>
  <c r="AG775" i="5"/>
  <c r="AG774" i="5"/>
  <c r="AG773" i="5"/>
  <c r="AG772" i="5"/>
  <c r="AG835" i="5"/>
  <c r="AG434" i="5"/>
  <c r="AG759" i="5"/>
  <c r="AG433" i="5"/>
  <c r="AG757" i="5"/>
  <c r="AG833" i="5"/>
  <c r="AG756" i="5"/>
  <c r="AG755" i="5"/>
  <c r="AG827" i="5"/>
  <c r="AG752" i="5"/>
  <c r="AG751" i="5"/>
  <c r="AG750" i="5"/>
  <c r="AG749" i="5"/>
  <c r="AG748" i="5"/>
  <c r="AG747" i="5"/>
  <c r="AG826" i="5"/>
  <c r="AG432" i="5"/>
  <c r="AG825" i="5"/>
  <c r="AG119" i="5"/>
  <c r="AG118" i="5"/>
  <c r="AG117" i="5"/>
  <c r="AG108" i="5"/>
  <c r="AG106" i="5"/>
  <c r="AG104" i="5"/>
  <c r="AG820" i="5"/>
  <c r="AG810" i="5"/>
  <c r="AG809" i="5"/>
  <c r="AG808" i="5"/>
  <c r="D428" i="5"/>
  <c r="D429" i="5"/>
  <c r="D430" i="5"/>
  <c r="B220" i="14"/>
  <c r="B222" i="14"/>
  <c r="B223" i="14"/>
  <c r="B224" i="14"/>
  <c r="B225" i="14"/>
  <c r="B226" i="14"/>
  <c r="B227" i="14"/>
  <c r="B228"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7" i="14"/>
  <c r="B258" i="14"/>
  <c r="B259" i="14"/>
  <c r="B260" i="14"/>
  <c r="B265" i="14"/>
  <c r="B266" i="14"/>
  <c r="B268" i="14"/>
  <c r="B269" i="14"/>
  <c r="B270" i="14"/>
  <c r="B271" i="14"/>
  <c r="G219"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6" i="14"/>
  <c r="F257" i="14"/>
  <c r="F258" i="14"/>
  <c r="F259" i="14"/>
  <c r="F260" i="14"/>
  <c r="F265" i="14"/>
  <c r="F266" i="14"/>
  <c r="F268" i="14"/>
  <c r="F269" i="14"/>
  <c r="F270" i="14"/>
  <c r="F271" i="14"/>
  <c r="B216" i="14"/>
  <c r="B217" i="14"/>
  <c r="B218" i="14"/>
  <c r="B219" i="14"/>
  <c r="E169" i="1"/>
  <c r="E170" i="1"/>
  <c r="E171" i="1"/>
  <c r="E172" i="1"/>
  <c r="E173" i="1"/>
  <c r="E174" i="1"/>
  <c r="E175" i="1"/>
  <c r="E176" i="1"/>
  <c r="E177" i="1"/>
  <c r="E178" i="1"/>
  <c r="E179" i="1"/>
  <c r="E180" i="1"/>
  <c r="G377" i="11"/>
  <c r="G378" i="11"/>
  <c r="G367" i="11"/>
  <c r="G368" i="11"/>
  <c r="G369" i="11"/>
  <c r="G370" i="11"/>
  <c r="G371" i="11"/>
  <c r="G372" i="11"/>
  <c r="G373" i="11"/>
  <c r="G374" i="11"/>
  <c r="G375" i="11"/>
  <c r="G376" i="11"/>
  <c r="G379" i="11"/>
  <c r="G380" i="11"/>
  <c r="G381" i="11"/>
  <c r="G382" i="11"/>
  <c r="G383" i="11"/>
  <c r="G384" i="11"/>
  <c r="G385" i="11"/>
  <c r="G386" i="11"/>
  <c r="G387" i="11"/>
  <c r="G388" i="11"/>
  <c r="G389" i="11"/>
  <c r="E168" i="1"/>
  <c r="T216" i="8"/>
  <c r="B50" i="7"/>
  <c r="C50" i="7"/>
  <c r="D50" i="7"/>
  <c r="E50" i="7"/>
  <c r="F50" i="7"/>
  <c r="G50" i="7"/>
  <c r="K50" i="7"/>
  <c r="L50" i="7"/>
  <c r="M50" i="7"/>
  <c r="N50" i="7"/>
  <c r="O50" i="7"/>
  <c r="P50" i="7"/>
  <c r="S50" i="7"/>
  <c r="T50" i="7"/>
  <c r="U50" i="7"/>
  <c r="V50" i="7"/>
  <c r="W50" i="7"/>
  <c r="X50" i="7"/>
  <c r="B51" i="7"/>
  <c r="C51" i="7"/>
  <c r="D51" i="7"/>
  <c r="E51" i="7"/>
  <c r="F51" i="7"/>
  <c r="G51" i="7"/>
  <c r="K51" i="7"/>
  <c r="L51" i="7"/>
  <c r="M51" i="7"/>
  <c r="N51" i="7"/>
  <c r="O51" i="7"/>
  <c r="P51" i="7"/>
  <c r="S51" i="7"/>
  <c r="T51" i="7"/>
  <c r="U51" i="7"/>
  <c r="V51" i="7"/>
  <c r="W51" i="7"/>
  <c r="X51" i="7"/>
  <c r="B52" i="7"/>
  <c r="C52" i="7"/>
  <c r="D52" i="7"/>
  <c r="E52" i="7"/>
  <c r="F52" i="7"/>
  <c r="G52" i="7"/>
  <c r="K52" i="7"/>
  <c r="L52" i="7"/>
  <c r="M52" i="7"/>
  <c r="N52" i="7"/>
  <c r="O52" i="7"/>
  <c r="P52" i="7"/>
  <c r="S52" i="7"/>
  <c r="T52" i="7"/>
  <c r="U52" i="7"/>
  <c r="V52" i="7"/>
  <c r="W52" i="7"/>
  <c r="X52" i="7"/>
  <c r="B53" i="7"/>
  <c r="C53" i="7"/>
  <c r="D53" i="7"/>
  <c r="E53" i="7"/>
  <c r="F53" i="7"/>
  <c r="G53" i="7"/>
  <c r="K53" i="7"/>
  <c r="L53" i="7"/>
  <c r="M53" i="7"/>
  <c r="N53" i="7"/>
  <c r="O53" i="7"/>
  <c r="P53" i="7"/>
  <c r="S53" i="7"/>
  <c r="T53" i="7"/>
  <c r="U53" i="7"/>
  <c r="V53" i="7"/>
  <c r="W53" i="7"/>
  <c r="X53" i="7"/>
  <c r="B54" i="7"/>
  <c r="C54" i="7"/>
  <c r="D54" i="7"/>
  <c r="E54" i="7"/>
  <c r="F54" i="7"/>
  <c r="G54" i="7"/>
  <c r="K54" i="7"/>
  <c r="L54" i="7"/>
  <c r="M54" i="7"/>
  <c r="N54" i="7"/>
  <c r="O54" i="7"/>
  <c r="P54" i="7"/>
  <c r="S54" i="7"/>
  <c r="T54" i="7"/>
  <c r="U54" i="7"/>
  <c r="V54" i="7"/>
  <c r="W54" i="7"/>
  <c r="X54" i="7"/>
  <c r="B55" i="7"/>
  <c r="C55" i="7"/>
  <c r="D55" i="7"/>
  <c r="E55" i="7"/>
  <c r="F55" i="7"/>
  <c r="G55" i="7"/>
  <c r="K55" i="7"/>
  <c r="L55" i="7"/>
  <c r="M55" i="7"/>
  <c r="N55" i="7"/>
  <c r="O55" i="7"/>
  <c r="P55" i="7"/>
  <c r="S55" i="7"/>
  <c r="T55" i="7"/>
  <c r="U55" i="7"/>
  <c r="V55" i="7"/>
  <c r="W55" i="7"/>
  <c r="X55" i="7"/>
  <c r="B56" i="7"/>
  <c r="C56" i="7"/>
  <c r="D56" i="7"/>
  <c r="E56" i="7"/>
  <c r="F56" i="7"/>
  <c r="G56" i="7"/>
  <c r="K56" i="7"/>
  <c r="L56" i="7"/>
  <c r="M56" i="7"/>
  <c r="N56" i="7"/>
  <c r="O56" i="7"/>
  <c r="P56" i="7"/>
  <c r="S56" i="7"/>
  <c r="T56" i="7"/>
  <c r="U56" i="7"/>
  <c r="V56" i="7"/>
  <c r="W56" i="7"/>
  <c r="X56" i="7"/>
  <c r="B57" i="7"/>
  <c r="C57" i="7"/>
  <c r="D57" i="7"/>
  <c r="E57" i="7"/>
  <c r="F57" i="7"/>
  <c r="G57" i="7"/>
  <c r="K57" i="7"/>
  <c r="L57" i="7"/>
  <c r="M57" i="7"/>
  <c r="N57" i="7"/>
  <c r="O57" i="7"/>
  <c r="P57" i="7"/>
  <c r="S57" i="7"/>
  <c r="T57" i="7"/>
  <c r="U57" i="7"/>
  <c r="V57" i="7"/>
  <c r="W57" i="7"/>
  <c r="X57" i="7"/>
  <c r="B58" i="7"/>
  <c r="C58" i="7"/>
  <c r="D58" i="7"/>
  <c r="E58" i="7"/>
  <c r="F58" i="7"/>
  <c r="G58" i="7"/>
  <c r="K58" i="7"/>
  <c r="L58" i="7"/>
  <c r="M58" i="7"/>
  <c r="N58" i="7"/>
  <c r="O58" i="7"/>
  <c r="P58" i="7"/>
  <c r="S58" i="7"/>
  <c r="T58" i="7"/>
  <c r="U58" i="7"/>
  <c r="V58" i="7"/>
  <c r="W58" i="7"/>
  <c r="X58" i="7"/>
  <c r="B59" i="7"/>
  <c r="C59" i="7"/>
  <c r="D59" i="7"/>
  <c r="E59" i="7"/>
  <c r="F59" i="7"/>
  <c r="G59" i="7"/>
  <c r="K59" i="7"/>
  <c r="L59" i="7"/>
  <c r="M59" i="7"/>
  <c r="N59" i="7"/>
  <c r="O59" i="7"/>
  <c r="P59" i="7"/>
  <c r="S59" i="7"/>
  <c r="T59" i="7"/>
  <c r="U59" i="7"/>
  <c r="V59" i="7"/>
  <c r="W59" i="7"/>
  <c r="X59" i="7"/>
  <c r="B60" i="7"/>
  <c r="C60" i="7"/>
  <c r="D60" i="7"/>
  <c r="E60" i="7"/>
  <c r="F60" i="7"/>
  <c r="G60" i="7"/>
  <c r="K60" i="7"/>
  <c r="L60" i="7"/>
  <c r="M60" i="7"/>
  <c r="N60" i="7"/>
  <c r="O60" i="7"/>
  <c r="P60" i="7"/>
  <c r="S60" i="7"/>
  <c r="T60" i="7"/>
  <c r="U60" i="7"/>
  <c r="V60" i="7"/>
  <c r="W60" i="7"/>
  <c r="X60" i="7"/>
  <c r="B61" i="7"/>
  <c r="C61" i="7"/>
  <c r="D61" i="7"/>
  <c r="E61" i="7"/>
  <c r="F61" i="7"/>
  <c r="G61" i="7"/>
  <c r="K61" i="7"/>
  <c r="L61" i="7"/>
  <c r="M61" i="7"/>
  <c r="N61" i="7"/>
  <c r="O61" i="7"/>
  <c r="P61" i="7"/>
  <c r="S61" i="7"/>
  <c r="T61" i="7"/>
  <c r="U61" i="7"/>
  <c r="V61" i="7"/>
  <c r="W61" i="7"/>
  <c r="X61" i="7"/>
  <c r="B68" i="7"/>
  <c r="C68" i="7"/>
  <c r="D68" i="7"/>
  <c r="E68" i="7"/>
  <c r="F68" i="7"/>
  <c r="G68" i="7"/>
  <c r="K68" i="7"/>
  <c r="L68" i="7"/>
  <c r="M68" i="7"/>
  <c r="N68" i="7"/>
  <c r="O68" i="7"/>
  <c r="P68" i="7"/>
  <c r="S68" i="7"/>
  <c r="T68" i="7"/>
  <c r="U68" i="7"/>
  <c r="V68" i="7"/>
  <c r="W68" i="7"/>
  <c r="X68" i="7"/>
  <c r="B69" i="7"/>
  <c r="C69" i="7"/>
  <c r="D69" i="7"/>
  <c r="E69" i="7"/>
  <c r="F69" i="7"/>
  <c r="G69" i="7"/>
  <c r="K69" i="7"/>
  <c r="L69" i="7"/>
  <c r="M69" i="7"/>
  <c r="N69" i="7"/>
  <c r="O69" i="7"/>
  <c r="P69" i="7"/>
  <c r="S69" i="7"/>
  <c r="T69" i="7"/>
  <c r="U69" i="7"/>
  <c r="V69" i="7"/>
  <c r="W69" i="7"/>
  <c r="X69" i="7"/>
  <c r="B70" i="7"/>
  <c r="C70" i="7"/>
  <c r="D70" i="7"/>
  <c r="E70" i="7"/>
  <c r="F70" i="7"/>
  <c r="G70" i="7"/>
  <c r="K70" i="7"/>
  <c r="L70" i="7"/>
  <c r="M70" i="7"/>
  <c r="N70" i="7"/>
  <c r="O70" i="7"/>
  <c r="P70" i="7"/>
  <c r="S70" i="7"/>
  <c r="T70" i="7"/>
  <c r="U70" i="7"/>
  <c r="V70" i="7"/>
  <c r="W70" i="7"/>
  <c r="X70" i="7"/>
  <c r="B71" i="7"/>
  <c r="C71" i="7"/>
  <c r="D71" i="7"/>
  <c r="E71" i="7"/>
  <c r="F71" i="7"/>
  <c r="G71" i="7"/>
  <c r="K71" i="7"/>
  <c r="L71" i="7"/>
  <c r="M71" i="7"/>
  <c r="N71" i="7"/>
  <c r="O71" i="7"/>
  <c r="P71" i="7"/>
  <c r="S71" i="7"/>
  <c r="T71" i="7"/>
  <c r="U71" i="7"/>
  <c r="V71" i="7"/>
  <c r="W71" i="7"/>
  <c r="X71" i="7"/>
  <c r="B72" i="7"/>
  <c r="C72" i="7"/>
  <c r="D72" i="7"/>
  <c r="E72" i="7"/>
  <c r="F72" i="7"/>
  <c r="G72" i="7"/>
  <c r="K72" i="7"/>
  <c r="L72" i="7"/>
  <c r="M72" i="7"/>
  <c r="N72" i="7"/>
  <c r="O72" i="7"/>
  <c r="P72" i="7"/>
  <c r="S72" i="7"/>
  <c r="T72" i="7"/>
  <c r="U72" i="7"/>
  <c r="V72" i="7"/>
  <c r="W72" i="7"/>
  <c r="X72" i="7"/>
  <c r="B73" i="7"/>
  <c r="C73" i="7"/>
  <c r="D73" i="7"/>
  <c r="E73" i="7"/>
  <c r="F73" i="7"/>
  <c r="G73" i="7"/>
  <c r="K73" i="7"/>
  <c r="L73" i="7"/>
  <c r="M73" i="7"/>
  <c r="N73" i="7"/>
  <c r="O73" i="7"/>
  <c r="P73" i="7"/>
  <c r="S73" i="7"/>
  <c r="T73" i="7"/>
  <c r="U73" i="7"/>
  <c r="V73" i="7"/>
  <c r="W73" i="7"/>
  <c r="X73" i="7"/>
  <c r="B74" i="7"/>
  <c r="C74" i="7"/>
  <c r="D74" i="7"/>
  <c r="E74" i="7"/>
  <c r="F74" i="7"/>
  <c r="G74" i="7"/>
  <c r="K74" i="7"/>
  <c r="L74" i="7"/>
  <c r="M74" i="7"/>
  <c r="N74" i="7"/>
  <c r="O74" i="7"/>
  <c r="P74" i="7"/>
  <c r="S74" i="7"/>
  <c r="T74" i="7"/>
  <c r="U74" i="7"/>
  <c r="V74" i="7"/>
  <c r="W74" i="7"/>
  <c r="X74" i="7"/>
  <c r="B75" i="7"/>
  <c r="C75" i="7"/>
  <c r="D75" i="7"/>
  <c r="E75" i="7"/>
  <c r="F75" i="7"/>
  <c r="G75" i="7"/>
  <c r="K75" i="7"/>
  <c r="L75" i="7"/>
  <c r="M75" i="7"/>
  <c r="N75" i="7"/>
  <c r="O75" i="7"/>
  <c r="P75" i="7"/>
  <c r="S75" i="7"/>
  <c r="T75" i="7"/>
  <c r="U75" i="7"/>
  <c r="V75" i="7"/>
  <c r="W75" i="7"/>
  <c r="X75" i="7"/>
  <c r="B76" i="7"/>
  <c r="C76" i="7"/>
  <c r="D76" i="7"/>
  <c r="E76" i="7"/>
  <c r="F76" i="7"/>
  <c r="G76" i="7"/>
  <c r="K76" i="7"/>
  <c r="L76" i="7"/>
  <c r="M76" i="7"/>
  <c r="N76" i="7"/>
  <c r="O76" i="7"/>
  <c r="P76" i="7"/>
  <c r="S76" i="7"/>
  <c r="T76" i="7"/>
  <c r="U76" i="7"/>
  <c r="V76" i="7"/>
  <c r="W76" i="7"/>
  <c r="X76" i="7"/>
  <c r="B77" i="7"/>
  <c r="C77" i="7"/>
  <c r="D77" i="7"/>
  <c r="E77" i="7"/>
  <c r="F77" i="7"/>
  <c r="G77" i="7"/>
  <c r="K77" i="7"/>
  <c r="L77" i="7"/>
  <c r="M77" i="7"/>
  <c r="N77" i="7"/>
  <c r="O77" i="7"/>
  <c r="P77" i="7"/>
  <c r="S77" i="7"/>
  <c r="T77" i="7"/>
  <c r="U77" i="7"/>
  <c r="V77" i="7"/>
  <c r="W77" i="7"/>
  <c r="X77" i="7"/>
  <c r="B78" i="7"/>
  <c r="C78" i="7"/>
  <c r="D78" i="7"/>
  <c r="E78" i="7"/>
  <c r="F78" i="7"/>
  <c r="G78" i="7"/>
  <c r="K78" i="7"/>
  <c r="L78" i="7"/>
  <c r="M78" i="7"/>
  <c r="N78" i="7"/>
  <c r="O78" i="7"/>
  <c r="P78" i="7"/>
  <c r="S78" i="7"/>
  <c r="T78" i="7"/>
  <c r="U78" i="7"/>
  <c r="V78" i="7"/>
  <c r="W78" i="7"/>
  <c r="X78" i="7"/>
  <c r="B79" i="7"/>
  <c r="C79" i="7"/>
  <c r="D79" i="7"/>
  <c r="E79" i="7"/>
  <c r="G79" i="7"/>
  <c r="K79" i="7"/>
  <c r="L79" i="7"/>
  <c r="M79" i="7"/>
  <c r="N79" i="7"/>
  <c r="O79" i="7"/>
  <c r="P79" i="7"/>
  <c r="S79" i="7"/>
  <c r="T79" i="7"/>
  <c r="U79" i="7"/>
  <c r="V79" i="7"/>
  <c r="W79" i="7"/>
  <c r="X79" i="7"/>
  <c r="B80" i="7"/>
  <c r="C80" i="7"/>
  <c r="D80" i="7"/>
  <c r="E80" i="7"/>
  <c r="F80" i="7"/>
  <c r="G80" i="7"/>
  <c r="K80" i="7"/>
  <c r="L80" i="7"/>
  <c r="M80" i="7"/>
  <c r="N80" i="7"/>
  <c r="O80" i="7"/>
  <c r="P80" i="7"/>
  <c r="S80" i="7"/>
  <c r="T80" i="7"/>
  <c r="U80" i="7"/>
  <c r="V80" i="7"/>
  <c r="W80" i="7"/>
  <c r="X80" i="7"/>
  <c r="B81" i="7"/>
  <c r="C81" i="7"/>
  <c r="D81" i="7"/>
  <c r="E81" i="7"/>
  <c r="F81" i="7"/>
  <c r="G81" i="7"/>
  <c r="K81" i="7"/>
  <c r="L81" i="7"/>
  <c r="M81" i="7"/>
  <c r="N81" i="7"/>
  <c r="O81" i="7"/>
  <c r="P81" i="7"/>
  <c r="S81" i="7"/>
  <c r="T81" i="7"/>
  <c r="U81" i="7"/>
  <c r="V81" i="7"/>
  <c r="W81" i="7"/>
  <c r="X81" i="7"/>
  <c r="B82" i="7"/>
  <c r="C82" i="7"/>
  <c r="D82" i="7"/>
  <c r="E82" i="7"/>
  <c r="F82" i="7"/>
  <c r="G82" i="7"/>
  <c r="K82" i="7"/>
  <c r="L82" i="7"/>
  <c r="M82" i="7"/>
  <c r="N82" i="7"/>
  <c r="O82" i="7"/>
  <c r="P82" i="7"/>
  <c r="S82" i="7"/>
  <c r="T82" i="7"/>
  <c r="U82" i="7"/>
  <c r="V82" i="7"/>
  <c r="W82" i="7"/>
  <c r="X82" i="7"/>
  <c r="B83" i="7"/>
  <c r="C83" i="7"/>
  <c r="D83" i="7"/>
  <c r="E83" i="7"/>
  <c r="F83" i="7"/>
  <c r="G83" i="7"/>
  <c r="K83" i="7"/>
  <c r="L83" i="7"/>
  <c r="M83" i="7"/>
  <c r="N83" i="7"/>
  <c r="O83" i="7"/>
  <c r="P83" i="7"/>
  <c r="S83" i="7"/>
  <c r="T83" i="7"/>
  <c r="U83" i="7"/>
  <c r="V83" i="7"/>
  <c r="W83" i="7"/>
  <c r="X83" i="7"/>
  <c r="B84" i="7"/>
  <c r="C84" i="7"/>
  <c r="D84" i="7"/>
  <c r="E84" i="7"/>
  <c r="F84" i="7"/>
  <c r="G84" i="7"/>
  <c r="K84" i="7"/>
  <c r="L84" i="7"/>
  <c r="M84" i="7"/>
  <c r="N84" i="7"/>
  <c r="O84" i="7"/>
  <c r="P84" i="7"/>
  <c r="S84" i="7"/>
  <c r="T84" i="7"/>
  <c r="U84" i="7"/>
  <c r="V84" i="7"/>
  <c r="W84" i="7"/>
  <c r="X84" i="7"/>
  <c r="B85" i="7"/>
  <c r="C85" i="7"/>
  <c r="D85" i="7"/>
  <c r="E85" i="7"/>
  <c r="F85" i="7"/>
  <c r="G85" i="7"/>
  <c r="K85" i="7"/>
  <c r="L85" i="7"/>
  <c r="M85" i="7"/>
  <c r="N85" i="7"/>
  <c r="O85" i="7"/>
  <c r="P85" i="7"/>
  <c r="S85" i="7"/>
  <c r="T85" i="7"/>
  <c r="U85" i="7"/>
  <c r="V85" i="7"/>
  <c r="W85" i="7"/>
  <c r="X85" i="7"/>
  <c r="B86" i="7"/>
  <c r="C86" i="7"/>
  <c r="D86" i="7"/>
  <c r="E86" i="7"/>
  <c r="F86" i="7"/>
  <c r="G86" i="7"/>
  <c r="K86" i="7"/>
  <c r="L86" i="7"/>
  <c r="M86" i="7"/>
  <c r="N86" i="7"/>
  <c r="O86" i="7"/>
  <c r="P86" i="7"/>
  <c r="S86" i="7"/>
  <c r="T86" i="7"/>
  <c r="U86" i="7"/>
  <c r="V86" i="7"/>
  <c r="W86" i="7"/>
  <c r="X86" i="7"/>
  <c r="B87" i="7"/>
  <c r="C87" i="7"/>
  <c r="D87" i="7"/>
  <c r="E87" i="7"/>
  <c r="F87" i="7"/>
  <c r="G87" i="7"/>
  <c r="K87" i="7"/>
  <c r="L87" i="7"/>
  <c r="M87" i="7"/>
  <c r="N87" i="7"/>
  <c r="O87" i="7"/>
  <c r="P87" i="7"/>
  <c r="S87" i="7"/>
  <c r="T87" i="7"/>
  <c r="U87" i="7"/>
  <c r="V87" i="7"/>
  <c r="W87" i="7"/>
  <c r="X87" i="7"/>
  <c r="B88" i="7"/>
  <c r="C88" i="7"/>
  <c r="D88" i="7"/>
  <c r="E88" i="7"/>
  <c r="F88" i="7"/>
  <c r="G88" i="7"/>
  <c r="K88" i="7"/>
  <c r="L88" i="7"/>
  <c r="M88" i="7"/>
  <c r="N88" i="7"/>
  <c r="O88" i="7"/>
  <c r="P88" i="7"/>
  <c r="S88" i="7"/>
  <c r="T88" i="7"/>
  <c r="U88" i="7"/>
  <c r="V88" i="7"/>
  <c r="W88" i="7"/>
  <c r="X88" i="7"/>
  <c r="B89" i="7"/>
  <c r="C89" i="7"/>
  <c r="D89" i="7"/>
  <c r="E89" i="7"/>
  <c r="F89" i="7"/>
  <c r="G89" i="7"/>
  <c r="K89" i="7"/>
  <c r="L89" i="7"/>
  <c r="M89" i="7"/>
  <c r="N89" i="7"/>
  <c r="O89" i="7"/>
  <c r="P89" i="7"/>
  <c r="S89" i="7"/>
  <c r="T89" i="7"/>
  <c r="U89" i="7"/>
  <c r="V89" i="7"/>
  <c r="W89" i="7"/>
  <c r="X89" i="7"/>
  <c r="B90" i="7"/>
  <c r="C90" i="7"/>
  <c r="D90" i="7"/>
  <c r="E90" i="7"/>
  <c r="F90" i="7"/>
  <c r="G90" i="7"/>
  <c r="K90" i="7"/>
  <c r="L90" i="7"/>
  <c r="M90" i="7"/>
  <c r="N90" i="7"/>
  <c r="O90" i="7"/>
  <c r="P90" i="7"/>
  <c r="S90" i="7"/>
  <c r="T90" i="7"/>
  <c r="U90" i="7"/>
  <c r="V90" i="7"/>
  <c r="W90" i="7"/>
  <c r="X90" i="7"/>
  <c r="B91" i="7"/>
  <c r="C91" i="7"/>
  <c r="D91" i="7"/>
  <c r="E91" i="7"/>
  <c r="F91" i="7"/>
  <c r="G91" i="7"/>
  <c r="K91" i="7"/>
  <c r="L91" i="7"/>
  <c r="M91" i="7"/>
  <c r="N91" i="7"/>
  <c r="O91" i="7"/>
  <c r="P91" i="7"/>
  <c r="S91" i="7"/>
  <c r="T91" i="7"/>
  <c r="U91" i="7"/>
  <c r="V91" i="7"/>
  <c r="W91" i="7"/>
  <c r="X91" i="7"/>
  <c r="B92" i="7"/>
  <c r="C92" i="7"/>
  <c r="D92" i="7"/>
  <c r="E92" i="7"/>
  <c r="F92" i="7"/>
  <c r="G92" i="7"/>
  <c r="K92" i="7"/>
  <c r="L92" i="7"/>
  <c r="M92" i="7"/>
  <c r="N92" i="7"/>
  <c r="O92" i="7"/>
  <c r="P92" i="7"/>
  <c r="S92" i="7"/>
  <c r="T92" i="7"/>
  <c r="U92" i="7"/>
  <c r="V92" i="7"/>
  <c r="W92" i="7"/>
  <c r="X92" i="7"/>
  <c r="B93" i="7"/>
  <c r="C93" i="7"/>
  <c r="D93" i="7"/>
  <c r="E93" i="7"/>
  <c r="F93" i="7"/>
  <c r="G93" i="7"/>
  <c r="K93" i="7"/>
  <c r="L93" i="7"/>
  <c r="M93" i="7"/>
  <c r="N93" i="7"/>
  <c r="O93" i="7"/>
  <c r="P93" i="7"/>
  <c r="S93" i="7"/>
  <c r="T93" i="7"/>
  <c r="U93" i="7"/>
  <c r="V93" i="7"/>
  <c r="W93" i="7"/>
  <c r="X93" i="7"/>
  <c r="B94" i="7"/>
  <c r="C94" i="7"/>
  <c r="D94" i="7"/>
  <c r="E94" i="7"/>
  <c r="F94" i="7"/>
  <c r="G94" i="7"/>
  <c r="K94" i="7"/>
  <c r="L94" i="7"/>
  <c r="M94" i="7"/>
  <c r="N94" i="7"/>
  <c r="O94" i="7"/>
  <c r="P94" i="7"/>
  <c r="S94" i="7"/>
  <c r="T94" i="7"/>
  <c r="U94" i="7"/>
  <c r="V94" i="7"/>
  <c r="W94" i="7"/>
  <c r="X94" i="7"/>
  <c r="B95" i="7"/>
  <c r="C95" i="7"/>
  <c r="D95" i="7"/>
  <c r="E95" i="7"/>
  <c r="F95" i="7"/>
  <c r="G95" i="7"/>
  <c r="K95" i="7"/>
  <c r="L95" i="7"/>
  <c r="M95" i="7"/>
  <c r="N95" i="7"/>
  <c r="O95" i="7"/>
  <c r="P95" i="7"/>
  <c r="S95" i="7"/>
  <c r="T95" i="7"/>
  <c r="U95" i="7"/>
  <c r="V95" i="7"/>
  <c r="W95" i="7"/>
  <c r="X95" i="7"/>
  <c r="B96" i="7"/>
  <c r="C96" i="7"/>
  <c r="D96" i="7"/>
  <c r="E96" i="7"/>
  <c r="F96" i="7"/>
  <c r="G96" i="7"/>
  <c r="K96" i="7"/>
  <c r="L96" i="7"/>
  <c r="M96" i="7"/>
  <c r="N96" i="7"/>
  <c r="O96" i="7"/>
  <c r="P96" i="7"/>
  <c r="S96" i="7"/>
  <c r="T96" i="7"/>
  <c r="U96" i="7"/>
  <c r="V96" i="7"/>
  <c r="W96" i="7"/>
  <c r="X96" i="7"/>
  <c r="B97" i="7"/>
  <c r="C97" i="7"/>
  <c r="D97" i="7"/>
  <c r="E97" i="7"/>
  <c r="F97" i="7"/>
  <c r="G97" i="7"/>
  <c r="K97" i="7"/>
  <c r="L97" i="7"/>
  <c r="M97" i="7"/>
  <c r="N97" i="7"/>
  <c r="O97" i="7"/>
  <c r="P97" i="7"/>
  <c r="S97" i="7"/>
  <c r="T97" i="7"/>
  <c r="U97" i="7"/>
  <c r="V97" i="7"/>
  <c r="W97" i="7"/>
  <c r="X97" i="7"/>
  <c r="B98" i="7"/>
  <c r="C98" i="7"/>
  <c r="D98" i="7"/>
  <c r="E98" i="7"/>
  <c r="F98" i="7"/>
  <c r="G98" i="7"/>
  <c r="K98" i="7"/>
  <c r="L98" i="7"/>
  <c r="M98" i="7"/>
  <c r="N98" i="7"/>
  <c r="O98" i="7"/>
  <c r="P98" i="7"/>
  <c r="S98" i="7"/>
  <c r="T98" i="7"/>
  <c r="U98" i="7"/>
  <c r="V98" i="7"/>
  <c r="W98" i="7"/>
  <c r="X98" i="7"/>
  <c r="B99" i="7"/>
  <c r="C99" i="7"/>
  <c r="D99" i="7"/>
  <c r="E99" i="7"/>
  <c r="F99" i="7"/>
  <c r="G99" i="7"/>
  <c r="K99" i="7"/>
  <c r="L99" i="7"/>
  <c r="M99" i="7"/>
  <c r="N99" i="7"/>
  <c r="O99" i="7"/>
  <c r="P99" i="7"/>
  <c r="S99" i="7"/>
  <c r="T99" i="7"/>
  <c r="U99" i="7"/>
  <c r="V99" i="7"/>
  <c r="W99" i="7"/>
  <c r="X99" i="7"/>
  <c r="B100" i="7"/>
  <c r="C100" i="7"/>
  <c r="D100" i="7"/>
  <c r="E100" i="7"/>
  <c r="F100" i="7"/>
  <c r="G100" i="7"/>
  <c r="K100" i="7"/>
  <c r="L100" i="7"/>
  <c r="M100" i="7"/>
  <c r="N100" i="7"/>
  <c r="O100" i="7"/>
  <c r="P100" i="7"/>
  <c r="S100" i="7"/>
  <c r="T100" i="7"/>
  <c r="U100" i="7"/>
  <c r="V100" i="7"/>
  <c r="W100" i="7"/>
  <c r="X100" i="7"/>
  <c r="G205" i="14"/>
  <c r="G206" i="14"/>
  <c r="G207" i="14"/>
  <c r="G208" i="14"/>
  <c r="G209" i="14"/>
  <c r="G210" i="14"/>
  <c r="G211" i="14"/>
  <c r="G212" i="14"/>
  <c r="G213" i="14"/>
  <c r="F206" i="14"/>
  <c r="F207" i="14"/>
  <c r="F208" i="14"/>
  <c r="F209" i="14"/>
  <c r="F210" i="14"/>
  <c r="F211" i="14"/>
  <c r="F212" i="14"/>
  <c r="F213" i="14"/>
  <c r="F214" i="14"/>
  <c r="F216" i="14"/>
  <c r="B206" i="14"/>
  <c r="B207" i="14"/>
  <c r="B208" i="14"/>
  <c r="B209" i="14"/>
  <c r="B210" i="14"/>
  <c r="B211" i="14"/>
  <c r="B212" i="14"/>
  <c r="B213" i="14"/>
  <c r="B214" i="14"/>
  <c r="B215" i="14"/>
  <c r="G338" i="11"/>
  <c r="G339" i="11"/>
  <c r="G340" i="11"/>
  <c r="G341" i="11"/>
  <c r="G342" i="11"/>
  <c r="G343" i="11"/>
  <c r="G344" i="11"/>
  <c r="G345" i="11"/>
  <c r="G346" i="11"/>
  <c r="G347" i="11"/>
  <c r="G348" i="11"/>
  <c r="G349" i="11"/>
  <c r="G350" i="11"/>
  <c r="G351" i="11"/>
  <c r="G352" i="11"/>
  <c r="G353" i="11"/>
  <c r="G354" i="11"/>
  <c r="G355" i="11"/>
  <c r="G356" i="11"/>
  <c r="G357" i="11"/>
  <c r="G358" i="11"/>
  <c r="G359" i="11"/>
  <c r="G360" i="11"/>
  <c r="G361" i="11"/>
  <c r="G362" i="11"/>
  <c r="G363" i="11"/>
  <c r="G364" i="11"/>
  <c r="G365" i="11"/>
  <c r="G366" i="11"/>
  <c r="H355" i="11"/>
  <c r="H347" i="11"/>
  <c r="H338" i="11"/>
  <c r="B205" i="14"/>
  <c r="F205" i="14"/>
  <c r="G304" i="11"/>
  <c r="G305" i="11"/>
  <c r="G306" i="11"/>
  <c r="G307" i="11"/>
  <c r="G308" i="11"/>
  <c r="G309" i="11"/>
  <c r="G310" i="11"/>
  <c r="G311" i="11"/>
  <c r="G312" i="11"/>
  <c r="G313" i="11"/>
  <c r="G314" i="11"/>
  <c r="G315" i="11"/>
  <c r="G316" i="11"/>
  <c r="G317" i="11"/>
  <c r="G318" i="11"/>
  <c r="G319" i="11"/>
  <c r="G320" i="11"/>
  <c r="G321" i="11"/>
  <c r="G322" i="11"/>
  <c r="G323" i="11"/>
  <c r="G324" i="11"/>
  <c r="G325" i="11"/>
  <c r="G326" i="11"/>
  <c r="H326" i="11"/>
  <c r="G327" i="11"/>
  <c r="G328" i="11"/>
  <c r="G329" i="11"/>
  <c r="H329" i="11"/>
  <c r="G330" i="11"/>
  <c r="G331" i="11"/>
  <c r="G332" i="11"/>
  <c r="G333" i="11"/>
  <c r="G334" i="11"/>
  <c r="G335" i="11"/>
  <c r="G336" i="11"/>
  <c r="G337" i="11"/>
  <c r="H334" i="11"/>
  <c r="H330" i="11"/>
  <c r="H327" i="11"/>
  <c r="H315" i="11"/>
  <c r="H310" i="11"/>
  <c r="H304" i="11"/>
  <c r="AC145" i="5"/>
  <c r="AC107" i="5"/>
  <c r="AC604" i="5"/>
  <c r="AC602" i="5"/>
  <c r="AC598" i="5"/>
  <c r="AC322" i="5"/>
  <c r="AC321" i="5"/>
  <c r="AC529" i="5"/>
  <c r="AC562" i="5"/>
  <c r="AC603" i="5"/>
  <c r="AC530" i="5"/>
  <c r="B183" i="14"/>
  <c r="F183" i="14"/>
  <c r="G194" i="14"/>
  <c r="G199" i="14"/>
  <c r="G201" i="14"/>
  <c r="G202" i="14"/>
  <c r="G203" i="14"/>
  <c r="G204" i="14"/>
  <c r="F202" i="14"/>
  <c r="F203" i="14"/>
  <c r="F204" i="14"/>
  <c r="G274" i="11"/>
  <c r="G275" i="11"/>
  <c r="G276" i="11"/>
  <c r="G277" i="11"/>
  <c r="G278" i="11"/>
  <c r="G279" i="11"/>
  <c r="G280" i="11"/>
  <c r="G281" i="11"/>
  <c r="G282" i="11"/>
  <c r="G283" i="11"/>
  <c r="G284" i="11"/>
  <c r="G285" i="11"/>
  <c r="G286" i="11"/>
  <c r="G287" i="11"/>
  <c r="G288" i="11"/>
  <c r="G289" i="11"/>
  <c r="G290" i="11"/>
  <c r="G291" i="11"/>
  <c r="G292" i="11"/>
  <c r="G293" i="11"/>
  <c r="G294" i="11"/>
  <c r="G295" i="11"/>
  <c r="G296" i="11"/>
  <c r="G297" i="11"/>
  <c r="G298" i="11"/>
  <c r="G299" i="11"/>
  <c r="G300" i="11"/>
  <c r="G301" i="11"/>
  <c r="G302" i="11"/>
  <c r="G303" i="11"/>
  <c r="AC374" i="5"/>
  <c r="AC373" i="5"/>
  <c r="AC372" i="5"/>
  <c r="AB378" i="5"/>
  <c r="AB374" i="5"/>
  <c r="AB373" i="5"/>
  <c r="AB377" i="5"/>
  <c r="AB376" i="5"/>
  <c r="AB375" i="5"/>
  <c r="AC88" i="5"/>
  <c r="AC87" i="5"/>
  <c r="AC64" i="5"/>
  <c r="AC63" i="5"/>
  <c r="AC61" i="5"/>
  <c r="F195" i="14"/>
  <c r="F196" i="14"/>
  <c r="F197" i="14"/>
  <c r="F198" i="14"/>
  <c r="F199" i="14"/>
  <c r="F201" i="14"/>
  <c r="G186" i="14"/>
  <c r="G187" i="14"/>
  <c r="G188" i="14"/>
  <c r="G189" i="14"/>
  <c r="G190" i="14"/>
  <c r="G191" i="14"/>
  <c r="G192" i="14"/>
  <c r="B189" i="14"/>
  <c r="B190" i="14"/>
  <c r="B191" i="14"/>
  <c r="B192" i="14"/>
  <c r="B193" i="14"/>
  <c r="B194" i="14"/>
  <c r="B195" i="14"/>
  <c r="B196" i="14"/>
  <c r="B197" i="14"/>
  <c r="B198" i="14"/>
  <c r="B199" i="14"/>
  <c r="B201" i="14"/>
  <c r="B202" i="14"/>
  <c r="B203" i="14"/>
  <c r="B204" i="14"/>
  <c r="D201" i="8"/>
  <c r="B188" i="14"/>
  <c r="G262" i="11"/>
  <c r="G263" i="11"/>
  <c r="G264" i="11"/>
  <c r="G265" i="11"/>
  <c r="G266" i="11"/>
  <c r="G267" i="11"/>
  <c r="G268" i="11"/>
  <c r="G269" i="11"/>
  <c r="G270" i="11"/>
  <c r="G271" i="11"/>
  <c r="G272" i="11"/>
  <c r="G273" i="11"/>
  <c r="G242" i="11"/>
  <c r="G243" i="11"/>
  <c r="G244" i="11"/>
  <c r="G245" i="11"/>
  <c r="G246" i="11"/>
  <c r="G247" i="11"/>
  <c r="G248" i="11"/>
  <c r="G249" i="11"/>
  <c r="G250" i="11"/>
  <c r="G251" i="11"/>
  <c r="G252" i="11"/>
  <c r="G253" i="11"/>
  <c r="G254" i="11"/>
  <c r="G255" i="11"/>
  <c r="G256" i="11"/>
  <c r="G257" i="11"/>
  <c r="G258" i="11"/>
  <c r="G259" i="11"/>
  <c r="G260" i="11"/>
  <c r="G261" i="11"/>
  <c r="B186" i="14"/>
  <c r="B187" i="14"/>
  <c r="S39" i="7"/>
  <c r="T39" i="7"/>
  <c r="U39" i="7"/>
  <c r="V39" i="7"/>
  <c r="W39" i="7"/>
  <c r="X39" i="7"/>
  <c r="S40" i="7"/>
  <c r="T40" i="7"/>
  <c r="U40" i="7"/>
  <c r="V40" i="7"/>
  <c r="W40" i="7"/>
  <c r="X40" i="7"/>
  <c r="S41" i="7"/>
  <c r="T41" i="7"/>
  <c r="U41" i="7"/>
  <c r="V41" i="7"/>
  <c r="W41" i="7"/>
  <c r="X41" i="7"/>
  <c r="S42" i="7"/>
  <c r="T42" i="7"/>
  <c r="U42" i="7"/>
  <c r="V42" i="7"/>
  <c r="W42" i="7"/>
  <c r="X42" i="7"/>
  <c r="S43" i="7"/>
  <c r="T43" i="7"/>
  <c r="U43" i="7"/>
  <c r="V43" i="7"/>
  <c r="W43" i="7"/>
  <c r="X43" i="7"/>
  <c r="S44" i="7"/>
  <c r="T44" i="7"/>
  <c r="U44" i="7"/>
  <c r="V44" i="7"/>
  <c r="W44" i="7"/>
  <c r="X44" i="7"/>
  <c r="S45" i="7"/>
  <c r="T45" i="7"/>
  <c r="U45" i="7"/>
  <c r="V45" i="7"/>
  <c r="W45" i="7"/>
  <c r="X45" i="7"/>
  <c r="S46" i="7"/>
  <c r="T46" i="7"/>
  <c r="U46" i="7"/>
  <c r="V46" i="7"/>
  <c r="W46" i="7"/>
  <c r="X46" i="7"/>
  <c r="S47" i="7"/>
  <c r="T47" i="7"/>
  <c r="U47" i="7"/>
  <c r="V47" i="7"/>
  <c r="W47" i="7"/>
  <c r="X47" i="7"/>
  <c r="S48" i="7"/>
  <c r="T48" i="7"/>
  <c r="U48" i="7"/>
  <c r="V48" i="7"/>
  <c r="W48" i="7"/>
  <c r="X48" i="7"/>
  <c r="S49" i="7"/>
  <c r="T49" i="7"/>
  <c r="U49" i="7"/>
  <c r="V49" i="7"/>
  <c r="W49" i="7"/>
  <c r="X49" i="7"/>
  <c r="B39" i="7"/>
  <c r="C39" i="7"/>
  <c r="D39" i="7"/>
  <c r="E39" i="7"/>
  <c r="F39" i="7"/>
  <c r="G39" i="7"/>
  <c r="B40" i="7"/>
  <c r="C40" i="7"/>
  <c r="D40" i="7"/>
  <c r="E40" i="7"/>
  <c r="F40" i="7"/>
  <c r="G40" i="7"/>
  <c r="B41" i="7"/>
  <c r="C41" i="7"/>
  <c r="D41" i="7"/>
  <c r="E41" i="7"/>
  <c r="F41" i="7"/>
  <c r="G41" i="7"/>
  <c r="B42" i="7"/>
  <c r="C42" i="7"/>
  <c r="D42" i="7"/>
  <c r="E42" i="7"/>
  <c r="F42" i="7"/>
  <c r="G42" i="7"/>
  <c r="B43" i="7"/>
  <c r="C43" i="7"/>
  <c r="D43" i="7"/>
  <c r="E43" i="7"/>
  <c r="F43" i="7"/>
  <c r="G43" i="7"/>
  <c r="B44" i="7"/>
  <c r="C44" i="7"/>
  <c r="D44" i="7"/>
  <c r="E44" i="7"/>
  <c r="F44" i="7"/>
  <c r="G44" i="7"/>
  <c r="B45" i="7"/>
  <c r="C45" i="7"/>
  <c r="D45" i="7"/>
  <c r="E45" i="7"/>
  <c r="F45" i="7"/>
  <c r="G45" i="7"/>
  <c r="B46" i="7"/>
  <c r="C46" i="7"/>
  <c r="D46" i="7"/>
  <c r="E46" i="7"/>
  <c r="F46" i="7"/>
  <c r="G46" i="7"/>
  <c r="B47" i="7"/>
  <c r="C47" i="7"/>
  <c r="D47" i="7"/>
  <c r="E47" i="7"/>
  <c r="F47" i="7"/>
  <c r="G47" i="7"/>
  <c r="B48" i="7"/>
  <c r="C48" i="7"/>
  <c r="D48" i="7"/>
  <c r="E48" i="7"/>
  <c r="F48" i="7"/>
  <c r="G48" i="7"/>
  <c r="B49" i="7"/>
  <c r="C49" i="7"/>
  <c r="D49" i="7"/>
  <c r="E49" i="7"/>
  <c r="F49" i="7"/>
  <c r="G49" i="7"/>
  <c r="K39" i="7"/>
  <c r="L39" i="7"/>
  <c r="M39" i="7"/>
  <c r="N39" i="7"/>
  <c r="O39" i="7"/>
  <c r="P39" i="7"/>
  <c r="K40" i="7"/>
  <c r="L40" i="7"/>
  <c r="M40" i="7"/>
  <c r="N40" i="7"/>
  <c r="O40" i="7"/>
  <c r="P40" i="7"/>
  <c r="K41" i="7"/>
  <c r="L41" i="7"/>
  <c r="M41" i="7"/>
  <c r="N41" i="7"/>
  <c r="O41" i="7"/>
  <c r="P41" i="7"/>
  <c r="K42" i="7"/>
  <c r="L42" i="7"/>
  <c r="M42" i="7"/>
  <c r="N42" i="7"/>
  <c r="O42" i="7"/>
  <c r="P42" i="7"/>
  <c r="K43" i="7"/>
  <c r="L43" i="7"/>
  <c r="M43" i="7"/>
  <c r="N43" i="7"/>
  <c r="O43" i="7"/>
  <c r="P43" i="7"/>
  <c r="K44" i="7"/>
  <c r="L44" i="7"/>
  <c r="M44" i="7"/>
  <c r="N44" i="7"/>
  <c r="O44" i="7"/>
  <c r="P44" i="7"/>
  <c r="K45" i="7"/>
  <c r="L45" i="7"/>
  <c r="M45" i="7"/>
  <c r="N45" i="7"/>
  <c r="O45" i="7"/>
  <c r="P45" i="7"/>
  <c r="K46" i="7"/>
  <c r="L46" i="7"/>
  <c r="M46" i="7"/>
  <c r="N46" i="7"/>
  <c r="O46" i="7"/>
  <c r="P46" i="7"/>
  <c r="K47" i="7"/>
  <c r="L47" i="7"/>
  <c r="M47" i="7"/>
  <c r="N47" i="7"/>
  <c r="O47" i="7"/>
  <c r="P47" i="7"/>
  <c r="K48" i="7"/>
  <c r="L48" i="7"/>
  <c r="M48" i="7"/>
  <c r="N48" i="7"/>
  <c r="O48" i="7"/>
  <c r="P48" i="7"/>
  <c r="K49" i="7"/>
  <c r="L49" i="7"/>
  <c r="M49" i="7"/>
  <c r="N49" i="7"/>
  <c r="O49" i="7"/>
  <c r="P49" i="7"/>
  <c r="K10" i="7"/>
  <c r="F91" i="14"/>
  <c r="F92" i="14"/>
  <c r="B91" i="14"/>
  <c r="E31" i="7"/>
  <c r="B174" i="14"/>
  <c r="B175" i="14"/>
  <c r="B176" i="14"/>
  <c r="B177" i="14"/>
  <c r="B178" i="14"/>
  <c r="B179" i="14"/>
  <c r="B180" i="14"/>
  <c r="B181" i="14"/>
  <c r="B182" i="14"/>
  <c r="B184" i="14"/>
  <c r="B185" i="14"/>
  <c r="G241"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40" i="11"/>
  <c r="D59" i="5"/>
  <c r="D836" i="5"/>
  <c r="D60" i="5"/>
  <c r="D454" i="5"/>
  <c r="D455" i="5"/>
  <c r="D456" i="5"/>
  <c r="D457" i="5"/>
  <c r="AH143" i="1"/>
  <c r="AJ143" i="1"/>
  <c r="L210" i="8"/>
  <c r="M210" i="8"/>
  <c r="L211" i="8"/>
  <c r="M211" i="8"/>
  <c r="L212" i="8"/>
  <c r="M212" i="8"/>
  <c r="L213" i="8"/>
  <c r="M213" i="8"/>
  <c r="L214" i="8"/>
  <c r="M214" i="8"/>
  <c r="L215" i="8"/>
  <c r="M215" i="8"/>
  <c r="L216" i="8"/>
  <c r="M216" i="8"/>
  <c r="L217" i="8"/>
  <c r="M217" i="8"/>
  <c r="L218" i="8"/>
  <c r="M218" i="8"/>
  <c r="L219" i="8"/>
  <c r="M219" i="8"/>
  <c r="L220" i="8"/>
  <c r="M220" i="8"/>
  <c r="L221" i="8"/>
  <c r="M221" i="8"/>
  <c r="L222" i="8"/>
  <c r="M222" i="8"/>
  <c r="L223" i="8"/>
  <c r="M223" i="8"/>
  <c r="L224" i="8"/>
  <c r="M224" i="8"/>
  <c r="L225" i="8"/>
  <c r="M225" i="8"/>
  <c r="L226" i="8"/>
  <c r="M226" i="8"/>
  <c r="L227" i="8"/>
  <c r="M227" i="8"/>
  <c r="L228" i="8"/>
  <c r="M228" i="8"/>
  <c r="L229" i="8"/>
  <c r="M229" i="8"/>
  <c r="L230" i="8"/>
  <c r="M230" i="8"/>
  <c r="L231" i="8"/>
  <c r="M231" i="8"/>
  <c r="L232" i="8"/>
  <c r="M232" i="8"/>
  <c r="L234" i="8"/>
  <c r="M234" i="8"/>
  <c r="L235" i="8"/>
  <c r="M235" i="8"/>
  <c r="L236" i="8"/>
  <c r="M236" i="8"/>
  <c r="L237" i="8"/>
  <c r="M237" i="8"/>
  <c r="L238" i="8"/>
  <c r="M238" i="8"/>
  <c r="L239" i="8"/>
  <c r="M239" i="8"/>
  <c r="L240" i="8"/>
  <c r="M240" i="8"/>
  <c r="L241" i="8"/>
  <c r="M241" i="8"/>
  <c r="L242" i="8"/>
  <c r="M242" i="8"/>
  <c r="L243" i="8"/>
  <c r="M243" i="8"/>
  <c r="L244" i="8"/>
  <c r="M244" i="8"/>
  <c r="L245" i="8"/>
  <c r="M245" i="8"/>
  <c r="L246" i="8"/>
  <c r="M246" i="8"/>
  <c r="L247" i="8"/>
  <c r="M247" i="8"/>
  <c r="L248" i="8"/>
  <c r="M248" i="8"/>
  <c r="L249" i="8"/>
  <c r="M249" i="8"/>
  <c r="L250" i="8"/>
  <c r="M250" i="8"/>
  <c r="L251" i="8"/>
  <c r="M251" i="8"/>
  <c r="L252" i="8"/>
  <c r="M252" i="8"/>
  <c r="L253" i="8"/>
  <c r="M253" i="8"/>
  <c r="L254" i="8"/>
  <c r="M254" i="8"/>
  <c r="L255" i="8"/>
  <c r="M255" i="8"/>
  <c r="L256" i="8"/>
  <c r="M256" i="8"/>
  <c r="L257" i="8"/>
  <c r="M257" i="8"/>
  <c r="L258" i="8"/>
  <c r="M258" i="8"/>
  <c r="L259" i="8"/>
  <c r="M259" i="8"/>
  <c r="L260" i="8"/>
  <c r="M260" i="8"/>
  <c r="L261" i="8"/>
  <c r="M261" i="8"/>
  <c r="L262" i="8"/>
  <c r="M262" i="8"/>
  <c r="L263" i="8"/>
  <c r="M263" i="8"/>
  <c r="L264" i="8"/>
  <c r="M264" i="8"/>
  <c r="L265" i="8"/>
  <c r="M265" i="8"/>
  <c r="L266" i="8"/>
  <c r="M266" i="8"/>
  <c r="L267" i="8"/>
  <c r="M267" i="8"/>
  <c r="L268" i="8"/>
  <c r="M268" i="8"/>
  <c r="L269" i="8"/>
  <c r="M269" i="8"/>
  <c r="L270" i="8"/>
  <c r="M270" i="8"/>
  <c r="L271" i="8"/>
  <c r="M271" i="8"/>
  <c r="L272" i="8"/>
  <c r="M272" i="8"/>
  <c r="L273" i="8"/>
  <c r="M273" i="8"/>
  <c r="L274" i="8"/>
  <c r="M274" i="8"/>
  <c r="L275" i="8"/>
  <c r="M275" i="8"/>
  <c r="L276" i="8"/>
  <c r="M276" i="8"/>
  <c r="L277" i="8"/>
  <c r="M277" i="8"/>
  <c r="L278" i="8"/>
  <c r="M278" i="8"/>
  <c r="L279" i="8"/>
  <c r="M279" i="8"/>
  <c r="L280" i="8"/>
  <c r="M280" i="8"/>
  <c r="L281" i="8"/>
  <c r="M281" i="8"/>
  <c r="L282" i="8"/>
  <c r="M282" i="8"/>
  <c r="L284" i="8"/>
  <c r="M284" i="8"/>
  <c r="L285" i="8"/>
  <c r="M285" i="8"/>
  <c r="L286" i="8"/>
  <c r="M286" i="8"/>
  <c r="L287" i="8"/>
  <c r="M287" i="8"/>
  <c r="L288" i="8"/>
  <c r="M288" i="8"/>
  <c r="L289" i="8"/>
  <c r="M289" i="8"/>
  <c r="L290" i="8"/>
  <c r="M290" i="8"/>
  <c r="L291" i="8"/>
  <c r="M291" i="8"/>
  <c r="L292" i="8"/>
  <c r="M292" i="8"/>
  <c r="L293" i="8"/>
  <c r="M293" i="8"/>
  <c r="L294" i="8"/>
  <c r="M294" i="8"/>
  <c r="L295" i="8"/>
  <c r="M295" i="8"/>
  <c r="L296" i="8"/>
  <c r="M296" i="8"/>
  <c r="L297" i="8"/>
  <c r="M297" i="8"/>
  <c r="L298" i="8"/>
  <c r="M298" i="8"/>
  <c r="L299" i="8"/>
  <c r="M299" i="8"/>
  <c r="L300" i="8"/>
  <c r="M300" i="8"/>
  <c r="L199" i="8"/>
  <c r="M199" i="8"/>
  <c r="L200" i="8"/>
  <c r="M200" i="8"/>
  <c r="L201" i="8"/>
  <c r="M201" i="8"/>
  <c r="L202" i="8"/>
  <c r="M202" i="8"/>
  <c r="L203" i="8"/>
  <c r="M203" i="8"/>
  <c r="L204" i="8"/>
  <c r="M204" i="8"/>
  <c r="L205" i="8"/>
  <c r="M205" i="8"/>
  <c r="L206" i="8"/>
  <c r="M206" i="8"/>
  <c r="L207" i="8"/>
  <c r="M207" i="8"/>
  <c r="L208" i="8"/>
  <c r="M208" i="8"/>
  <c r="L209" i="8"/>
  <c r="M209"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Q232" i="8"/>
  <c r="K234" i="8"/>
  <c r="K235" i="8"/>
  <c r="K236" i="8"/>
  <c r="N236" i="8"/>
  <c r="K237" i="8"/>
  <c r="K238" i="8"/>
  <c r="K239" i="8"/>
  <c r="K240" i="8"/>
  <c r="K241" i="8"/>
  <c r="K242" i="8"/>
  <c r="K243" i="8"/>
  <c r="K244" i="8"/>
  <c r="K245" i="8"/>
  <c r="K246" i="8"/>
  <c r="Q246" i="8"/>
  <c r="K247" i="8"/>
  <c r="K248" i="8"/>
  <c r="Q248" i="8"/>
  <c r="K249" i="8"/>
  <c r="K250"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9" i="8"/>
  <c r="K280" i="8"/>
  <c r="K281" i="8"/>
  <c r="K282" i="8"/>
  <c r="K284" i="8"/>
  <c r="K285" i="8"/>
  <c r="K286" i="8"/>
  <c r="K287" i="8"/>
  <c r="K288" i="8"/>
  <c r="K289" i="8"/>
  <c r="K290" i="8"/>
  <c r="K291" i="8"/>
  <c r="K292" i="8"/>
  <c r="K293" i="8"/>
  <c r="K294" i="8"/>
  <c r="K295" i="8"/>
  <c r="K296" i="8"/>
  <c r="K297" i="8"/>
  <c r="K298" i="8"/>
  <c r="K299" i="8"/>
  <c r="K300" i="8"/>
  <c r="N300" i="8"/>
  <c r="R300" i="8"/>
  <c r="S300" i="8"/>
  <c r="N299" i="8"/>
  <c r="R299" i="8"/>
  <c r="S299" i="8"/>
  <c r="N298" i="8"/>
  <c r="R298" i="8"/>
  <c r="S298" i="8"/>
  <c r="N297" i="8"/>
  <c r="R297" i="8"/>
  <c r="S297" i="8"/>
  <c r="N296" i="8"/>
  <c r="R296" i="8"/>
  <c r="S296" i="8"/>
  <c r="N295" i="8"/>
  <c r="R295" i="8"/>
  <c r="S295" i="8"/>
  <c r="N294" i="8"/>
  <c r="R294" i="8"/>
  <c r="S294" i="8"/>
  <c r="N293" i="8"/>
  <c r="R293" i="8"/>
  <c r="S293" i="8"/>
  <c r="N292" i="8"/>
  <c r="R292" i="8"/>
  <c r="S292" i="8"/>
  <c r="N291" i="8"/>
  <c r="R291" i="8"/>
  <c r="S291" i="8"/>
  <c r="N290" i="8"/>
  <c r="R290" i="8"/>
  <c r="S290" i="8"/>
  <c r="N289" i="8"/>
  <c r="R289" i="8"/>
  <c r="S289" i="8"/>
  <c r="N288" i="8"/>
  <c r="R288" i="8"/>
  <c r="S288" i="8"/>
  <c r="N287" i="8"/>
  <c r="R287" i="8"/>
  <c r="S287" i="8"/>
  <c r="N286" i="8"/>
  <c r="R286" i="8"/>
  <c r="S286" i="8"/>
  <c r="N285" i="8"/>
  <c r="R285" i="8"/>
  <c r="S285" i="8"/>
  <c r="N284" i="8"/>
  <c r="R284" i="8"/>
  <c r="S284" i="8"/>
  <c r="N282" i="8"/>
  <c r="R282" i="8"/>
  <c r="S282" i="8"/>
  <c r="N281" i="8"/>
  <c r="R281" i="8"/>
  <c r="S281" i="8"/>
  <c r="N280" i="8"/>
  <c r="R280" i="8"/>
  <c r="S280" i="8"/>
  <c r="N279" i="8"/>
  <c r="R279" i="8"/>
  <c r="S279" i="8"/>
  <c r="N278" i="8"/>
  <c r="R278" i="8"/>
  <c r="S278" i="8"/>
  <c r="N277" i="8"/>
  <c r="R277" i="8"/>
  <c r="S277" i="8"/>
  <c r="N276" i="8"/>
  <c r="R276" i="8"/>
  <c r="S276" i="8"/>
  <c r="N275" i="8"/>
  <c r="R275" i="8"/>
  <c r="S275" i="8"/>
  <c r="N274" i="8"/>
  <c r="R274" i="8"/>
  <c r="S274" i="8"/>
  <c r="N273" i="8"/>
  <c r="R273" i="8"/>
  <c r="S273" i="8"/>
  <c r="N272" i="8"/>
  <c r="R272" i="8"/>
  <c r="S272" i="8"/>
  <c r="N271" i="8"/>
  <c r="R271" i="8"/>
  <c r="S271" i="8"/>
  <c r="N270" i="8"/>
  <c r="R270" i="8"/>
  <c r="S270" i="8"/>
  <c r="N269" i="8"/>
  <c r="R269" i="8"/>
  <c r="S269" i="8"/>
  <c r="N268" i="8"/>
  <c r="R268" i="8"/>
  <c r="S268" i="8"/>
  <c r="N267" i="8"/>
  <c r="O267" i="8"/>
  <c r="R267" i="8"/>
  <c r="S267" i="8"/>
  <c r="N266" i="8"/>
  <c r="R266" i="8"/>
  <c r="S266" i="8"/>
  <c r="N265" i="8"/>
  <c r="R265" i="8"/>
  <c r="S265" i="8"/>
  <c r="N264" i="8"/>
  <c r="R264" i="8"/>
  <c r="S264" i="8"/>
  <c r="N263" i="8"/>
  <c r="R263" i="8"/>
  <c r="S263" i="8"/>
  <c r="N262" i="8"/>
  <c r="R262" i="8"/>
  <c r="S262" i="8"/>
  <c r="N261" i="8"/>
  <c r="R261" i="8"/>
  <c r="S261" i="8"/>
  <c r="N260" i="8"/>
  <c r="R260" i="8"/>
  <c r="S260" i="8"/>
  <c r="N259" i="8"/>
  <c r="R259" i="8"/>
  <c r="S259" i="8"/>
  <c r="N258" i="8"/>
  <c r="R258" i="8"/>
  <c r="S258" i="8"/>
  <c r="N257" i="8"/>
  <c r="R257" i="8"/>
  <c r="S257" i="8"/>
  <c r="N256" i="8"/>
  <c r="R256" i="8"/>
  <c r="S256" i="8"/>
  <c r="N255" i="8"/>
  <c r="R255" i="8"/>
  <c r="S255" i="8"/>
  <c r="N254" i="8"/>
  <c r="R254" i="8"/>
  <c r="S254" i="8"/>
  <c r="N253" i="8"/>
  <c r="R253" i="8"/>
  <c r="S253" i="8"/>
  <c r="N252" i="8"/>
  <c r="R252" i="8"/>
  <c r="S252" i="8"/>
  <c r="N251" i="8"/>
  <c r="R251" i="8"/>
  <c r="S251" i="8"/>
  <c r="N250" i="8"/>
  <c r="R250" i="8"/>
  <c r="S250" i="8"/>
  <c r="N249" i="8"/>
  <c r="R249" i="8"/>
  <c r="S249" i="8"/>
  <c r="N248" i="8"/>
  <c r="R248" i="8"/>
  <c r="S248" i="8"/>
  <c r="N247" i="8"/>
  <c r="R247" i="8"/>
  <c r="S247" i="8"/>
  <c r="N246" i="8"/>
  <c r="R246" i="8"/>
  <c r="S246" i="8"/>
  <c r="N245" i="8"/>
  <c r="R245" i="8"/>
  <c r="S245" i="8"/>
  <c r="N244" i="8"/>
  <c r="R244" i="8"/>
  <c r="S244" i="8"/>
  <c r="N243" i="8"/>
  <c r="R243" i="8"/>
  <c r="S243" i="8"/>
  <c r="N242" i="8"/>
  <c r="R242" i="8"/>
  <c r="S242" i="8"/>
  <c r="N241" i="8"/>
  <c r="R241" i="8"/>
  <c r="S241" i="8"/>
  <c r="N240" i="8"/>
  <c r="R240" i="8"/>
  <c r="S240" i="8"/>
  <c r="N239" i="8"/>
  <c r="R239" i="8"/>
  <c r="S239" i="8"/>
  <c r="N238" i="8"/>
  <c r="R238" i="8"/>
  <c r="S238" i="8"/>
  <c r="N237" i="8"/>
  <c r="R237" i="8"/>
  <c r="S237" i="8"/>
  <c r="R236" i="8"/>
  <c r="S236" i="8"/>
  <c r="N235" i="8"/>
  <c r="R235" i="8"/>
  <c r="S235" i="8"/>
  <c r="N234" i="8"/>
  <c r="R234" i="8"/>
  <c r="S234" i="8"/>
  <c r="R233" i="8"/>
  <c r="S233" i="8"/>
  <c r="N232" i="8"/>
  <c r="R232" i="8"/>
  <c r="S232" i="8"/>
  <c r="N231" i="8"/>
  <c r="R231" i="8"/>
  <c r="S231" i="8"/>
  <c r="N230" i="8"/>
  <c r="R230" i="8"/>
  <c r="S230" i="8"/>
  <c r="N229" i="8"/>
  <c r="R229" i="8"/>
  <c r="S229" i="8"/>
  <c r="N228" i="8"/>
  <c r="R228" i="8"/>
  <c r="S228" i="8"/>
  <c r="N227" i="8"/>
  <c r="R227" i="8"/>
  <c r="S227" i="8"/>
  <c r="N226" i="8"/>
  <c r="R226" i="8"/>
  <c r="S226" i="8"/>
  <c r="N225" i="8"/>
  <c r="R225" i="8"/>
  <c r="S225" i="8"/>
  <c r="N224" i="8"/>
  <c r="R224" i="8"/>
  <c r="S224" i="8"/>
  <c r="N223" i="8"/>
  <c r="R223" i="8"/>
  <c r="S223" i="8"/>
  <c r="N222" i="8"/>
  <c r="R222" i="8"/>
  <c r="S222" i="8"/>
  <c r="N221" i="8"/>
  <c r="R221" i="8"/>
  <c r="S221" i="8"/>
  <c r="N220" i="8"/>
  <c r="R220" i="8"/>
  <c r="S220" i="8"/>
  <c r="N219" i="8"/>
  <c r="R219" i="8"/>
  <c r="S219" i="8"/>
  <c r="N218" i="8"/>
  <c r="R218" i="8"/>
  <c r="S218" i="8"/>
  <c r="N217" i="8"/>
  <c r="R217" i="8"/>
  <c r="S217" i="8"/>
  <c r="N216" i="8"/>
  <c r="R216" i="8"/>
  <c r="S216" i="8"/>
  <c r="N215" i="8"/>
  <c r="R215" i="8"/>
  <c r="S215" i="8"/>
  <c r="N214" i="8"/>
  <c r="R214" i="8"/>
  <c r="S214" i="8"/>
  <c r="N213" i="8"/>
  <c r="R213" i="8"/>
  <c r="S213" i="8"/>
  <c r="N212" i="8"/>
  <c r="R212" i="8"/>
  <c r="S212" i="8"/>
  <c r="N211" i="8"/>
  <c r="R211" i="8"/>
  <c r="S211" i="8"/>
  <c r="N210" i="8"/>
  <c r="R210" i="8"/>
  <c r="S210" i="8"/>
  <c r="N209" i="8"/>
  <c r="R209" i="8"/>
  <c r="S209" i="8"/>
  <c r="N208" i="8"/>
  <c r="R208" i="8"/>
  <c r="S208" i="8"/>
  <c r="N207" i="8"/>
  <c r="R207" i="8"/>
  <c r="S207" i="8"/>
  <c r="N206" i="8"/>
  <c r="R206" i="8"/>
  <c r="S206" i="8"/>
  <c r="N205" i="8"/>
  <c r="R205" i="8"/>
  <c r="S205" i="8"/>
  <c r="N203" i="8"/>
  <c r="R203" i="8"/>
  <c r="S203" i="8"/>
  <c r="N204" i="8"/>
  <c r="R204" i="8"/>
  <c r="S204" i="8"/>
  <c r="N202" i="8"/>
  <c r="R202" i="8"/>
  <c r="S202" i="8"/>
  <c r="N201" i="8"/>
  <c r="R201" i="8"/>
  <c r="S201" i="8"/>
  <c r="N200" i="8"/>
  <c r="R200" i="8"/>
  <c r="S200" i="8"/>
  <c r="N199" i="8"/>
  <c r="R199" i="8"/>
  <c r="S199" i="8"/>
  <c r="G190" i="11"/>
  <c r="G191" i="11"/>
  <c r="G192" i="11"/>
  <c r="G193" i="11"/>
  <c r="G194" i="11"/>
  <c r="G195" i="11"/>
  <c r="G196" i="11"/>
  <c r="G197" i="11"/>
  <c r="G198" i="11"/>
  <c r="G199" i="11"/>
  <c r="G200" i="11"/>
  <c r="G201" i="11"/>
  <c r="G202" i="11"/>
  <c r="G203" i="11"/>
  <c r="G204" i="11"/>
  <c r="G205" i="11"/>
  <c r="G206" i="11"/>
  <c r="G207" i="11"/>
  <c r="G208" i="11"/>
  <c r="O222" i="8"/>
  <c r="P222" i="8"/>
  <c r="Q222" i="8"/>
  <c r="O223" i="8"/>
  <c r="P223" i="8"/>
  <c r="Q223" i="8"/>
  <c r="O224" i="8"/>
  <c r="P224" i="8"/>
  <c r="Q224" i="8"/>
  <c r="O225" i="8"/>
  <c r="P225" i="8"/>
  <c r="Q225" i="8"/>
  <c r="O226" i="8"/>
  <c r="P226" i="8"/>
  <c r="Q226" i="8"/>
  <c r="O227" i="8"/>
  <c r="P227" i="8"/>
  <c r="Q227" i="8"/>
  <c r="P228" i="8"/>
  <c r="Q228" i="8"/>
  <c r="O229" i="8"/>
  <c r="P229" i="8"/>
  <c r="Q229" i="8"/>
  <c r="O230" i="8"/>
  <c r="P230" i="8"/>
  <c r="Q230" i="8"/>
  <c r="O231" i="8"/>
  <c r="P231" i="8"/>
  <c r="Q231" i="8"/>
  <c r="P232" i="8"/>
  <c r="P233" i="8"/>
  <c r="O234" i="8"/>
  <c r="P234" i="8"/>
  <c r="Q234" i="8"/>
  <c r="O235" i="8"/>
  <c r="P235" i="8"/>
  <c r="Q235" i="8"/>
  <c r="O236" i="8"/>
  <c r="P236" i="8"/>
  <c r="Q236" i="8"/>
  <c r="O237" i="8"/>
  <c r="P237" i="8"/>
  <c r="Q237" i="8"/>
  <c r="O238" i="8"/>
  <c r="P238" i="8"/>
  <c r="Q238" i="8"/>
  <c r="O239" i="8"/>
  <c r="P239" i="8"/>
  <c r="Q239" i="8"/>
  <c r="O240" i="8"/>
  <c r="P240" i="8"/>
  <c r="Q240" i="8"/>
  <c r="O241" i="8"/>
  <c r="P241" i="8"/>
  <c r="Q241" i="8"/>
  <c r="O242" i="8"/>
  <c r="P242" i="8"/>
  <c r="Q242" i="8"/>
  <c r="O243" i="8"/>
  <c r="P243" i="8"/>
  <c r="Q243" i="8"/>
  <c r="P244" i="8"/>
  <c r="O245" i="8"/>
  <c r="P245" i="8"/>
  <c r="Q245" i="8"/>
  <c r="P246" i="8"/>
  <c r="O247" i="8"/>
  <c r="P247" i="8"/>
  <c r="Q247" i="8"/>
  <c r="P248" i="8"/>
  <c r="O249" i="8"/>
  <c r="P249" i="8"/>
  <c r="Q249" i="8"/>
  <c r="P250" i="8"/>
  <c r="Q250" i="8"/>
  <c r="O251" i="8"/>
  <c r="P251" i="8"/>
  <c r="Q251" i="8"/>
  <c r="O252" i="8"/>
  <c r="P252" i="8"/>
  <c r="Q252" i="8"/>
  <c r="O253" i="8"/>
  <c r="P253" i="8"/>
  <c r="Q253" i="8"/>
  <c r="O254" i="8"/>
  <c r="P254" i="8"/>
  <c r="Q254" i="8"/>
  <c r="O255" i="8"/>
  <c r="P255" i="8"/>
  <c r="Q255" i="8"/>
  <c r="O256" i="8"/>
  <c r="P256" i="8"/>
  <c r="Q256" i="8"/>
  <c r="O257" i="8"/>
  <c r="P257" i="8"/>
  <c r="Q257" i="8"/>
  <c r="O258" i="8"/>
  <c r="P258" i="8"/>
  <c r="Q258" i="8"/>
  <c r="O259" i="8"/>
  <c r="P259" i="8"/>
  <c r="Q259" i="8"/>
  <c r="O260" i="8"/>
  <c r="P260" i="8"/>
  <c r="Q260" i="8"/>
  <c r="O261" i="8"/>
  <c r="P261" i="8"/>
  <c r="Q261" i="8"/>
  <c r="O262" i="8"/>
  <c r="P262" i="8"/>
  <c r="Q262" i="8"/>
  <c r="O263" i="8"/>
  <c r="P263" i="8"/>
  <c r="Q263" i="8"/>
  <c r="O264" i="8"/>
  <c r="P264" i="8"/>
  <c r="Q264" i="8"/>
  <c r="O265" i="8"/>
  <c r="P265" i="8"/>
  <c r="Q265" i="8"/>
  <c r="O266" i="8"/>
  <c r="P266" i="8"/>
  <c r="Q266" i="8"/>
  <c r="P267" i="8"/>
  <c r="Q267" i="8"/>
  <c r="O268" i="8"/>
  <c r="P268" i="8"/>
  <c r="Q268" i="8"/>
  <c r="O269" i="8"/>
  <c r="P269" i="8"/>
  <c r="Q269" i="8"/>
  <c r="O270" i="8"/>
  <c r="P270" i="8"/>
  <c r="Q270" i="8"/>
  <c r="O271" i="8"/>
  <c r="P271" i="8"/>
  <c r="Q271" i="8"/>
  <c r="O272" i="8"/>
  <c r="P272" i="8"/>
  <c r="Q272" i="8"/>
  <c r="O273" i="8"/>
  <c r="P273" i="8"/>
  <c r="Q273" i="8"/>
  <c r="O274" i="8"/>
  <c r="P274" i="8"/>
  <c r="Q274" i="8"/>
  <c r="P275" i="8"/>
  <c r="Q275" i="8"/>
  <c r="P276" i="8"/>
  <c r="Q276" i="8"/>
  <c r="O277" i="8"/>
  <c r="P277" i="8"/>
  <c r="Q277" i="8"/>
  <c r="O278" i="8"/>
  <c r="P278" i="8"/>
  <c r="Q278" i="8"/>
  <c r="O279" i="8"/>
  <c r="P279" i="8"/>
  <c r="Q279" i="8"/>
  <c r="O280" i="8"/>
  <c r="P280" i="8"/>
  <c r="Q280" i="8"/>
  <c r="O281" i="8"/>
  <c r="P281" i="8"/>
  <c r="Q281" i="8"/>
  <c r="O282" i="8"/>
  <c r="P282" i="8"/>
  <c r="Q282" i="8"/>
  <c r="P284" i="8"/>
  <c r="Q284" i="8"/>
  <c r="O285" i="8"/>
  <c r="P285" i="8"/>
  <c r="Q285" i="8"/>
  <c r="P286" i="8"/>
  <c r="Q286" i="8"/>
  <c r="P287" i="8"/>
  <c r="Q287" i="8"/>
  <c r="O288" i="8"/>
  <c r="P288" i="8"/>
  <c r="Q288" i="8"/>
  <c r="P289" i="8"/>
  <c r="Q289" i="8"/>
  <c r="O290" i="8"/>
  <c r="P290" i="8"/>
  <c r="Q290" i="8"/>
  <c r="O291" i="8"/>
  <c r="P291" i="8"/>
  <c r="Q291" i="8"/>
  <c r="P292" i="8"/>
  <c r="Q292" i="8"/>
  <c r="O293" i="8"/>
  <c r="P293" i="8"/>
  <c r="Q293" i="8"/>
  <c r="O294" i="8"/>
  <c r="P294" i="8"/>
  <c r="Q294" i="8"/>
  <c r="O295" i="8"/>
  <c r="P295" i="8"/>
  <c r="Q295" i="8"/>
  <c r="O296" i="8"/>
  <c r="P296" i="8"/>
  <c r="Q296" i="8"/>
  <c r="P297" i="8"/>
  <c r="Q297" i="8"/>
  <c r="O298" i="8"/>
  <c r="P298" i="8"/>
  <c r="Q298" i="8"/>
  <c r="O299" i="8"/>
  <c r="P299" i="8"/>
  <c r="Q299" i="8"/>
  <c r="O300" i="8"/>
  <c r="P300" i="8"/>
  <c r="Q300" i="8"/>
  <c r="O221" i="8"/>
  <c r="Q221" i="8"/>
  <c r="O220" i="8"/>
  <c r="Q220" i="8"/>
  <c r="O219" i="8"/>
  <c r="P219" i="8"/>
  <c r="Q219" i="8"/>
  <c r="O218" i="8"/>
  <c r="P218" i="8"/>
  <c r="Q218" i="8"/>
  <c r="O217" i="8"/>
  <c r="P217" i="8"/>
  <c r="Q217" i="8"/>
  <c r="O216" i="8"/>
  <c r="P216" i="8"/>
  <c r="Q216" i="8"/>
  <c r="O215" i="8"/>
  <c r="P215" i="8"/>
  <c r="Q215" i="8"/>
  <c r="O214" i="8"/>
  <c r="P214" i="8"/>
  <c r="Q214" i="8"/>
  <c r="O213" i="8"/>
  <c r="P213" i="8"/>
  <c r="Q213" i="8"/>
  <c r="O212" i="8"/>
  <c r="P212" i="8"/>
  <c r="Q212" i="8"/>
  <c r="O211" i="8"/>
  <c r="P211" i="8"/>
  <c r="Q211" i="8"/>
  <c r="O210" i="8"/>
  <c r="P210" i="8"/>
  <c r="Q210" i="8"/>
  <c r="O209" i="8"/>
  <c r="P209" i="8"/>
  <c r="Q209" i="8"/>
  <c r="O208" i="8"/>
  <c r="P208" i="8"/>
  <c r="Q208" i="8"/>
  <c r="P207" i="8"/>
  <c r="Q207" i="8"/>
  <c r="P206" i="8"/>
  <c r="Q206" i="8"/>
  <c r="O205" i="8"/>
  <c r="P205" i="8"/>
  <c r="Q205" i="8"/>
  <c r="O203" i="8"/>
  <c r="P203" i="8"/>
  <c r="Q203" i="8"/>
  <c r="O204" i="8"/>
  <c r="P204" i="8"/>
  <c r="Q204" i="8"/>
  <c r="O202" i="8"/>
  <c r="P202" i="8"/>
  <c r="Q202" i="8"/>
  <c r="O201" i="8"/>
  <c r="P201" i="8"/>
  <c r="Q201" i="8"/>
  <c r="O200" i="8"/>
  <c r="P200" i="8"/>
  <c r="Q200" i="8"/>
  <c r="O199" i="8"/>
  <c r="P199" i="8"/>
  <c r="Q199" i="8"/>
  <c r="AG322" i="5"/>
  <c r="AG425" i="5"/>
  <c r="AG372" i="5"/>
  <c r="AB425" i="5"/>
  <c r="AB372" i="5"/>
  <c r="C827" i="5"/>
  <c r="C755" i="5"/>
  <c r="C756" i="5"/>
  <c r="C833" i="5"/>
  <c r="C757" i="5"/>
  <c r="C433" i="5"/>
  <c r="C759" i="5"/>
  <c r="C752" i="5"/>
  <c r="C884" i="5"/>
  <c r="C885" i="5"/>
  <c r="C883" i="5"/>
  <c r="P221" i="8"/>
  <c r="P220" i="8"/>
  <c r="AL137" i="1"/>
  <c r="B172" i="14"/>
  <c r="B173" i="14"/>
  <c r="B171" i="14"/>
  <c r="B170" i="14"/>
  <c r="B169" i="14"/>
  <c r="B168" i="14"/>
  <c r="B167" i="14"/>
  <c r="G170" i="11"/>
  <c r="G171" i="11"/>
  <c r="G172" i="11"/>
  <c r="G173" i="11"/>
  <c r="G174" i="11"/>
  <c r="G175" i="11"/>
  <c r="G176" i="11"/>
  <c r="G177" i="11"/>
  <c r="G178" i="11"/>
  <c r="G179" i="11"/>
  <c r="G180" i="11"/>
  <c r="G181" i="11"/>
  <c r="G182" i="11"/>
  <c r="G183" i="11"/>
  <c r="G184" i="11"/>
  <c r="G185" i="11"/>
  <c r="G186" i="11"/>
  <c r="G187" i="11"/>
  <c r="G188" i="11"/>
  <c r="G189" i="11"/>
  <c r="G169" i="11"/>
  <c r="G156" i="14"/>
  <c r="G157" i="14"/>
  <c r="G158" i="14"/>
  <c r="G159" i="14"/>
  <c r="G160" i="14"/>
  <c r="B166" i="14"/>
  <c r="B159" i="14"/>
  <c r="B160" i="14"/>
  <c r="B161" i="14"/>
  <c r="B162" i="14"/>
  <c r="B163" i="14"/>
  <c r="B164" i="14"/>
  <c r="B165" i="14"/>
  <c r="G167" i="11"/>
  <c r="G168" i="11"/>
  <c r="G166" i="11"/>
  <c r="G149" i="11"/>
  <c r="G150" i="11"/>
  <c r="G151" i="11"/>
  <c r="G152" i="11"/>
  <c r="G153" i="11"/>
  <c r="G154" i="11"/>
  <c r="G155" i="11"/>
  <c r="G156" i="11"/>
  <c r="G157" i="11"/>
  <c r="G158" i="11"/>
  <c r="G159" i="11"/>
  <c r="G160" i="11"/>
  <c r="G161" i="11"/>
  <c r="G162" i="11"/>
  <c r="G163" i="11"/>
  <c r="G164" i="11"/>
  <c r="G165" i="11"/>
  <c r="G87" i="14"/>
  <c r="G88" i="14"/>
  <c r="G89" i="14"/>
  <c r="G90"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27" i="14"/>
  <c r="G128" i="14"/>
  <c r="G129" i="14"/>
  <c r="G130" i="14"/>
  <c r="G131" i="14"/>
  <c r="G132" i="14"/>
  <c r="G133" i="14"/>
  <c r="G134" i="14"/>
  <c r="G135" i="14"/>
  <c r="G136" i="14"/>
  <c r="G137" i="14"/>
  <c r="G138" i="14"/>
  <c r="G140" i="14"/>
  <c r="G141" i="14"/>
  <c r="G142" i="14"/>
  <c r="G143" i="14"/>
  <c r="G144" i="14"/>
  <c r="G146" i="14"/>
  <c r="G147" i="14"/>
  <c r="G148" i="14"/>
  <c r="AL135" i="1"/>
  <c r="AL133" i="1"/>
  <c r="B158" i="14"/>
  <c r="B157" i="14"/>
  <c r="B156" i="14"/>
  <c r="B155" i="14"/>
  <c r="B154" i="14"/>
  <c r="B153" i="14"/>
  <c r="B152" i="14"/>
  <c r="B151" i="14"/>
  <c r="G142" i="11"/>
  <c r="G143" i="11"/>
  <c r="G144" i="11"/>
  <c r="G145" i="11"/>
  <c r="G146" i="11"/>
  <c r="G147" i="11"/>
  <c r="G148" i="11"/>
  <c r="K186" i="8"/>
  <c r="L186" i="8"/>
  <c r="M186" i="8"/>
  <c r="K187" i="8"/>
  <c r="L187" i="8"/>
  <c r="M187" i="8"/>
  <c r="K188" i="8"/>
  <c r="L188" i="8"/>
  <c r="M188" i="8"/>
  <c r="K189" i="8"/>
  <c r="L189" i="8"/>
  <c r="M189" i="8"/>
  <c r="AG619" i="5"/>
  <c r="AG620" i="5"/>
  <c r="AG493" i="5"/>
  <c r="AG494" i="5"/>
  <c r="AG495" i="5"/>
  <c r="AG496" i="5"/>
  <c r="AG497" i="5"/>
  <c r="AG498" i="5"/>
  <c r="AG503" i="5"/>
  <c r="AG507" i="5"/>
  <c r="AG508" i="5"/>
  <c r="AG509" i="5"/>
  <c r="AG510" i="5"/>
  <c r="AG511" i="5"/>
  <c r="AG518" i="5"/>
  <c r="AG519" i="5"/>
  <c r="AG520" i="5"/>
  <c r="AG521" i="5"/>
  <c r="AG522" i="5"/>
  <c r="AG621" i="5"/>
  <c r="AG622" i="5"/>
  <c r="AG623" i="5"/>
  <c r="AG396" i="5"/>
  <c r="AG397" i="5"/>
  <c r="AG398" i="5"/>
  <c r="AG399" i="5"/>
  <c r="AG404" i="5"/>
  <c r="AG405" i="5"/>
  <c r="AG406" i="5"/>
  <c r="AG407" i="5"/>
  <c r="AG563" i="5"/>
  <c r="AG564" i="5"/>
  <c r="AG565" i="5"/>
  <c r="AG566" i="5"/>
  <c r="AG343" i="5"/>
  <c r="AG344" i="5"/>
  <c r="AG390" i="5"/>
  <c r="AG391" i="5"/>
  <c r="AG345" i="5"/>
  <c r="AG392" i="5"/>
  <c r="AG393" i="5"/>
  <c r="AG346" i="5"/>
  <c r="AG347" i="5"/>
  <c r="AG348" i="5"/>
  <c r="AG342" i="5"/>
  <c r="AG349" i="5"/>
  <c r="AG350" i="5"/>
  <c r="AG351" i="5"/>
  <c r="AG352" i="5"/>
  <c r="AG353" i="5"/>
  <c r="AG354" i="5"/>
  <c r="AG366" i="5"/>
  <c r="AG367" i="5"/>
  <c r="AG368" i="5"/>
  <c r="AG394" i="5"/>
  <c r="AG369" i="5"/>
  <c r="AG370" i="5"/>
  <c r="AG371" i="5"/>
  <c r="AG389" i="5"/>
  <c r="AG624" i="5"/>
  <c r="AG625" i="5"/>
  <c r="AG626" i="5"/>
  <c r="AG637" i="5"/>
  <c r="AG638" i="5"/>
  <c r="AG639" i="5"/>
  <c r="AG640" i="5"/>
  <c r="AG641" i="5"/>
  <c r="AG642" i="5"/>
  <c r="AG644" i="5"/>
  <c r="AG645" i="5"/>
  <c r="AG696" i="5"/>
  <c r="AG712" i="5"/>
  <c r="AG714" i="5"/>
  <c r="AG715" i="5"/>
  <c r="AG716" i="5"/>
  <c r="AG3" i="5"/>
  <c r="AG4" i="5"/>
  <c r="AG5" i="5"/>
  <c r="AG6" i="5"/>
  <c r="AG408" i="5"/>
  <c r="AG409" i="5"/>
  <c r="AG410" i="5"/>
  <c r="AG411" i="5"/>
  <c r="AG412" i="5"/>
  <c r="AG413" i="5"/>
  <c r="AG414" i="5"/>
  <c r="AG415" i="5"/>
  <c r="AG416" i="5"/>
  <c r="AG417" i="5"/>
  <c r="AG418" i="5"/>
  <c r="AG7" i="5"/>
  <c r="AG419" i="5"/>
  <c r="AG8" i="5"/>
  <c r="AG420" i="5"/>
  <c r="AG421" i="5"/>
  <c r="AG422" i="5"/>
  <c r="AG9" i="5"/>
  <c r="AG10" i="5"/>
  <c r="AG11" i="5"/>
  <c r="AG717" i="5"/>
  <c r="AG721" i="5"/>
  <c r="AG12" i="5"/>
  <c r="AG722" i="5"/>
  <c r="AG13" i="5"/>
  <c r="AG14" i="5"/>
  <c r="AG15" i="5"/>
  <c r="AG16" i="5"/>
  <c r="AG17" i="5"/>
  <c r="AG18" i="5"/>
  <c r="AG19" i="5"/>
  <c r="AG20" i="5"/>
  <c r="AG732" i="5"/>
  <c r="AG733" i="5"/>
  <c r="AG58" i="5"/>
  <c r="AG61" i="5"/>
  <c r="AG62" i="5"/>
  <c r="AG63" i="5"/>
  <c r="AG64" i="5"/>
  <c r="AG734" i="5"/>
  <c r="AG423" i="5"/>
  <c r="AG735" i="5"/>
  <c r="AG81" i="5"/>
  <c r="AG82" i="5"/>
  <c r="AG83" i="5"/>
  <c r="AG84" i="5"/>
  <c r="AG85" i="5"/>
  <c r="AG86" i="5"/>
  <c r="AG87" i="5"/>
  <c r="AG88" i="5"/>
  <c r="AG736" i="5"/>
  <c r="AG737" i="5"/>
  <c r="AG424" i="5"/>
  <c r="AG105" i="5"/>
  <c r="AG107" i="5"/>
  <c r="AG109" i="5"/>
  <c r="AG122" i="5"/>
  <c r="AG123" i="5"/>
  <c r="AG124" i="5"/>
  <c r="AG125" i="5"/>
  <c r="AG739" i="5"/>
  <c r="AG740" i="5"/>
  <c r="AG741" i="5"/>
  <c r="AG743" i="5"/>
  <c r="AG745" i="5"/>
  <c r="AG746" i="5"/>
  <c r="AG126" i="5"/>
  <c r="AG127" i="5"/>
  <c r="AG128" i="5"/>
  <c r="AG129" i="5"/>
  <c r="AG130" i="5"/>
  <c r="AG131" i="5"/>
  <c r="AG758" i="5"/>
  <c r="AG120" i="5"/>
  <c r="AG121" i="5"/>
  <c r="AG145" i="5"/>
  <c r="AG294" i="5"/>
  <c r="AG146" i="5"/>
  <c r="AG147" i="5"/>
  <c r="AG148" i="5"/>
  <c r="AG300" i="5"/>
  <c r="AG248" i="5"/>
  <c r="AG250" i="5"/>
  <c r="AG251" i="5"/>
  <c r="AG301" i="5"/>
  <c r="AG268" i="5"/>
  <c r="AG302" i="5"/>
  <c r="AG303" i="5"/>
  <c r="AG269" i="5"/>
  <c r="AG272" i="5"/>
  <c r="AG149" i="5"/>
  <c r="AG150" i="5"/>
  <c r="AG151" i="5"/>
  <c r="AG304" i="5"/>
  <c r="AG276" i="5"/>
  <c r="AG277" i="5"/>
  <c r="AG278" i="5"/>
  <c r="AG279" i="5"/>
  <c r="AG280" i="5"/>
  <c r="AG305" i="5"/>
  <c r="AG306" i="5"/>
  <c r="AG307" i="5"/>
  <c r="AG290" i="5"/>
  <c r="AG308" i="5"/>
  <c r="AG309" i="5"/>
  <c r="AG384" i="5"/>
  <c r="AG385" i="5"/>
  <c r="AG386" i="5"/>
  <c r="AG387" i="5"/>
  <c r="AG388" i="5"/>
  <c r="AG400" i="5"/>
  <c r="AG401" i="5"/>
  <c r="AG402" i="5"/>
  <c r="AG403" i="5"/>
  <c r="AG445" i="5"/>
  <c r="AG446" i="5"/>
  <c r="AG274" i="5"/>
  <c r="AG275" i="5"/>
  <c r="AG880" i="5"/>
  <c r="AG293" i="5"/>
  <c r="AG295" i="5"/>
  <c r="AG296" i="5"/>
  <c r="AG297" i="5"/>
  <c r="AG298" i="5"/>
  <c r="AG299" i="5"/>
  <c r="AG321" i="5"/>
  <c r="AG770" i="5"/>
  <c r="AG777" i="5"/>
  <c r="AG779" i="5"/>
  <c r="AG783" i="5"/>
  <c r="AG786" i="5"/>
  <c r="AG803" i="5"/>
  <c r="AG804" i="5"/>
  <c r="AG805" i="5"/>
  <c r="AG813" i="5"/>
  <c r="AG553" i="5"/>
  <c r="AG375" i="5"/>
  <c r="AG376" i="5"/>
  <c r="AG377" i="5"/>
  <c r="AG373" i="5"/>
  <c r="AG374" i="5"/>
  <c r="AG378" i="5"/>
  <c r="AG379" i="5"/>
  <c r="AG567" i="5"/>
  <c r="AG568" i="5"/>
  <c r="AG569" i="5"/>
  <c r="AG846" i="5"/>
  <c r="AG570" i="5"/>
  <c r="AG847" i="5"/>
  <c r="AG571" i="5"/>
  <c r="AG572" i="5"/>
  <c r="AG573" i="5"/>
  <c r="AG574" i="5"/>
  <c r="AG584" i="5"/>
  <c r="AG606" i="5"/>
  <c r="AG608" i="5"/>
  <c r="AG609" i="5"/>
  <c r="AG848" i="5"/>
  <c r="AG849" i="5"/>
  <c r="AG850" i="5"/>
  <c r="AG863" i="5"/>
  <c r="AG864" i="5"/>
  <c r="AG865" i="5"/>
  <c r="AG866" i="5"/>
  <c r="AG380" i="5"/>
  <c r="AG381" i="5"/>
  <c r="AG382" i="5"/>
  <c r="AG383" i="5"/>
  <c r="AG471" i="5"/>
  <c r="AG473" i="5"/>
  <c r="AG474" i="5"/>
  <c r="AG475" i="5"/>
  <c r="AG476" i="5"/>
  <c r="AG477" i="5"/>
  <c r="AG478" i="5"/>
  <c r="AG479" i="5"/>
  <c r="AG480" i="5"/>
  <c r="AG483" i="5"/>
  <c r="AG529" i="5"/>
  <c r="AG530" i="5"/>
  <c r="AG426" i="5"/>
  <c r="AG879" i="5"/>
  <c r="AG427" i="5"/>
  <c r="AG557" i="5"/>
  <c r="AG560" i="5"/>
  <c r="AG561" i="5"/>
  <c r="AG562" i="5"/>
  <c r="AG594" i="5"/>
  <c r="AG598" i="5"/>
  <c r="AG599" i="5"/>
  <c r="AG602" i="5"/>
  <c r="AG603" i="5"/>
  <c r="AG604" i="5"/>
  <c r="AG703" i="5"/>
  <c r="AG704" i="5"/>
  <c r="AG705" i="5"/>
  <c r="AG655" i="5"/>
  <c r="AG656" i="5"/>
  <c r="AG657" i="5"/>
  <c r="AG658" i="5"/>
  <c r="AG659" i="5"/>
  <c r="AG660" i="5"/>
  <c r="AG661" i="5"/>
  <c r="AG662" i="5"/>
  <c r="AG663" i="5"/>
  <c r="AG664" i="5"/>
  <c r="AG665" i="5"/>
  <c r="AG666" i="5"/>
  <c r="AG667" i="5"/>
  <c r="AG668" i="5"/>
  <c r="AG669" i="5"/>
  <c r="AG670" i="5"/>
  <c r="AG671" i="5"/>
  <c r="AG672" i="5"/>
  <c r="AG673" i="5"/>
  <c r="AG674" i="5"/>
  <c r="AG675" i="5"/>
  <c r="AG676" i="5"/>
  <c r="AG677" i="5"/>
  <c r="AG678" i="5"/>
  <c r="AG679" i="5"/>
  <c r="AG680" i="5"/>
  <c r="AG681" i="5"/>
  <c r="AG682" i="5"/>
  <c r="AG683" i="5"/>
  <c r="AG684" i="5"/>
  <c r="AG685" i="5"/>
  <c r="AG686" i="5"/>
  <c r="AG687" i="5"/>
  <c r="AG688" i="5"/>
  <c r="AG689" i="5"/>
  <c r="AG618" i="5"/>
  <c r="AC151" i="5"/>
  <c r="AC150" i="5"/>
  <c r="AC149" i="5"/>
  <c r="AC147" i="5"/>
  <c r="AC146" i="5"/>
  <c r="B150" i="14"/>
  <c r="B149" i="14"/>
  <c r="B148" i="14"/>
  <c r="B147" i="14"/>
  <c r="B146" i="14"/>
  <c r="B145" i="14"/>
  <c r="B144" i="14"/>
  <c r="B143" i="14"/>
  <c r="B142" i="14"/>
  <c r="B141" i="14"/>
  <c r="B140" i="14"/>
  <c r="AC471" i="5"/>
  <c r="AC475" i="5"/>
  <c r="AC478" i="5"/>
  <c r="AC479" i="5"/>
  <c r="AC483" i="5"/>
  <c r="AC385" i="5"/>
  <c r="AC403" i="5"/>
  <c r="AC386" i="5"/>
  <c r="AC400" i="5"/>
  <c r="AC446" i="5"/>
  <c r="B139" i="14"/>
  <c r="B138" i="14"/>
  <c r="B137" i="14"/>
  <c r="B136" i="14"/>
  <c r="B135" i="14"/>
  <c r="B134" i="14"/>
  <c r="B133" i="14"/>
  <c r="B29" i="7"/>
  <c r="C29" i="7"/>
  <c r="D29" i="7"/>
  <c r="E29" i="7"/>
  <c r="F29" i="7"/>
  <c r="G29" i="7"/>
  <c r="K29" i="7"/>
  <c r="L29" i="7"/>
  <c r="M29" i="7"/>
  <c r="N29" i="7"/>
  <c r="O29" i="7"/>
  <c r="P29" i="7"/>
  <c r="S29" i="7"/>
  <c r="T29" i="7"/>
  <c r="U29" i="7"/>
  <c r="V29" i="7"/>
  <c r="W29" i="7"/>
  <c r="X29" i="7"/>
  <c r="B30" i="7"/>
  <c r="C30" i="7"/>
  <c r="D30" i="7"/>
  <c r="E30" i="7"/>
  <c r="F30" i="7"/>
  <c r="G30" i="7"/>
  <c r="K30" i="7"/>
  <c r="L30" i="7"/>
  <c r="M30" i="7"/>
  <c r="N30" i="7"/>
  <c r="O30" i="7"/>
  <c r="P30" i="7"/>
  <c r="S30" i="7"/>
  <c r="T30" i="7"/>
  <c r="U30" i="7"/>
  <c r="V30" i="7"/>
  <c r="W30" i="7"/>
  <c r="X30" i="7"/>
  <c r="B31" i="7"/>
  <c r="C31" i="7"/>
  <c r="D31" i="7"/>
  <c r="F31" i="7"/>
  <c r="G31" i="7"/>
  <c r="K31" i="7"/>
  <c r="L31" i="7"/>
  <c r="M31" i="7"/>
  <c r="N31" i="7"/>
  <c r="O31" i="7"/>
  <c r="P31" i="7"/>
  <c r="S31" i="7"/>
  <c r="T31" i="7"/>
  <c r="U31" i="7"/>
  <c r="V31" i="7"/>
  <c r="W31" i="7"/>
  <c r="X31" i="7"/>
  <c r="B32" i="7"/>
  <c r="C32" i="7"/>
  <c r="D32" i="7"/>
  <c r="E32" i="7"/>
  <c r="F32" i="7"/>
  <c r="G32" i="7"/>
  <c r="K32" i="7"/>
  <c r="L32" i="7"/>
  <c r="M32" i="7"/>
  <c r="N32" i="7"/>
  <c r="O32" i="7"/>
  <c r="P32" i="7"/>
  <c r="S32" i="7"/>
  <c r="T32" i="7"/>
  <c r="U32" i="7"/>
  <c r="V32" i="7"/>
  <c r="W32" i="7"/>
  <c r="X32" i="7"/>
  <c r="B33" i="7"/>
  <c r="C33" i="7"/>
  <c r="D33" i="7"/>
  <c r="E33" i="7"/>
  <c r="F33" i="7"/>
  <c r="G33" i="7"/>
  <c r="K33" i="7"/>
  <c r="L33" i="7"/>
  <c r="M33" i="7"/>
  <c r="N33" i="7"/>
  <c r="O33" i="7"/>
  <c r="P33" i="7"/>
  <c r="S33" i="7"/>
  <c r="T33" i="7"/>
  <c r="U33" i="7"/>
  <c r="V33" i="7"/>
  <c r="W33" i="7"/>
  <c r="X33" i="7"/>
  <c r="B34" i="7"/>
  <c r="C34" i="7"/>
  <c r="D34" i="7"/>
  <c r="E34" i="7"/>
  <c r="F34" i="7"/>
  <c r="G34" i="7"/>
  <c r="K34" i="7"/>
  <c r="L34" i="7"/>
  <c r="M34" i="7"/>
  <c r="N34" i="7"/>
  <c r="O34" i="7"/>
  <c r="P34" i="7"/>
  <c r="S34" i="7"/>
  <c r="T34" i="7"/>
  <c r="U34" i="7"/>
  <c r="V34" i="7"/>
  <c r="W34" i="7"/>
  <c r="X34" i="7"/>
  <c r="B35" i="7"/>
  <c r="C35" i="7"/>
  <c r="D35" i="7"/>
  <c r="E35" i="7"/>
  <c r="F35" i="7"/>
  <c r="G35" i="7"/>
  <c r="K35" i="7"/>
  <c r="L35" i="7"/>
  <c r="M35" i="7"/>
  <c r="N35" i="7"/>
  <c r="O35" i="7"/>
  <c r="P35" i="7"/>
  <c r="S35" i="7"/>
  <c r="T35" i="7"/>
  <c r="U35" i="7"/>
  <c r="V35" i="7"/>
  <c r="W35" i="7"/>
  <c r="X35" i="7"/>
  <c r="B36" i="7"/>
  <c r="C36" i="7"/>
  <c r="D36" i="7"/>
  <c r="E36" i="7"/>
  <c r="F36" i="7"/>
  <c r="G36" i="7"/>
  <c r="K36" i="7"/>
  <c r="L36" i="7"/>
  <c r="M36" i="7"/>
  <c r="N36" i="7"/>
  <c r="O36" i="7"/>
  <c r="P36" i="7"/>
  <c r="S36" i="7"/>
  <c r="T36" i="7"/>
  <c r="U36" i="7"/>
  <c r="V36" i="7"/>
  <c r="W36" i="7"/>
  <c r="X36" i="7"/>
  <c r="B37" i="7"/>
  <c r="C37" i="7"/>
  <c r="D37" i="7"/>
  <c r="E37" i="7"/>
  <c r="F37" i="7"/>
  <c r="G37" i="7"/>
  <c r="K37" i="7"/>
  <c r="L37" i="7"/>
  <c r="M37" i="7"/>
  <c r="N37" i="7"/>
  <c r="O37" i="7"/>
  <c r="P37" i="7"/>
  <c r="S37" i="7"/>
  <c r="T37" i="7"/>
  <c r="U37" i="7"/>
  <c r="V37" i="7"/>
  <c r="W37" i="7"/>
  <c r="X37" i="7"/>
  <c r="B38" i="7"/>
  <c r="C38" i="7"/>
  <c r="D38" i="7"/>
  <c r="E38" i="7"/>
  <c r="F38" i="7"/>
  <c r="G38" i="7"/>
  <c r="K38" i="7"/>
  <c r="L38" i="7"/>
  <c r="M38" i="7"/>
  <c r="N38" i="7"/>
  <c r="O38" i="7"/>
  <c r="P38" i="7"/>
  <c r="S38" i="7"/>
  <c r="T38" i="7"/>
  <c r="U38" i="7"/>
  <c r="V38" i="7"/>
  <c r="W38" i="7"/>
  <c r="X38" i="7"/>
  <c r="K2" i="6"/>
  <c r="B130" i="14"/>
  <c r="B131" i="14"/>
  <c r="B132" i="14"/>
  <c r="B127" i="14"/>
  <c r="B128" i="14"/>
  <c r="B129"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4" i="14"/>
  <c r="F185" i="14"/>
  <c r="F186" i="14"/>
  <c r="F187" i="14"/>
  <c r="F188" i="14"/>
  <c r="F189" i="14"/>
  <c r="F190" i="14"/>
  <c r="F191" i="14"/>
  <c r="F192" i="14"/>
  <c r="F193" i="14"/>
  <c r="F194" i="14"/>
  <c r="F122" i="14"/>
  <c r="F123" i="14"/>
  <c r="F124" i="14"/>
  <c r="F125" i="14"/>
  <c r="F126" i="14"/>
  <c r="B124" i="14"/>
  <c r="B125" i="14"/>
  <c r="B126" i="14"/>
  <c r="B117" i="14"/>
  <c r="B118" i="14"/>
  <c r="B119" i="14"/>
  <c r="B120" i="14"/>
  <c r="B121" i="14"/>
  <c r="B122" i="14"/>
  <c r="B123" i="14"/>
  <c r="B107" i="14"/>
  <c r="B108" i="14"/>
  <c r="B109" i="14"/>
  <c r="B110" i="14"/>
  <c r="B111" i="14"/>
  <c r="B112" i="14"/>
  <c r="B113" i="14"/>
  <c r="B114" i="14"/>
  <c r="B115" i="14"/>
  <c r="B116" i="14"/>
  <c r="AC12" i="5"/>
  <c r="AC14" i="5"/>
  <c r="AC16" i="5"/>
  <c r="AC17" i="5"/>
  <c r="AC18" i="5"/>
  <c r="G136" i="11"/>
  <c r="G137" i="11"/>
  <c r="G138" i="11"/>
  <c r="G139" i="11"/>
  <c r="G141" i="11"/>
  <c r="G125" i="11"/>
  <c r="G126" i="11"/>
  <c r="G132" i="11"/>
  <c r="G133" i="11"/>
  <c r="G123" i="11"/>
  <c r="G124" i="11"/>
  <c r="G127" i="11"/>
  <c r="G128" i="11"/>
  <c r="G129" i="11"/>
  <c r="G130" i="11"/>
  <c r="G131" i="11"/>
  <c r="G134" i="11"/>
  <c r="G135" i="11"/>
  <c r="O116" i="6"/>
  <c r="O117" i="6"/>
  <c r="O118" i="6"/>
  <c r="O119" i="6"/>
  <c r="O120" i="6"/>
  <c r="O121" i="6"/>
  <c r="O122" i="6"/>
  <c r="O123" i="6"/>
  <c r="O124" i="6"/>
  <c r="O125" i="6"/>
  <c r="O126" i="6"/>
  <c r="O127" i="6"/>
  <c r="O128" i="6"/>
  <c r="O129" i="6"/>
  <c r="O130" i="6"/>
  <c r="O131" i="6"/>
  <c r="O132" i="6"/>
  <c r="O133" i="6"/>
  <c r="O134" i="6"/>
  <c r="O135" i="6"/>
  <c r="O136" i="6"/>
  <c r="O137" i="6"/>
  <c r="O138" i="6"/>
  <c r="O139" i="6"/>
  <c r="O140"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AC124" i="5"/>
  <c r="AC129" i="5"/>
  <c r="AC127" i="5"/>
  <c r="AC126" i="5"/>
  <c r="AC130" i="5"/>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H165" i="1"/>
  <c r="AN165" i="1"/>
  <c r="AP165" i="1"/>
  <c r="H166" i="1"/>
  <c r="AN166" i="1"/>
  <c r="AP166" i="1"/>
  <c r="H167" i="1"/>
  <c r="AN167" i="1"/>
  <c r="AP167" i="1"/>
  <c r="H168" i="1"/>
  <c r="AN168" i="1"/>
  <c r="AP168" i="1"/>
  <c r="H169" i="1"/>
  <c r="AN169" i="1"/>
  <c r="AP169" i="1"/>
  <c r="H170" i="1"/>
  <c r="AN170" i="1"/>
  <c r="AP170" i="1"/>
  <c r="H171" i="1"/>
  <c r="AN171" i="1"/>
  <c r="AP171" i="1"/>
  <c r="H172" i="1"/>
  <c r="AN172" i="1"/>
  <c r="AP172" i="1"/>
  <c r="H173" i="1"/>
  <c r="AN173" i="1"/>
  <c r="AP173" i="1"/>
  <c r="H174" i="1"/>
  <c r="AN174" i="1"/>
  <c r="AP174" i="1"/>
  <c r="H175" i="1"/>
  <c r="AN175" i="1"/>
  <c r="AP175" i="1"/>
  <c r="H176" i="1"/>
  <c r="AN176" i="1"/>
  <c r="AP176" i="1"/>
  <c r="H177" i="1"/>
  <c r="AN177" i="1"/>
  <c r="AP177" i="1"/>
  <c r="H178" i="1"/>
  <c r="AN178" i="1"/>
  <c r="AP178" i="1"/>
  <c r="H179" i="1"/>
  <c r="AN179" i="1"/>
  <c r="AP179" i="1"/>
  <c r="H180" i="1"/>
  <c r="AN180" i="1"/>
  <c r="AP180" i="1"/>
  <c r="G165" i="1"/>
  <c r="AK165" i="1"/>
  <c r="AM165" i="1"/>
  <c r="G166" i="1"/>
  <c r="AK166" i="1"/>
  <c r="AM166" i="1"/>
  <c r="G167" i="1"/>
  <c r="AK167" i="1"/>
  <c r="AM167" i="1"/>
  <c r="G168" i="1"/>
  <c r="AK168" i="1"/>
  <c r="AM168" i="1"/>
  <c r="G169" i="1"/>
  <c r="AK169" i="1"/>
  <c r="AM169" i="1"/>
  <c r="G170" i="1"/>
  <c r="AK170" i="1"/>
  <c r="AM170" i="1"/>
  <c r="G171" i="1"/>
  <c r="AK171" i="1"/>
  <c r="AM171" i="1"/>
  <c r="G172" i="1"/>
  <c r="AK172" i="1"/>
  <c r="AM172" i="1"/>
  <c r="G173" i="1"/>
  <c r="AK173" i="1"/>
  <c r="AM173" i="1"/>
  <c r="G174" i="1"/>
  <c r="AK174" i="1"/>
  <c r="AM174" i="1"/>
  <c r="G175" i="1"/>
  <c r="AK175" i="1"/>
  <c r="AM175" i="1"/>
  <c r="G176" i="1"/>
  <c r="AK176" i="1"/>
  <c r="AM176" i="1"/>
  <c r="G177" i="1"/>
  <c r="AK177" i="1"/>
  <c r="AM177" i="1"/>
  <c r="G178" i="1"/>
  <c r="AK178" i="1"/>
  <c r="AM178" i="1"/>
  <c r="G179" i="1"/>
  <c r="AK179" i="1"/>
  <c r="AM179" i="1"/>
  <c r="G180" i="1"/>
  <c r="AK180" i="1"/>
  <c r="AM180" i="1"/>
  <c r="F165" i="1"/>
  <c r="AH165" i="1"/>
  <c r="AJ165" i="1"/>
  <c r="F166" i="1"/>
  <c r="AH166" i="1"/>
  <c r="AJ166" i="1"/>
  <c r="F167" i="1"/>
  <c r="AH167" i="1"/>
  <c r="AJ167" i="1"/>
  <c r="F168" i="1"/>
  <c r="AH168" i="1"/>
  <c r="AJ168" i="1"/>
  <c r="F169" i="1"/>
  <c r="AH169" i="1"/>
  <c r="AJ169" i="1"/>
  <c r="F170" i="1"/>
  <c r="AH170" i="1"/>
  <c r="AJ170" i="1"/>
  <c r="F171" i="1"/>
  <c r="AH171" i="1"/>
  <c r="AJ171" i="1"/>
  <c r="F172" i="1"/>
  <c r="AH172" i="1"/>
  <c r="AJ172" i="1"/>
  <c r="F173" i="1"/>
  <c r="AH173" i="1"/>
  <c r="AJ173" i="1"/>
  <c r="F174" i="1"/>
  <c r="AH174" i="1"/>
  <c r="AJ174" i="1"/>
  <c r="F175" i="1"/>
  <c r="AH175" i="1"/>
  <c r="AJ175" i="1"/>
  <c r="F176" i="1"/>
  <c r="AH176" i="1"/>
  <c r="AJ176" i="1"/>
  <c r="F177" i="1"/>
  <c r="AH177" i="1"/>
  <c r="AJ177" i="1"/>
  <c r="F178" i="1"/>
  <c r="AH178" i="1"/>
  <c r="AJ178" i="1"/>
  <c r="F179" i="1"/>
  <c r="AH179" i="1"/>
  <c r="AJ179" i="1"/>
  <c r="F180" i="1"/>
  <c r="AH180" i="1"/>
  <c r="AJ180" i="1"/>
  <c r="E165" i="1"/>
  <c r="AE165" i="1"/>
  <c r="AG165" i="1"/>
  <c r="E166" i="1"/>
  <c r="AE166" i="1"/>
  <c r="AG166" i="1"/>
  <c r="E167" i="1"/>
  <c r="AE167" i="1"/>
  <c r="AG167" i="1"/>
  <c r="AE168" i="1"/>
  <c r="AG168" i="1"/>
  <c r="AE169" i="1"/>
  <c r="AG169" i="1"/>
  <c r="AE170" i="1"/>
  <c r="AG170" i="1"/>
  <c r="AE171" i="1"/>
  <c r="AG171" i="1"/>
  <c r="AE172" i="1"/>
  <c r="AG172" i="1"/>
  <c r="AE173" i="1"/>
  <c r="AG173" i="1"/>
  <c r="AE174" i="1"/>
  <c r="AG174" i="1"/>
  <c r="AE175" i="1"/>
  <c r="AG175" i="1"/>
  <c r="AE176" i="1"/>
  <c r="AG176" i="1"/>
  <c r="AE177" i="1"/>
  <c r="AG177" i="1"/>
  <c r="AE178" i="1"/>
  <c r="AG178" i="1"/>
  <c r="AE179" i="1"/>
  <c r="AG179" i="1"/>
  <c r="AE180" i="1"/>
  <c r="AG180" i="1"/>
  <c r="D165" i="1"/>
  <c r="AB165" i="1"/>
  <c r="AD165" i="1"/>
  <c r="D166" i="1"/>
  <c r="AB166" i="1"/>
  <c r="AD166" i="1"/>
  <c r="D167" i="1"/>
  <c r="AB167" i="1"/>
  <c r="AD167" i="1"/>
  <c r="D168" i="1"/>
  <c r="AB168" i="1"/>
  <c r="AD168" i="1"/>
  <c r="D169" i="1"/>
  <c r="AB169" i="1"/>
  <c r="AD169" i="1"/>
  <c r="D170" i="1"/>
  <c r="AB170" i="1"/>
  <c r="AD170" i="1"/>
  <c r="D171" i="1"/>
  <c r="AB171" i="1"/>
  <c r="AD171" i="1"/>
  <c r="D172" i="1"/>
  <c r="AB172" i="1"/>
  <c r="AD172" i="1"/>
  <c r="D173" i="1"/>
  <c r="AB173" i="1"/>
  <c r="AD173" i="1"/>
  <c r="D174" i="1"/>
  <c r="AB174" i="1"/>
  <c r="AD174" i="1"/>
  <c r="D175" i="1"/>
  <c r="AB175" i="1"/>
  <c r="AD175" i="1"/>
  <c r="D176" i="1"/>
  <c r="AB176" i="1"/>
  <c r="AD176" i="1"/>
  <c r="D177" i="1"/>
  <c r="AB177" i="1"/>
  <c r="AD177" i="1"/>
  <c r="D178" i="1"/>
  <c r="AB178" i="1"/>
  <c r="AD178" i="1"/>
  <c r="D179" i="1"/>
  <c r="AB179" i="1"/>
  <c r="AD179" i="1"/>
  <c r="D180" i="1"/>
  <c r="AB180" i="1"/>
  <c r="AD180" i="1"/>
  <c r="B165" i="1"/>
  <c r="I165" i="1"/>
  <c r="B166" i="1"/>
  <c r="B167" i="1"/>
  <c r="I167" i="1"/>
  <c r="B168" i="1"/>
  <c r="B169" i="1"/>
  <c r="I169" i="1"/>
  <c r="B170" i="1"/>
  <c r="B171" i="1"/>
  <c r="I171" i="1"/>
  <c r="B172" i="1"/>
  <c r="B173" i="1"/>
  <c r="I173" i="1"/>
  <c r="B174" i="1"/>
  <c r="B175" i="1"/>
  <c r="I175" i="1"/>
  <c r="B176" i="1"/>
  <c r="B177" i="1"/>
  <c r="I177" i="1"/>
  <c r="B178" i="1"/>
  <c r="B179" i="1"/>
  <c r="I179" i="1"/>
  <c r="B180" i="1"/>
  <c r="H151" i="1"/>
  <c r="AN151" i="1"/>
  <c r="AP151" i="1"/>
  <c r="H152" i="1"/>
  <c r="AN152" i="1"/>
  <c r="AP152" i="1"/>
  <c r="H153" i="1"/>
  <c r="AN153" i="1"/>
  <c r="AP153" i="1"/>
  <c r="H154" i="1"/>
  <c r="AN154" i="1"/>
  <c r="AP154" i="1"/>
  <c r="H155" i="1"/>
  <c r="AN155" i="1"/>
  <c r="AP155" i="1"/>
  <c r="H156" i="1"/>
  <c r="AN156" i="1"/>
  <c r="AP156" i="1"/>
  <c r="H157" i="1"/>
  <c r="AN157" i="1"/>
  <c r="AP157" i="1"/>
  <c r="H158" i="1"/>
  <c r="AN158" i="1"/>
  <c r="AP158" i="1"/>
  <c r="H159" i="1"/>
  <c r="AN159" i="1"/>
  <c r="AP159" i="1"/>
  <c r="H160" i="1"/>
  <c r="AN160" i="1"/>
  <c r="AP160" i="1"/>
  <c r="H161" i="1"/>
  <c r="AN161" i="1"/>
  <c r="AP161" i="1"/>
  <c r="H162" i="1"/>
  <c r="AN162" i="1"/>
  <c r="AP162" i="1"/>
  <c r="H163" i="1"/>
  <c r="AN163" i="1"/>
  <c r="AP163" i="1"/>
  <c r="H164" i="1"/>
  <c r="AN164" i="1"/>
  <c r="AP164" i="1"/>
  <c r="G151" i="1"/>
  <c r="AK151" i="1"/>
  <c r="G152" i="1"/>
  <c r="AK152" i="1"/>
  <c r="AM152" i="1"/>
  <c r="G153" i="1"/>
  <c r="AK153" i="1"/>
  <c r="AM153" i="1"/>
  <c r="G154" i="1"/>
  <c r="AK154" i="1"/>
  <c r="AM154" i="1"/>
  <c r="G155" i="1"/>
  <c r="AK155" i="1"/>
  <c r="AM155" i="1"/>
  <c r="G156" i="1"/>
  <c r="AK156" i="1"/>
  <c r="AM156" i="1"/>
  <c r="G157" i="1"/>
  <c r="AK157" i="1"/>
  <c r="AM157" i="1"/>
  <c r="G158" i="1"/>
  <c r="AK158" i="1"/>
  <c r="G159" i="1"/>
  <c r="AK159" i="1"/>
  <c r="AM159" i="1"/>
  <c r="G160" i="1"/>
  <c r="AK160" i="1"/>
  <c r="AM160" i="1"/>
  <c r="G161" i="1"/>
  <c r="AK161" i="1"/>
  <c r="AM161" i="1"/>
  <c r="G162" i="1"/>
  <c r="AK162" i="1"/>
  <c r="AM162" i="1"/>
  <c r="G163" i="1"/>
  <c r="AK163" i="1"/>
  <c r="AM163" i="1"/>
  <c r="G164" i="1"/>
  <c r="AK164" i="1"/>
  <c r="AM164" i="1"/>
  <c r="F151" i="1"/>
  <c r="AH151" i="1"/>
  <c r="F152" i="1"/>
  <c r="AH152" i="1"/>
  <c r="AJ152" i="1"/>
  <c r="F153" i="1"/>
  <c r="AH153" i="1"/>
  <c r="AJ153" i="1"/>
  <c r="F154" i="1"/>
  <c r="AH154" i="1"/>
  <c r="AJ154" i="1"/>
  <c r="F155" i="1"/>
  <c r="AH155" i="1"/>
  <c r="AJ155" i="1"/>
  <c r="F157" i="1"/>
  <c r="AH157" i="1"/>
  <c r="AJ157" i="1"/>
  <c r="F158" i="1"/>
  <c r="AH158" i="1"/>
  <c r="F159" i="1"/>
  <c r="F160" i="1"/>
  <c r="AH160" i="1"/>
  <c r="AJ160" i="1"/>
  <c r="F161" i="1"/>
  <c r="AH161" i="1"/>
  <c r="AJ161" i="1"/>
  <c r="F162" i="1"/>
  <c r="AH162" i="1"/>
  <c r="AJ162" i="1"/>
  <c r="F163" i="1"/>
  <c r="F164" i="1"/>
  <c r="AH164" i="1"/>
  <c r="AJ164" i="1"/>
  <c r="E151" i="1"/>
  <c r="AE151" i="1"/>
  <c r="AG151" i="1"/>
  <c r="E152" i="1"/>
  <c r="AE152" i="1"/>
  <c r="AG152" i="1"/>
  <c r="E153" i="1"/>
  <c r="AE153" i="1"/>
  <c r="AG153" i="1"/>
  <c r="E154" i="1"/>
  <c r="AE154" i="1"/>
  <c r="AG154" i="1"/>
  <c r="E155" i="1"/>
  <c r="AE155" i="1"/>
  <c r="E156" i="1"/>
  <c r="AE156" i="1"/>
  <c r="AG156" i="1"/>
  <c r="E157" i="1"/>
  <c r="AE157" i="1"/>
  <c r="AG157" i="1"/>
  <c r="E158" i="1"/>
  <c r="AE158" i="1"/>
  <c r="AG158" i="1"/>
  <c r="E159" i="1"/>
  <c r="AE159" i="1"/>
  <c r="AG159" i="1"/>
  <c r="E160" i="1"/>
  <c r="AE160" i="1"/>
  <c r="AG160" i="1"/>
  <c r="E161" i="1"/>
  <c r="AE161" i="1"/>
  <c r="AG161" i="1"/>
  <c r="E162" i="1"/>
  <c r="AE162" i="1"/>
  <c r="AG162" i="1"/>
  <c r="E163" i="1"/>
  <c r="AE163" i="1"/>
  <c r="AG163" i="1"/>
  <c r="E164" i="1"/>
  <c r="AE164" i="1"/>
  <c r="AG164" i="1"/>
  <c r="D151" i="1"/>
  <c r="AB151" i="1"/>
  <c r="AD151" i="1"/>
  <c r="D152" i="1"/>
  <c r="AB152" i="1"/>
  <c r="AD152" i="1"/>
  <c r="D153" i="1"/>
  <c r="AB153" i="1"/>
  <c r="AD153" i="1"/>
  <c r="D154" i="1"/>
  <c r="AB154" i="1"/>
  <c r="AD154" i="1"/>
  <c r="D155" i="1"/>
  <c r="AB155" i="1"/>
  <c r="AD155" i="1"/>
  <c r="D156" i="1"/>
  <c r="AB156" i="1"/>
  <c r="AD156" i="1"/>
  <c r="D157" i="1"/>
  <c r="AB157" i="1"/>
  <c r="AD157" i="1"/>
  <c r="D158" i="1"/>
  <c r="AB158" i="1"/>
  <c r="AD158" i="1"/>
  <c r="D159" i="1"/>
  <c r="AB159" i="1"/>
  <c r="AD159" i="1"/>
  <c r="D160" i="1"/>
  <c r="AB160" i="1"/>
  <c r="AD160" i="1"/>
  <c r="D161" i="1"/>
  <c r="AB161" i="1"/>
  <c r="AD161" i="1"/>
  <c r="D162" i="1"/>
  <c r="AB162" i="1"/>
  <c r="AD162" i="1"/>
  <c r="D163" i="1"/>
  <c r="AB163" i="1"/>
  <c r="AD163" i="1"/>
  <c r="D164" i="1"/>
  <c r="AB164" i="1"/>
  <c r="AD164" i="1"/>
  <c r="B151" i="1"/>
  <c r="I151" i="1"/>
  <c r="B152" i="1"/>
  <c r="B153" i="1"/>
  <c r="I153" i="1"/>
  <c r="B154" i="1"/>
  <c r="B155" i="1"/>
  <c r="I155" i="1"/>
  <c r="B156" i="1"/>
  <c r="B157" i="1"/>
  <c r="I157" i="1"/>
  <c r="B158" i="1"/>
  <c r="I158" i="1"/>
  <c r="B159" i="1"/>
  <c r="B160" i="1"/>
  <c r="I160" i="1"/>
  <c r="B161" i="1"/>
  <c r="I161" i="1"/>
  <c r="B162" i="1"/>
  <c r="I162" i="1"/>
  <c r="B163" i="1"/>
  <c r="B164" i="1"/>
  <c r="I164" i="1"/>
  <c r="AK54" i="1"/>
  <c r="B102" i="14"/>
  <c r="B103" i="14"/>
  <c r="B104" i="14"/>
  <c r="B105" i="14"/>
  <c r="B106" i="14"/>
  <c r="AC11" i="5"/>
  <c r="AC7" i="5"/>
  <c r="AC5" i="5"/>
  <c r="AC4" i="5"/>
  <c r="AC3" i="5"/>
  <c r="AB3" i="5"/>
  <c r="G121" i="11"/>
  <c r="G122" i="11"/>
  <c r="G115" i="11"/>
  <c r="G116" i="11"/>
  <c r="G117" i="11"/>
  <c r="G118" i="11"/>
  <c r="G119" i="11"/>
  <c r="G120" i="11"/>
  <c r="G113" i="11"/>
  <c r="G114" i="11"/>
  <c r="K13" i="7"/>
  <c r="L13" i="7"/>
  <c r="M13" i="7"/>
  <c r="N13" i="7"/>
  <c r="O13" i="7"/>
  <c r="P13" i="7"/>
  <c r="K14" i="7"/>
  <c r="L14" i="7"/>
  <c r="M14" i="7"/>
  <c r="N14" i="7"/>
  <c r="O14" i="7"/>
  <c r="P14" i="7"/>
  <c r="K15" i="7"/>
  <c r="L15" i="7"/>
  <c r="M15" i="7"/>
  <c r="N15" i="7"/>
  <c r="O15" i="7"/>
  <c r="P15" i="7"/>
  <c r="G4" i="14"/>
  <c r="B100" i="14"/>
  <c r="B101" i="14"/>
  <c r="B26" i="7"/>
  <c r="C26" i="7"/>
  <c r="D26" i="7"/>
  <c r="E26" i="7"/>
  <c r="F26" i="7"/>
  <c r="G26" i="7"/>
  <c r="B27" i="7"/>
  <c r="C27" i="7"/>
  <c r="D27" i="7"/>
  <c r="E27" i="7"/>
  <c r="F27" i="7"/>
  <c r="G27" i="7"/>
  <c r="AC609" i="5"/>
  <c r="AC608" i="5"/>
  <c r="AC606" i="5"/>
  <c r="D134" i="1"/>
  <c r="AB134" i="1"/>
  <c r="AD134" i="1"/>
  <c r="E134" i="1"/>
  <c r="AE134" i="1"/>
  <c r="AG134" i="1"/>
  <c r="F134" i="1"/>
  <c r="AH134" i="1"/>
  <c r="G134" i="1"/>
  <c r="AK134" i="1"/>
  <c r="H134" i="1"/>
  <c r="AN134" i="1"/>
  <c r="AP134" i="1"/>
  <c r="D135" i="1"/>
  <c r="AB135" i="1"/>
  <c r="AD135" i="1"/>
  <c r="E135" i="1"/>
  <c r="AE135" i="1"/>
  <c r="AG135" i="1"/>
  <c r="H135" i="1"/>
  <c r="AN135" i="1"/>
  <c r="AP135" i="1"/>
  <c r="D136" i="1"/>
  <c r="AB136" i="1"/>
  <c r="AD136" i="1"/>
  <c r="E136" i="1"/>
  <c r="AE136" i="1"/>
  <c r="AG136" i="1"/>
  <c r="F136" i="1"/>
  <c r="AH136" i="1"/>
  <c r="G136" i="1"/>
  <c r="AK136" i="1"/>
  <c r="H136" i="1"/>
  <c r="AN136" i="1"/>
  <c r="AP136" i="1"/>
  <c r="D137" i="1"/>
  <c r="AB137" i="1"/>
  <c r="AD137" i="1"/>
  <c r="E137" i="1"/>
  <c r="H137" i="1"/>
  <c r="AN137" i="1"/>
  <c r="AP137" i="1"/>
  <c r="D138" i="1"/>
  <c r="AB138" i="1"/>
  <c r="AD138" i="1"/>
  <c r="E138" i="1"/>
  <c r="AE138" i="1"/>
  <c r="AG138" i="1"/>
  <c r="F138" i="1"/>
  <c r="AH138" i="1"/>
  <c r="G138" i="1"/>
  <c r="AK138" i="1"/>
  <c r="H138" i="1"/>
  <c r="AN138" i="1"/>
  <c r="AP138" i="1"/>
  <c r="D139" i="1"/>
  <c r="AB139" i="1"/>
  <c r="AD139" i="1"/>
  <c r="E139" i="1"/>
  <c r="AE139" i="1"/>
  <c r="AG139" i="1"/>
  <c r="F139" i="1"/>
  <c r="AH139" i="1"/>
  <c r="G139" i="1"/>
  <c r="AK139" i="1"/>
  <c r="H139" i="1"/>
  <c r="AN139" i="1"/>
  <c r="AP139" i="1"/>
  <c r="D140" i="1"/>
  <c r="AB140" i="1"/>
  <c r="AD140" i="1"/>
  <c r="E140" i="1"/>
  <c r="AE140" i="1"/>
  <c r="AG140" i="1"/>
  <c r="H140" i="1"/>
  <c r="AN140" i="1"/>
  <c r="AP140" i="1"/>
  <c r="D141" i="1"/>
  <c r="AB141" i="1"/>
  <c r="AD141" i="1"/>
  <c r="E141" i="1"/>
  <c r="AE141" i="1"/>
  <c r="AG141" i="1"/>
  <c r="F141" i="1"/>
  <c r="AH141" i="1"/>
  <c r="G141" i="1"/>
  <c r="AK141" i="1"/>
  <c r="H141" i="1"/>
  <c r="AN141" i="1"/>
  <c r="AP141" i="1"/>
  <c r="D142" i="1"/>
  <c r="AB142" i="1"/>
  <c r="AD142" i="1"/>
  <c r="E142" i="1"/>
  <c r="AE142" i="1"/>
  <c r="AG142" i="1"/>
  <c r="F142" i="1"/>
  <c r="AH142" i="1"/>
  <c r="AJ142" i="1"/>
  <c r="G142" i="1"/>
  <c r="AK142" i="1"/>
  <c r="AM142" i="1"/>
  <c r="H142" i="1"/>
  <c r="AN142" i="1"/>
  <c r="AP142" i="1"/>
  <c r="D143" i="1"/>
  <c r="AB143" i="1"/>
  <c r="AD143" i="1"/>
  <c r="E143" i="1"/>
  <c r="AE143" i="1"/>
  <c r="AG143" i="1"/>
  <c r="G143" i="1"/>
  <c r="AK143" i="1"/>
  <c r="H143" i="1"/>
  <c r="AN143" i="1"/>
  <c r="AP143" i="1"/>
  <c r="D144" i="1"/>
  <c r="AB144" i="1"/>
  <c r="AD144" i="1"/>
  <c r="E144" i="1"/>
  <c r="AE144" i="1"/>
  <c r="AG144" i="1"/>
  <c r="F144" i="1"/>
  <c r="AH144" i="1"/>
  <c r="AJ144" i="1"/>
  <c r="G144" i="1"/>
  <c r="AK144" i="1"/>
  <c r="AM144" i="1"/>
  <c r="H144" i="1"/>
  <c r="AN144" i="1"/>
  <c r="AP144" i="1"/>
  <c r="D145" i="1"/>
  <c r="AB145" i="1"/>
  <c r="AD145" i="1"/>
  <c r="E145" i="1"/>
  <c r="AE145" i="1"/>
  <c r="AG145" i="1"/>
  <c r="F145" i="1"/>
  <c r="AH145" i="1"/>
  <c r="AJ145" i="1"/>
  <c r="G145" i="1"/>
  <c r="AK145" i="1"/>
  <c r="AM145" i="1"/>
  <c r="H145" i="1"/>
  <c r="AN145" i="1"/>
  <c r="AP145" i="1"/>
  <c r="D146" i="1"/>
  <c r="AB146" i="1"/>
  <c r="AD146" i="1"/>
  <c r="E146" i="1"/>
  <c r="AE146" i="1"/>
  <c r="AG146" i="1"/>
  <c r="F146" i="1"/>
  <c r="AH146" i="1"/>
  <c r="AJ146" i="1"/>
  <c r="G146" i="1"/>
  <c r="AK146" i="1"/>
  <c r="AM146" i="1"/>
  <c r="H146" i="1"/>
  <c r="AN146" i="1"/>
  <c r="AP146" i="1"/>
  <c r="D147" i="1"/>
  <c r="AB147" i="1"/>
  <c r="AD147" i="1"/>
  <c r="E147" i="1"/>
  <c r="AE147" i="1"/>
  <c r="AG147" i="1"/>
  <c r="F147" i="1"/>
  <c r="AH147" i="1"/>
  <c r="AJ147" i="1"/>
  <c r="G147" i="1"/>
  <c r="AK147" i="1"/>
  <c r="AM147" i="1"/>
  <c r="H147" i="1"/>
  <c r="AN147" i="1"/>
  <c r="AP147" i="1"/>
  <c r="D148" i="1"/>
  <c r="AB148" i="1"/>
  <c r="AD148" i="1"/>
  <c r="E148" i="1"/>
  <c r="AE148" i="1"/>
  <c r="AG148" i="1"/>
  <c r="F148" i="1"/>
  <c r="AH148" i="1"/>
  <c r="AJ148" i="1"/>
  <c r="G148" i="1"/>
  <c r="AK148" i="1"/>
  <c r="AM148" i="1"/>
  <c r="H148" i="1"/>
  <c r="AN148" i="1"/>
  <c r="AP148" i="1"/>
  <c r="D149" i="1"/>
  <c r="AB149" i="1"/>
  <c r="E149" i="1"/>
  <c r="AE149" i="1"/>
  <c r="AG149" i="1"/>
  <c r="G149" i="1"/>
  <c r="AK149" i="1"/>
  <c r="AM149" i="1"/>
  <c r="H149" i="1"/>
  <c r="AN149" i="1"/>
  <c r="AP149" i="1"/>
  <c r="E133" i="1"/>
  <c r="AE133" i="1"/>
  <c r="AG133" i="1"/>
  <c r="H133" i="1"/>
  <c r="AN133" i="1"/>
  <c r="AP133" i="1"/>
  <c r="G3" i="14"/>
  <c r="G6" i="14"/>
  <c r="G7" i="14"/>
  <c r="G8" i="14"/>
  <c r="G9" i="14"/>
  <c r="G12" i="14"/>
  <c r="G13" i="14"/>
  <c r="G17" i="14"/>
  <c r="G18" i="14"/>
  <c r="G19" i="14"/>
  <c r="G20" i="14"/>
  <c r="G21" i="14"/>
  <c r="G25" i="14"/>
  <c r="G32" i="14"/>
  <c r="G33" i="14"/>
  <c r="G34" i="14"/>
  <c r="G36" i="14"/>
  <c r="G37" i="14"/>
  <c r="G40" i="14"/>
  <c r="G41" i="14"/>
  <c r="G42" i="14"/>
  <c r="G43" i="14"/>
  <c r="G44" i="14"/>
  <c r="G47" i="14"/>
  <c r="G48" i="14"/>
  <c r="G49" i="14"/>
  <c r="G50" i="14"/>
  <c r="G51" i="14"/>
  <c r="G52" i="14"/>
  <c r="G53" i="14"/>
  <c r="G54" i="14"/>
  <c r="G58" i="14"/>
  <c r="G59" i="14"/>
  <c r="G60" i="14"/>
  <c r="G61" i="14"/>
  <c r="G67" i="14"/>
  <c r="G68" i="14"/>
  <c r="G69" i="14"/>
  <c r="G70" i="14"/>
  <c r="G71" i="14"/>
  <c r="G72" i="14"/>
  <c r="G73" i="14"/>
  <c r="G74" i="14"/>
  <c r="G78" i="14"/>
  <c r="G79" i="14"/>
  <c r="G80" i="14"/>
  <c r="G81" i="14"/>
  <c r="G82" i="14"/>
  <c r="G83" i="14"/>
  <c r="G2" i="14"/>
  <c r="G273"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5" i="14"/>
  <c r="G256" i="14"/>
  <c r="G257" i="14"/>
  <c r="G258" i="14"/>
  <c r="G259" i="14"/>
  <c r="G260"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2" i="14"/>
  <c r="B93" i="14"/>
  <c r="B94" i="14"/>
  <c r="B95" i="14"/>
  <c r="B96" i="14"/>
  <c r="B97" i="14"/>
  <c r="B98" i="14"/>
  <c r="B99" i="14"/>
  <c r="B2" i="14"/>
  <c r="AL130" i="1"/>
  <c r="AC251" i="5"/>
  <c r="AC250" i="5"/>
  <c r="AC248" i="5"/>
  <c r="AC84" i="5"/>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AC83" i="5"/>
  <c r="AC82" i="5"/>
  <c r="AC81" i="5"/>
  <c r="AB229" i="5"/>
  <c r="AB218" i="5"/>
  <c r="AB219" i="5"/>
  <c r="AB220" i="5"/>
  <c r="AB221" i="5"/>
  <c r="AB222" i="5"/>
  <c r="AB232" i="5"/>
  <c r="AB223" i="5"/>
  <c r="AB233" i="5"/>
  <c r="AB224" i="5"/>
  <c r="AB225" i="5"/>
  <c r="AB226"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65" i="5"/>
  <c r="AB66" i="5"/>
  <c r="AB67" i="5"/>
  <c r="AB68" i="5"/>
  <c r="AB69" i="5"/>
  <c r="AB73" i="5"/>
  <c r="AB74" i="5"/>
  <c r="AB75" i="5"/>
  <c r="AB76" i="5"/>
  <c r="AB79" i="5"/>
  <c r="AB80" i="5"/>
  <c r="AB89" i="5"/>
  <c r="AB90" i="5"/>
  <c r="AB91" i="5"/>
  <c r="AB92" i="5"/>
  <c r="AB95" i="5"/>
  <c r="AB96" i="5"/>
  <c r="AB97" i="5"/>
  <c r="AB57" i="5"/>
  <c r="AB98" i="5"/>
  <c r="AB72" i="5"/>
  <c r="AB77" i="5"/>
  <c r="AB132" i="5"/>
  <c r="AB133" i="5"/>
  <c r="AB134" i="5"/>
  <c r="AB135" i="5"/>
  <c r="AB155" i="5"/>
  <c r="AB156" i="5"/>
  <c r="AB157" i="5"/>
  <c r="AB158" i="5"/>
  <c r="AB159" i="5"/>
  <c r="AB114" i="5"/>
  <c r="AB115" i="5"/>
  <c r="AB116" i="5"/>
  <c r="AB241" i="5"/>
  <c r="AB242" i="5"/>
  <c r="AB243" i="5"/>
  <c r="AB244" i="5"/>
  <c r="AB78" i="5"/>
  <c r="AB110" i="5"/>
  <c r="AB355" i="5"/>
  <c r="AB356" i="5"/>
  <c r="AB357" i="5"/>
  <c r="AB358" i="5"/>
  <c r="AB359" i="5"/>
  <c r="AB484" i="5"/>
  <c r="AB485" i="5"/>
  <c r="AB486" i="5"/>
  <c r="AB487" i="5"/>
  <c r="AB491" i="5"/>
  <c r="AB492" i="5"/>
  <c r="AB523" i="5"/>
  <c r="AB525" i="5"/>
  <c r="AB526" i="5"/>
  <c r="AB527" i="5"/>
  <c r="AB528" i="5"/>
  <c r="AB533" i="5"/>
  <c r="AB534" i="5"/>
  <c r="AB536" i="5"/>
  <c r="AB537" i="5"/>
  <c r="AB538" i="5"/>
  <c r="AB540" i="5"/>
  <c r="AB543" i="5"/>
  <c r="AB544" i="5"/>
  <c r="AB545" i="5"/>
  <c r="AB546" i="5"/>
  <c r="AB547" i="5"/>
  <c r="AB549" i="5"/>
  <c r="AB550" i="5"/>
  <c r="AB551" i="5"/>
  <c r="AB552" i="5"/>
  <c r="AB140" i="5"/>
  <c r="AB141" i="5"/>
  <c r="AB152" i="5"/>
  <c r="AB153" i="5"/>
  <c r="AB165" i="5"/>
  <c r="AB166" i="5"/>
  <c r="AB170" i="5"/>
  <c r="AB614" i="5"/>
  <c r="AB615" i="5"/>
  <c r="AB627" i="5"/>
  <c r="AB628" i="5"/>
  <c r="AB629" i="5"/>
  <c r="AB630" i="5"/>
  <c r="AB631" i="5"/>
  <c r="AB632" i="5"/>
  <c r="AB633" i="5"/>
  <c r="AB634" i="5"/>
  <c r="AB635" i="5"/>
  <c r="AB636" i="5"/>
  <c r="AB652" i="5"/>
  <c r="AB653" i="5"/>
  <c r="AB654" i="5"/>
  <c r="AB694" i="5"/>
  <c r="AB695" i="5"/>
  <c r="AB697" i="5"/>
  <c r="AB698" i="5"/>
  <c r="AB699" i="5"/>
  <c r="AB700" i="5"/>
  <c r="AB701" i="5"/>
  <c r="AB702" i="5"/>
  <c r="AB111" i="5"/>
  <c r="AB112" i="5"/>
  <c r="AB706" i="5"/>
  <c r="AB707" i="5"/>
  <c r="AB708" i="5"/>
  <c r="AB709" i="5"/>
  <c r="AB710" i="5"/>
  <c r="AB711" i="5"/>
  <c r="AB713" i="5"/>
  <c r="AB718" i="5"/>
  <c r="AB753" i="5"/>
  <c r="AB754" i="5"/>
  <c r="AB173" i="5"/>
  <c r="AB174" i="5"/>
  <c r="AB760" i="5"/>
  <c r="AB761" i="5"/>
  <c r="AB762" i="5"/>
  <c r="AB763" i="5"/>
  <c r="AB764" i="5"/>
  <c r="AB765" i="5"/>
  <c r="AB766" i="5"/>
  <c r="AB767" i="5"/>
  <c r="AB768" i="5"/>
  <c r="AB769" i="5"/>
  <c r="AB532" i="5"/>
  <c r="AB501" i="5"/>
  <c r="AB113" i="5"/>
  <c r="AB99" i="5"/>
  <c r="AB100" i="5"/>
  <c r="AB101" i="5"/>
  <c r="AB175" i="5"/>
  <c r="AB102" i="5"/>
  <c r="AB103" i="5"/>
  <c r="AB512" i="5"/>
  <c r="AB513" i="5"/>
  <c r="AB514" i="5"/>
  <c r="AB515" i="5"/>
  <c r="AB516" i="5"/>
  <c r="AB517" i="5"/>
  <c r="AB184" i="5"/>
  <c r="AB185" i="5"/>
  <c r="AB186" i="5"/>
  <c r="AB187" i="5"/>
  <c r="AB188" i="5"/>
  <c r="AB176" i="5"/>
  <c r="AB189" i="5"/>
  <c r="AB177" i="5"/>
  <c r="AB178" i="5"/>
  <c r="AB179" i="5"/>
  <c r="AB190" i="5"/>
  <c r="AB191" i="5"/>
  <c r="AB192" i="5"/>
  <c r="AB193" i="5"/>
  <c r="AB194" i="5"/>
  <c r="AB195" i="5"/>
  <c r="AB180" i="5"/>
  <c r="AB181" i="5"/>
  <c r="AB182" i="5"/>
  <c r="AB183" i="5"/>
  <c r="AB200" i="5"/>
  <c r="AB201" i="5"/>
  <c r="AB202" i="5"/>
  <c r="AB203" i="5"/>
  <c r="AB196" i="5"/>
  <c r="AB204" i="5"/>
  <c r="AB205" i="5"/>
  <c r="AB206" i="5"/>
  <c r="AB207" i="5"/>
  <c r="AB208" i="5"/>
  <c r="AB209" i="5"/>
  <c r="AB210" i="5"/>
  <c r="AB212" i="5"/>
  <c r="AB213" i="5"/>
  <c r="AB214" i="5"/>
  <c r="AB215" i="5"/>
  <c r="AB216" i="5"/>
  <c r="AB197" i="5"/>
  <c r="AB198" i="5"/>
  <c r="AB227" i="5"/>
  <c r="AB217" i="5"/>
  <c r="AB228" i="5"/>
  <c r="AB199" i="5"/>
  <c r="AB234" i="5"/>
  <c r="AB235" i="5"/>
  <c r="AB154" i="5"/>
  <c r="AB237" i="5"/>
  <c r="AB238" i="5"/>
  <c r="AB239" i="5"/>
  <c r="AB240" i="5"/>
  <c r="AB360" i="5"/>
  <c r="AB361" i="5"/>
  <c r="AB362" i="5"/>
  <c r="AB363" i="5"/>
  <c r="AB364" i="5"/>
  <c r="AB365" i="5"/>
  <c r="AB610" i="5"/>
  <c r="AB611" i="5"/>
  <c r="AB256" i="5"/>
  <c r="AB612" i="5"/>
  <c r="AB613" i="5"/>
  <c r="AB257" i="5"/>
  <c r="AB258" i="5"/>
  <c r="AB259" i="5"/>
  <c r="AB260" i="5"/>
  <c r="AB261" i="5"/>
  <c r="AB262" i="5"/>
  <c r="AB263" i="5"/>
  <c r="AB230" i="5"/>
  <c r="AB253" i="5"/>
  <c r="AB254" i="5"/>
  <c r="AB270" i="5"/>
  <c r="AB271" i="5"/>
  <c r="AB264" i="5"/>
  <c r="AB245" i="5"/>
  <c r="AB249" i="5"/>
  <c r="AB252" i="5"/>
  <c r="AB246" i="5"/>
  <c r="AB247" i="5"/>
  <c r="AB211" i="5"/>
  <c r="AB231" i="5"/>
  <c r="AB265" i="5"/>
  <c r="AB255" i="5"/>
  <c r="AB447" i="5"/>
  <c r="AB448" i="5"/>
  <c r="AB460" i="5"/>
  <c r="AB462" i="5"/>
  <c r="AB466" i="5"/>
  <c r="AB467" i="5"/>
  <c r="AB468" i="5"/>
  <c r="AB281" i="5"/>
  <c r="AB282" i="5"/>
  <c r="AB283" i="5"/>
  <c r="AB284" i="5"/>
  <c r="AB285" i="5"/>
  <c r="AB286" i="5"/>
  <c r="AB287" i="5"/>
  <c r="AB288" i="5"/>
  <c r="AB289" i="5"/>
  <c r="AB136" i="5"/>
  <c r="AB291" i="5"/>
  <c r="AB273" i="5"/>
  <c r="AB137" i="5"/>
  <c r="AB292" i="5"/>
  <c r="AB138" i="5"/>
  <c r="AB139" i="5"/>
  <c r="AB142" i="5"/>
  <c r="AB143" i="5"/>
  <c r="AB144" i="5"/>
  <c r="AB316" i="5"/>
  <c r="AB317" i="5"/>
  <c r="AB318" i="5"/>
  <c r="AB319" i="5"/>
  <c r="AB320" i="5"/>
  <c r="AB323" i="5"/>
  <c r="AB324" i="5"/>
  <c r="AB325" i="5"/>
  <c r="AB326" i="5"/>
  <c r="AB327" i="5"/>
  <c r="AB328" i="5"/>
  <c r="AB329" i="5"/>
  <c r="AB330" i="5"/>
  <c r="AB331" i="5"/>
  <c r="AB332" i="5"/>
  <c r="AB333" i="5"/>
  <c r="AB334" i="5"/>
  <c r="AB335" i="5"/>
  <c r="AB336" i="5"/>
  <c r="AB266" i="5"/>
  <c r="AB267" i="5"/>
  <c r="AB93" i="5"/>
  <c r="AB94" i="5"/>
  <c r="AB524" i="5"/>
  <c r="AB315" i="5"/>
  <c r="AB531" i="5"/>
  <c r="AB535" i="5"/>
  <c r="AB539" i="5"/>
  <c r="AB541" i="5"/>
  <c r="AB338" i="5"/>
  <c r="AB337" i="5"/>
  <c r="AB542" i="5"/>
  <c r="AB548" i="5"/>
  <c r="AB554" i="5"/>
  <c r="AB555" i="5"/>
  <c r="AB556" i="5"/>
  <c r="AB340" i="5"/>
  <c r="AB341" i="5"/>
  <c r="AB558" i="5"/>
  <c r="AB559" i="5"/>
  <c r="AB583" i="5"/>
  <c r="AB339" i="5"/>
  <c r="AB585" i="5"/>
  <c r="AB586" i="5"/>
  <c r="AB587" i="5"/>
  <c r="AB588" i="5"/>
  <c r="AB589" i="5"/>
  <c r="AB590" i="5"/>
  <c r="AB591" i="5"/>
  <c r="AB592" i="5"/>
  <c r="AB593" i="5"/>
  <c r="AB596" i="5"/>
  <c r="AB601" i="5"/>
  <c r="AB605" i="5"/>
  <c r="AB607" i="5"/>
  <c r="AB160" i="5"/>
  <c r="AB161" i="5"/>
  <c r="AB162" i="5"/>
  <c r="AB163" i="5"/>
  <c r="AB164" i="5"/>
  <c r="AB167" i="5"/>
  <c r="AB168" i="5"/>
  <c r="AB169" i="5"/>
  <c r="AB171" i="5"/>
  <c r="AB172" i="5"/>
  <c r="AB236" i="5"/>
  <c r="AB616" i="5"/>
  <c r="AB617" i="5"/>
  <c r="AB395" i="5"/>
  <c r="AB618" i="5"/>
  <c r="AB620" i="5"/>
  <c r="AB493" i="5"/>
  <c r="AB494" i="5"/>
  <c r="AB495" i="5"/>
  <c r="AB496" i="5"/>
  <c r="AB497" i="5"/>
  <c r="AB498" i="5"/>
  <c r="AB503" i="5"/>
  <c r="AB507" i="5"/>
  <c r="AB508" i="5"/>
  <c r="AB509" i="5"/>
  <c r="AB510" i="5"/>
  <c r="AB511" i="5"/>
  <c r="AB518" i="5"/>
  <c r="AB519" i="5"/>
  <c r="AB520" i="5"/>
  <c r="AB521" i="5"/>
  <c r="AB522" i="5"/>
  <c r="AB621" i="5"/>
  <c r="AB622" i="5"/>
  <c r="AB623" i="5"/>
  <c r="AB396" i="5"/>
  <c r="AB397" i="5"/>
  <c r="AB398" i="5"/>
  <c r="AB399" i="5"/>
  <c r="AB404" i="5"/>
  <c r="AB405" i="5"/>
  <c r="AB406" i="5"/>
  <c r="AB407" i="5"/>
  <c r="AB563" i="5"/>
  <c r="AB564" i="5"/>
  <c r="AB565" i="5"/>
  <c r="AB566" i="5"/>
  <c r="AB343" i="5"/>
  <c r="AB344" i="5"/>
  <c r="AB390" i="5"/>
  <c r="AB391" i="5"/>
  <c r="AB345" i="5"/>
  <c r="AB392" i="5"/>
  <c r="AB393" i="5"/>
  <c r="AB346" i="5"/>
  <c r="AB347" i="5"/>
  <c r="AB348" i="5"/>
  <c r="AB342" i="5"/>
  <c r="AB349" i="5"/>
  <c r="AB350" i="5"/>
  <c r="AB351" i="5"/>
  <c r="AB352" i="5"/>
  <c r="AB353" i="5"/>
  <c r="AB354" i="5"/>
  <c r="AB366" i="5"/>
  <c r="AB367" i="5"/>
  <c r="AB368" i="5"/>
  <c r="AB394" i="5"/>
  <c r="AB369" i="5"/>
  <c r="AB370" i="5"/>
  <c r="AB371" i="5"/>
  <c r="AB389" i="5"/>
  <c r="AB624" i="5"/>
  <c r="AB625" i="5"/>
  <c r="AB626" i="5"/>
  <c r="AB637" i="5"/>
  <c r="AB638" i="5"/>
  <c r="AB639" i="5"/>
  <c r="AB640" i="5"/>
  <c r="AB641" i="5"/>
  <c r="AB642" i="5"/>
  <c r="AB644" i="5"/>
  <c r="AB645" i="5"/>
  <c r="AB696" i="5"/>
  <c r="AB712" i="5"/>
  <c r="AB714" i="5"/>
  <c r="AB715" i="5"/>
  <c r="AB716" i="5"/>
  <c r="AB4" i="5"/>
  <c r="AB5" i="5"/>
  <c r="AB6" i="5"/>
  <c r="AB408" i="5"/>
  <c r="AB409" i="5"/>
  <c r="AB410" i="5"/>
  <c r="AB411" i="5"/>
  <c r="AB412" i="5"/>
  <c r="AB413" i="5"/>
  <c r="AB414" i="5"/>
  <c r="AB415" i="5"/>
  <c r="AB416" i="5"/>
  <c r="AB417" i="5"/>
  <c r="AB418" i="5"/>
  <c r="AB7" i="5"/>
  <c r="AB419" i="5"/>
  <c r="AB8" i="5"/>
  <c r="AB420" i="5"/>
  <c r="AB421" i="5"/>
  <c r="AB422" i="5"/>
  <c r="AB9" i="5"/>
  <c r="AB10" i="5"/>
  <c r="AB11" i="5"/>
  <c r="AB717" i="5"/>
  <c r="AB721" i="5"/>
  <c r="AB12" i="5"/>
  <c r="AB722" i="5"/>
  <c r="AB13" i="5"/>
  <c r="AB14" i="5"/>
  <c r="AB15" i="5"/>
  <c r="AB16" i="5"/>
  <c r="AB17" i="5"/>
  <c r="AB18" i="5"/>
  <c r="AB19" i="5"/>
  <c r="AB20" i="5"/>
  <c r="AB732" i="5"/>
  <c r="AB733" i="5"/>
  <c r="AB58" i="5"/>
  <c r="AB61" i="5"/>
  <c r="AB62" i="5"/>
  <c r="AB63" i="5"/>
  <c r="AB64" i="5"/>
  <c r="AB734" i="5"/>
  <c r="AB423" i="5"/>
  <c r="AB735" i="5"/>
  <c r="AB81" i="5"/>
  <c r="AB82" i="5"/>
  <c r="AB83" i="5"/>
  <c r="AB84" i="5"/>
  <c r="AB85" i="5"/>
  <c r="AB86" i="5"/>
  <c r="AB87" i="5"/>
  <c r="AB88" i="5"/>
  <c r="AB736" i="5"/>
  <c r="AB737" i="5"/>
  <c r="AB424" i="5"/>
  <c r="AB104" i="5"/>
  <c r="AB105" i="5"/>
  <c r="AB106" i="5"/>
  <c r="AB107" i="5"/>
  <c r="AB108" i="5"/>
  <c r="AB109" i="5"/>
  <c r="AB122" i="5"/>
  <c r="AB123" i="5"/>
  <c r="AB124" i="5"/>
  <c r="AB125" i="5"/>
  <c r="AB739" i="5"/>
  <c r="AB740" i="5"/>
  <c r="AB741" i="5"/>
  <c r="AB743" i="5"/>
  <c r="AB745" i="5"/>
  <c r="AB746" i="5"/>
  <c r="AB126" i="5"/>
  <c r="AB127" i="5"/>
  <c r="AB128" i="5"/>
  <c r="AB129" i="5"/>
  <c r="AB130" i="5"/>
  <c r="AB131" i="5"/>
  <c r="AB758" i="5"/>
  <c r="AB145" i="5"/>
  <c r="AB294" i="5"/>
  <c r="AB146" i="5"/>
  <c r="AB147" i="5"/>
  <c r="AB148" i="5"/>
  <c r="AB149" i="5"/>
  <c r="AB150" i="5"/>
  <c r="AB151" i="5"/>
  <c r="AB304" i="5"/>
  <c r="AB309" i="5"/>
  <c r="AB300" i="5"/>
  <c r="AB248" i="5"/>
  <c r="AB250" i="5"/>
  <c r="AB251" i="5"/>
  <c r="AB301" i="5"/>
  <c r="AB268" i="5"/>
  <c r="AB302" i="5"/>
  <c r="AB303" i="5"/>
  <c r="AB269" i="5"/>
  <c r="AB272" i="5"/>
  <c r="AB788" i="5"/>
  <c r="AB274" i="5"/>
  <c r="AB275" i="5"/>
  <c r="AB880" i="5"/>
  <c r="AB276" i="5"/>
  <c r="AB277" i="5"/>
  <c r="AB278" i="5"/>
  <c r="AB279" i="5"/>
  <c r="AB280" i="5"/>
  <c r="AB305" i="5"/>
  <c r="AB306" i="5"/>
  <c r="AB307" i="5"/>
  <c r="AB290" i="5"/>
  <c r="AB308" i="5"/>
  <c r="AB321" i="5"/>
  <c r="AB322" i="5"/>
  <c r="AB384" i="5"/>
  <c r="AB385" i="5"/>
  <c r="AB386" i="5"/>
  <c r="AB387" i="5"/>
  <c r="AB388" i="5"/>
  <c r="AB400" i="5"/>
  <c r="AB401" i="5"/>
  <c r="AB402" i="5"/>
  <c r="AB403" i="5"/>
  <c r="AB445" i="5"/>
  <c r="AB446" i="5"/>
  <c r="AB471" i="5"/>
  <c r="AB473" i="5"/>
  <c r="AB474" i="5"/>
  <c r="AB475" i="5"/>
  <c r="AB476" i="5"/>
  <c r="AB477" i="5"/>
  <c r="AB478" i="5"/>
  <c r="AB479" i="5"/>
  <c r="AB480" i="5"/>
  <c r="AB483" i="5"/>
  <c r="AB529" i="5"/>
  <c r="AB530" i="5"/>
  <c r="AB770" i="5"/>
  <c r="AB777" i="5"/>
  <c r="AB779" i="5"/>
  <c r="AB783" i="5"/>
  <c r="AB786" i="5"/>
  <c r="AB803" i="5"/>
  <c r="AB804" i="5"/>
  <c r="AB805" i="5"/>
  <c r="AB813" i="5"/>
  <c r="AB553" i="5"/>
  <c r="AB426" i="5"/>
  <c r="AB879" i="5"/>
  <c r="AB427" i="5"/>
  <c r="AB557" i="5"/>
  <c r="AB560" i="5"/>
  <c r="AB561" i="5"/>
  <c r="AB562" i="5"/>
  <c r="AB567" i="5"/>
  <c r="AB568" i="5"/>
  <c r="AB569" i="5"/>
  <c r="AB846" i="5"/>
  <c r="AB570" i="5"/>
  <c r="AB847" i="5"/>
  <c r="AB571" i="5"/>
  <c r="AB572" i="5"/>
  <c r="AB573" i="5"/>
  <c r="AB574" i="5"/>
  <c r="AB584" i="5"/>
  <c r="AB606" i="5"/>
  <c r="AB608" i="5"/>
  <c r="AB609" i="5"/>
  <c r="AB848" i="5"/>
  <c r="AB849" i="5"/>
  <c r="AB850" i="5"/>
  <c r="AB863" i="5"/>
  <c r="AB21" i="5"/>
  <c r="G99" i="11"/>
  <c r="G100" i="11"/>
  <c r="G101" i="11"/>
  <c r="G102" i="11"/>
  <c r="G103" i="11"/>
  <c r="G104" i="11"/>
  <c r="G105" i="11"/>
  <c r="G106" i="11"/>
  <c r="G107" i="11"/>
  <c r="G108" i="11"/>
  <c r="G109" i="11"/>
  <c r="G110" i="11"/>
  <c r="G111" i="11"/>
  <c r="G112" i="11"/>
  <c r="G140" i="1"/>
  <c r="AK140" i="1"/>
  <c r="AM140" i="1"/>
  <c r="F140" i="1"/>
  <c r="AC290" i="5"/>
  <c r="AC280" i="5"/>
  <c r="AC279" i="5"/>
  <c r="AC278" i="5"/>
  <c r="AC277" i="5"/>
  <c r="AC276" i="5"/>
  <c r="AH140" i="1"/>
  <c r="AJ140" i="1"/>
  <c r="F93" i="14"/>
  <c r="F94" i="14"/>
  <c r="F95" i="14"/>
  <c r="F96" i="14"/>
  <c r="F97" i="14"/>
  <c r="P102" i="6"/>
  <c r="O102" i="6"/>
  <c r="O103" i="6"/>
  <c r="O104" i="6"/>
  <c r="O105" i="6"/>
  <c r="O106" i="6"/>
  <c r="O107" i="6"/>
  <c r="O108" i="6"/>
  <c r="O109" i="6"/>
  <c r="O110" i="6"/>
  <c r="O111" i="6"/>
  <c r="O112" i="6"/>
  <c r="O113" i="6"/>
  <c r="O114" i="6"/>
  <c r="O115" i="6"/>
  <c r="H102" i="6"/>
  <c r="H103" i="6"/>
  <c r="H104" i="6"/>
  <c r="H105" i="6"/>
  <c r="H106" i="6"/>
  <c r="H107" i="6"/>
  <c r="H108" i="6"/>
  <c r="H109" i="6"/>
  <c r="H110" i="6"/>
  <c r="H111" i="6"/>
  <c r="H112" i="6"/>
  <c r="H113" i="6"/>
  <c r="H114" i="6"/>
  <c r="AC272" i="5"/>
  <c r="AC269" i="5"/>
  <c r="AC268" i="5"/>
  <c r="AC553" i="5"/>
  <c r="AC584" i="5"/>
  <c r="AC574" i="5"/>
  <c r="AC573" i="5"/>
  <c r="AC572" i="5"/>
  <c r="AC569" i="5"/>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03" i="6"/>
  <c r="P104" i="6"/>
  <c r="P105" i="6"/>
  <c r="P106" i="6"/>
  <c r="P107" i="6"/>
  <c r="P108" i="6"/>
  <c r="P109" i="6"/>
  <c r="P110" i="6"/>
  <c r="P111" i="6"/>
  <c r="P112" i="6"/>
  <c r="P113" i="6"/>
  <c r="P114" i="6"/>
  <c r="P115" i="6"/>
  <c r="G37" i="11"/>
  <c r="G54" i="11"/>
  <c r="G95" i="11"/>
  <c r="G96" i="11"/>
  <c r="G97" i="11"/>
  <c r="G98" i="11"/>
  <c r="G88" i="11"/>
  <c r="G89" i="11"/>
  <c r="G90" i="11"/>
  <c r="G91" i="11"/>
  <c r="G92" i="11"/>
  <c r="G93" i="11"/>
  <c r="G94" i="11"/>
  <c r="G87" i="11"/>
  <c r="F137" i="1"/>
  <c r="AH137" i="1"/>
  <c r="AJ137" i="1"/>
  <c r="G137" i="1"/>
  <c r="AK137" i="1"/>
  <c r="AM137" i="1"/>
  <c r="AL126" i="1"/>
  <c r="G78" i="11"/>
  <c r="H150" i="1"/>
  <c r="AN150" i="1"/>
  <c r="AP150" i="1"/>
  <c r="G150" i="1"/>
  <c r="AK150" i="1"/>
  <c r="AM150" i="1"/>
  <c r="E150" i="1"/>
  <c r="AE150" i="1"/>
  <c r="AG150" i="1"/>
  <c r="D150" i="1"/>
  <c r="AB150" i="1"/>
  <c r="AD150" i="1"/>
  <c r="B150" i="1"/>
  <c r="B149" i="1"/>
  <c r="B148" i="1"/>
  <c r="I148" i="1"/>
  <c r="B147" i="1"/>
  <c r="B146" i="1"/>
  <c r="I146" i="1"/>
  <c r="B145" i="1"/>
  <c r="I145" i="1"/>
  <c r="B144" i="1"/>
  <c r="B143" i="1"/>
  <c r="I143" i="1"/>
  <c r="B142" i="1"/>
  <c r="B141" i="1"/>
  <c r="I141" i="1"/>
  <c r="B140" i="1"/>
  <c r="B139" i="1"/>
  <c r="I139" i="1"/>
  <c r="B138" i="1"/>
  <c r="B137" i="1"/>
  <c r="B136" i="1"/>
  <c r="I136" i="1"/>
  <c r="B135" i="1"/>
  <c r="B134" i="1"/>
  <c r="D133" i="1"/>
  <c r="AB133" i="1"/>
  <c r="AD133" i="1"/>
  <c r="B133" i="1"/>
  <c r="H132" i="1"/>
  <c r="AN132" i="1"/>
  <c r="AP132" i="1"/>
  <c r="G132" i="1"/>
  <c r="AK132" i="1"/>
  <c r="F132" i="1"/>
  <c r="AH132" i="1"/>
  <c r="E132" i="1"/>
  <c r="AE132" i="1"/>
  <c r="AG132" i="1"/>
  <c r="D132" i="1"/>
  <c r="AB132" i="1"/>
  <c r="AD132" i="1"/>
  <c r="B132" i="1"/>
  <c r="I132" i="1"/>
  <c r="H131" i="1"/>
  <c r="AN131" i="1"/>
  <c r="AP131" i="1"/>
  <c r="G131" i="1"/>
  <c r="AK131" i="1"/>
  <c r="F131" i="1"/>
  <c r="AH131" i="1"/>
  <c r="E131" i="1"/>
  <c r="AE131" i="1"/>
  <c r="AG131" i="1"/>
  <c r="D131" i="1"/>
  <c r="AB131" i="1"/>
  <c r="AD131" i="1"/>
  <c r="B131" i="1"/>
  <c r="H130" i="1"/>
  <c r="AN130" i="1"/>
  <c r="AP130" i="1"/>
  <c r="E130" i="1"/>
  <c r="AE130" i="1"/>
  <c r="AG130" i="1"/>
  <c r="D130" i="1"/>
  <c r="AB130" i="1"/>
  <c r="AD130" i="1"/>
  <c r="B130" i="1"/>
  <c r="H129" i="1"/>
  <c r="AN129" i="1"/>
  <c r="AP129" i="1"/>
  <c r="G129" i="1"/>
  <c r="AK129" i="1"/>
  <c r="F129" i="1"/>
  <c r="AH129" i="1"/>
  <c r="E129" i="1"/>
  <c r="AE129" i="1"/>
  <c r="AG129" i="1"/>
  <c r="D129" i="1"/>
  <c r="AB129" i="1"/>
  <c r="AD129" i="1"/>
  <c r="B129" i="1"/>
  <c r="H128" i="1"/>
  <c r="AN128" i="1"/>
  <c r="AP128" i="1"/>
  <c r="E128" i="1"/>
  <c r="AE128" i="1"/>
  <c r="AG128" i="1"/>
  <c r="D128" i="1"/>
  <c r="AB128" i="1"/>
  <c r="AD128" i="1"/>
  <c r="B128" i="1"/>
  <c r="H127" i="1"/>
  <c r="AN127" i="1"/>
  <c r="AP127" i="1"/>
  <c r="G127" i="1"/>
  <c r="AK127" i="1"/>
  <c r="F127" i="1"/>
  <c r="AH127" i="1"/>
  <c r="E127" i="1"/>
  <c r="AE127" i="1"/>
  <c r="AG127" i="1"/>
  <c r="D127" i="1"/>
  <c r="AB127" i="1"/>
  <c r="AD127" i="1"/>
  <c r="B127" i="1"/>
  <c r="I127" i="1"/>
  <c r="H126" i="1"/>
  <c r="AN126" i="1"/>
  <c r="AP126" i="1"/>
  <c r="E126" i="1"/>
  <c r="AE126" i="1"/>
  <c r="AG126" i="1"/>
  <c r="D126" i="1"/>
  <c r="AB126" i="1"/>
  <c r="AD126" i="1"/>
  <c r="B126" i="1"/>
  <c r="H125" i="1"/>
  <c r="AN125" i="1"/>
  <c r="AP125" i="1"/>
  <c r="G125" i="1"/>
  <c r="AK125" i="1"/>
  <c r="F125" i="1"/>
  <c r="AH125" i="1"/>
  <c r="E125" i="1"/>
  <c r="AE125" i="1"/>
  <c r="AG125" i="1"/>
  <c r="D125" i="1"/>
  <c r="AB125" i="1"/>
  <c r="AD125" i="1"/>
  <c r="B125" i="1"/>
  <c r="H124" i="1"/>
  <c r="AN124" i="1"/>
  <c r="AP124" i="1"/>
  <c r="G124" i="1"/>
  <c r="AK124" i="1"/>
  <c r="F124" i="1"/>
  <c r="AH124" i="1"/>
  <c r="E124" i="1"/>
  <c r="AE124" i="1"/>
  <c r="AG124" i="1"/>
  <c r="D124" i="1"/>
  <c r="AB124" i="1"/>
  <c r="AD124" i="1"/>
  <c r="B124" i="1"/>
  <c r="I124" i="1"/>
  <c r="H123" i="1"/>
  <c r="AN123" i="1"/>
  <c r="AP123" i="1"/>
  <c r="F123" i="1"/>
  <c r="AH123" i="1"/>
  <c r="E123" i="1"/>
  <c r="AE123" i="1"/>
  <c r="AG123" i="1"/>
  <c r="D123" i="1"/>
  <c r="AB123" i="1"/>
  <c r="AD123" i="1"/>
  <c r="B123" i="1"/>
  <c r="H122" i="1"/>
  <c r="AN122" i="1"/>
  <c r="AP122" i="1"/>
  <c r="G122" i="1"/>
  <c r="AK122" i="1"/>
  <c r="F122" i="1"/>
  <c r="AH122" i="1"/>
  <c r="E122" i="1"/>
  <c r="AE122" i="1"/>
  <c r="AG122" i="1"/>
  <c r="D122" i="1"/>
  <c r="AB122" i="1"/>
  <c r="AD122" i="1"/>
  <c r="B122" i="1"/>
  <c r="I122" i="1"/>
  <c r="H121" i="1"/>
  <c r="AN121" i="1"/>
  <c r="AP121" i="1"/>
  <c r="G121" i="1"/>
  <c r="AK121" i="1"/>
  <c r="D121" i="1"/>
  <c r="AB121" i="1"/>
  <c r="AD121" i="1"/>
  <c r="B121" i="1"/>
  <c r="H120" i="1"/>
  <c r="AN120" i="1"/>
  <c r="AP120" i="1"/>
  <c r="G120" i="1"/>
  <c r="AK120" i="1"/>
  <c r="F120" i="1"/>
  <c r="AH120" i="1"/>
  <c r="D120" i="1"/>
  <c r="AB120" i="1"/>
  <c r="AD120" i="1"/>
  <c r="H119" i="1"/>
  <c r="AN119" i="1"/>
  <c r="AP119" i="1"/>
  <c r="G119" i="1"/>
  <c r="AK119" i="1"/>
  <c r="F119" i="1"/>
  <c r="AH119" i="1"/>
  <c r="E119" i="1"/>
  <c r="AE119" i="1"/>
  <c r="D119" i="1"/>
  <c r="AB119" i="1"/>
  <c r="AD119" i="1"/>
  <c r="B119" i="1"/>
  <c r="H118" i="1"/>
  <c r="AN118" i="1"/>
  <c r="AP118" i="1"/>
  <c r="G118" i="1"/>
  <c r="AK118" i="1"/>
  <c r="F118" i="1"/>
  <c r="AH118" i="1"/>
  <c r="E118" i="1"/>
  <c r="AE118" i="1"/>
  <c r="D118" i="1"/>
  <c r="B118" i="1"/>
  <c r="H117" i="1"/>
  <c r="AN117" i="1"/>
  <c r="AP117" i="1"/>
  <c r="G117" i="1"/>
  <c r="AK117" i="1"/>
  <c r="F117" i="1"/>
  <c r="AH117" i="1"/>
  <c r="E117" i="1"/>
  <c r="AE117" i="1"/>
  <c r="D117" i="1"/>
  <c r="AB117" i="1"/>
  <c r="AD117" i="1"/>
  <c r="B117" i="1"/>
  <c r="I117" i="1"/>
  <c r="H116" i="1"/>
  <c r="AN116" i="1"/>
  <c r="AP116" i="1"/>
  <c r="D116" i="1"/>
  <c r="AB116" i="1"/>
  <c r="AD116" i="1"/>
  <c r="B116" i="1"/>
  <c r="H115" i="1"/>
  <c r="AN115" i="1"/>
  <c r="AP115" i="1"/>
  <c r="G115" i="1"/>
  <c r="AK115" i="1"/>
  <c r="F115" i="1"/>
  <c r="AH115" i="1"/>
  <c r="E115" i="1"/>
  <c r="AE115" i="1"/>
  <c r="D115" i="1"/>
  <c r="AB115" i="1"/>
  <c r="AD115" i="1"/>
  <c r="B115" i="1"/>
  <c r="I115" i="1"/>
  <c r="H114" i="1"/>
  <c r="AN114" i="1"/>
  <c r="AP114" i="1"/>
  <c r="D114" i="1"/>
  <c r="AB114" i="1"/>
  <c r="AD114" i="1"/>
  <c r="B114" i="1"/>
  <c r="H113" i="1"/>
  <c r="G113" i="1"/>
  <c r="F113" i="1"/>
  <c r="E113" i="1"/>
  <c r="D113" i="1"/>
  <c r="B113" i="1"/>
  <c r="H112" i="1"/>
  <c r="G112" i="1"/>
  <c r="F112" i="1"/>
  <c r="D112" i="1"/>
  <c r="B112" i="1"/>
  <c r="H111" i="1"/>
  <c r="G111" i="1"/>
  <c r="F111" i="1"/>
  <c r="E111" i="1"/>
  <c r="D111" i="1"/>
  <c r="B111" i="1"/>
  <c r="I111" i="1"/>
  <c r="H110" i="1"/>
  <c r="G110" i="1"/>
  <c r="F110" i="1"/>
  <c r="E110" i="1"/>
  <c r="D110" i="1"/>
  <c r="B110" i="1"/>
  <c r="H109" i="1"/>
  <c r="G109" i="1"/>
  <c r="F109" i="1"/>
  <c r="E109" i="1"/>
  <c r="D109" i="1"/>
  <c r="B109" i="1"/>
  <c r="I109" i="1"/>
  <c r="H108" i="1"/>
  <c r="H107" i="1"/>
  <c r="G107" i="1"/>
  <c r="F107" i="1"/>
  <c r="E107" i="1"/>
  <c r="D107" i="1"/>
  <c r="B107" i="1"/>
  <c r="H106" i="1"/>
  <c r="G106" i="1"/>
  <c r="F106" i="1"/>
  <c r="E106" i="1"/>
  <c r="D106" i="1"/>
  <c r="B106" i="1"/>
  <c r="H105" i="1"/>
  <c r="E105" i="1"/>
  <c r="G77" i="11"/>
  <c r="G79" i="11"/>
  <c r="G80" i="11"/>
  <c r="G81" i="11"/>
  <c r="G82" i="11"/>
  <c r="G83" i="11"/>
  <c r="G84" i="11"/>
  <c r="G85" i="11"/>
  <c r="G86" i="11"/>
  <c r="G72" i="11"/>
  <c r="G73" i="11"/>
  <c r="G74" i="11"/>
  <c r="G75" i="11"/>
  <c r="G76" i="11"/>
  <c r="F135" i="1"/>
  <c r="G135" i="1"/>
  <c r="AK135" i="1"/>
  <c r="AM135" i="1"/>
  <c r="AH135" i="1"/>
  <c r="AJ135" i="1"/>
  <c r="P96" i="6"/>
  <c r="O96" i="6"/>
  <c r="H96" i="6"/>
  <c r="Q105" i="8"/>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2" i="14"/>
  <c r="I131" i="1"/>
  <c r="I134" i="1"/>
  <c r="I147" i="1"/>
  <c r="G62" i="11"/>
  <c r="G63" i="11"/>
  <c r="G64" i="11"/>
  <c r="G65" i="11"/>
  <c r="G66" i="11"/>
  <c r="G67" i="11"/>
  <c r="G68" i="11"/>
  <c r="G69" i="11"/>
  <c r="G70" i="11"/>
  <c r="G71" i="11"/>
  <c r="I112" i="11"/>
  <c r="G59" i="11"/>
  <c r="G60" i="11"/>
  <c r="G61" i="11"/>
  <c r="F133" i="1"/>
  <c r="G133" i="1"/>
  <c r="AK133" i="1"/>
  <c r="AM133" i="1"/>
  <c r="AH133" i="1"/>
  <c r="AJ133" i="1"/>
  <c r="I133" i="1"/>
  <c r="G53" i="11"/>
  <c r="G57" i="11"/>
  <c r="I111" i="11"/>
  <c r="G51" i="11"/>
  <c r="G58" i="11"/>
  <c r="G50" i="11"/>
  <c r="G56" i="11"/>
  <c r="G52" i="11"/>
  <c r="G55" i="11"/>
  <c r="G49" i="11"/>
  <c r="G130" i="1"/>
  <c r="G47" i="11"/>
  <c r="G48" i="11"/>
  <c r="AK130" i="1"/>
  <c r="AM130" i="1"/>
  <c r="I108" i="11"/>
  <c r="I109" i="11"/>
  <c r="I105" i="11"/>
  <c r="J50" i="11"/>
  <c r="I129" i="1"/>
  <c r="M172" i="8"/>
  <c r="M173" i="8"/>
  <c r="K172" i="8"/>
  <c r="L172" i="8"/>
  <c r="R172" i="8"/>
  <c r="K173" i="8"/>
  <c r="L173" i="8"/>
  <c r="R173" i="8"/>
  <c r="K174" i="8"/>
  <c r="L174" i="8"/>
  <c r="M174" i="8"/>
  <c r="R174" i="8"/>
  <c r="K175" i="8"/>
  <c r="L175" i="8"/>
  <c r="M175" i="8"/>
  <c r="R175" i="8"/>
  <c r="K176" i="8"/>
  <c r="L176" i="8"/>
  <c r="M176" i="8"/>
  <c r="R176" i="8"/>
  <c r="K177" i="8"/>
  <c r="L177" i="8"/>
  <c r="M177" i="8"/>
  <c r="R177" i="8"/>
  <c r="K178" i="8"/>
  <c r="L178" i="8"/>
  <c r="M178" i="8"/>
  <c r="N178" i="8"/>
  <c r="O178" i="8"/>
  <c r="R178" i="8"/>
  <c r="S178" i="8"/>
  <c r="K179" i="8"/>
  <c r="L179" i="8"/>
  <c r="M179" i="8"/>
  <c r="N179" i="8"/>
  <c r="O179" i="8"/>
  <c r="P179" i="8"/>
  <c r="R179" i="8"/>
  <c r="S179" i="8"/>
  <c r="K180" i="8"/>
  <c r="L180" i="8"/>
  <c r="M180" i="8"/>
  <c r="N180" i="8"/>
  <c r="O180" i="8"/>
  <c r="P180" i="8"/>
  <c r="R180" i="8"/>
  <c r="S180" i="8"/>
  <c r="K181" i="8"/>
  <c r="L181" i="8"/>
  <c r="M181" i="8"/>
  <c r="N181" i="8"/>
  <c r="O181" i="8"/>
  <c r="P181" i="8"/>
  <c r="R181" i="8"/>
  <c r="S181" i="8"/>
  <c r="K182" i="8"/>
  <c r="L182" i="8"/>
  <c r="M182" i="8"/>
  <c r="N182" i="8"/>
  <c r="O182" i="8"/>
  <c r="P182" i="8"/>
  <c r="R182" i="8"/>
  <c r="S182" i="8"/>
  <c r="K183" i="8"/>
  <c r="L183" i="8"/>
  <c r="M183" i="8"/>
  <c r="N183" i="8"/>
  <c r="O183" i="8"/>
  <c r="P183" i="8"/>
  <c r="R183" i="8"/>
  <c r="S183" i="8"/>
  <c r="K184" i="8"/>
  <c r="L184" i="8"/>
  <c r="M184" i="8"/>
  <c r="N184" i="8"/>
  <c r="O184" i="8"/>
  <c r="P184" i="8"/>
  <c r="R184" i="8"/>
  <c r="S184" i="8"/>
  <c r="K185" i="8"/>
  <c r="L185" i="8"/>
  <c r="M185" i="8"/>
  <c r="R185" i="8"/>
  <c r="R186" i="8"/>
  <c r="N187" i="8"/>
  <c r="O187" i="8"/>
  <c r="P187" i="8"/>
  <c r="R187" i="8"/>
  <c r="S187" i="8"/>
  <c r="N188" i="8"/>
  <c r="O188" i="8"/>
  <c r="P188" i="8"/>
  <c r="R188" i="8"/>
  <c r="S188" i="8"/>
  <c r="N189" i="8"/>
  <c r="O189" i="8"/>
  <c r="P189" i="8"/>
  <c r="R189" i="8"/>
  <c r="S189" i="8"/>
  <c r="K190" i="8"/>
  <c r="L190" i="8"/>
  <c r="M190" i="8"/>
  <c r="N190" i="8"/>
  <c r="O190" i="8"/>
  <c r="P190" i="8"/>
  <c r="R190" i="8"/>
  <c r="S190" i="8"/>
  <c r="K191" i="8"/>
  <c r="L191" i="8"/>
  <c r="M191" i="8"/>
  <c r="N191" i="8"/>
  <c r="O191" i="8"/>
  <c r="P191" i="8"/>
  <c r="R191" i="8"/>
  <c r="S191" i="8"/>
  <c r="K192" i="8"/>
  <c r="L192" i="8"/>
  <c r="M192" i="8"/>
  <c r="N192" i="8"/>
  <c r="O192" i="8"/>
  <c r="P192" i="8"/>
  <c r="R192" i="8"/>
  <c r="S192" i="8"/>
  <c r="K193" i="8"/>
  <c r="L193" i="8"/>
  <c r="M193" i="8"/>
  <c r="N193" i="8"/>
  <c r="O193" i="8"/>
  <c r="P193" i="8"/>
  <c r="R193" i="8"/>
  <c r="S193" i="8"/>
  <c r="K194" i="8"/>
  <c r="L194" i="8"/>
  <c r="M194" i="8"/>
  <c r="N194" i="8"/>
  <c r="O194" i="8"/>
  <c r="P194" i="8"/>
  <c r="R194" i="8"/>
  <c r="S194" i="8"/>
  <c r="K195" i="8"/>
  <c r="L195" i="8"/>
  <c r="M195" i="8"/>
  <c r="N195" i="8"/>
  <c r="O195" i="8"/>
  <c r="P195" i="8"/>
  <c r="R195" i="8"/>
  <c r="S195" i="8"/>
  <c r="K196" i="8"/>
  <c r="L196" i="8"/>
  <c r="M196" i="8"/>
  <c r="N196" i="8"/>
  <c r="O196" i="8"/>
  <c r="P196" i="8"/>
  <c r="R196" i="8"/>
  <c r="S196" i="8"/>
  <c r="K197" i="8"/>
  <c r="L197" i="8"/>
  <c r="M197" i="8"/>
  <c r="N197" i="8"/>
  <c r="O197" i="8"/>
  <c r="P197" i="8"/>
  <c r="R197" i="8"/>
  <c r="S197" i="8"/>
  <c r="K198" i="8"/>
  <c r="L198" i="8"/>
  <c r="M198" i="8"/>
  <c r="N198" i="8"/>
  <c r="O198" i="8"/>
  <c r="P198" i="8"/>
  <c r="R198" i="8"/>
  <c r="S198" i="8"/>
  <c r="Q198" i="8"/>
  <c r="Q197" i="8"/>
  <c r="Q196" i="8"/>
  <c r="Q195" i="8"/>
  <c r="Q194" i="8"/>
  <c r="Q193" i="8"/>
  <c r="Q192" i="8"/>
  <c r="Q191" i="8"/>
  <c r="Q190" i="8"/>
  <c r="Q189" i="8"/>
  <c r="Q188" i="8"/>
  <c r="Q187" i="8"/>
  <c r="N186" i="8"/>
  <c r="O186" i="8"/>
  <c r="N185" i="8"/>
  <c r="O185" i="8"/>
  <c r="Q184" i="8"/>
  <c r="Q182" i="8"/>
  <c r="Q181" i="8"/>
  <c r="Q180" i="8"/>
  <c r="Q179" i="8"/>
  <c r="P178" i="8"/>
  <c r="Q178" i="8"/>
  <c r="N177" i="8"/>
  <c r="O177" i="8"/>
  <c r="N176" i="8"/>
  <c r="O176" i="8"/>
  <c r="N175" i="8"/>
  <c r="O175" i="8"/>
  <c r="N174" i="8"/>
  <c r="O174" i="8"/>
  <c r="N173" i="8"/>
  <c r="O173" i="8"/>
  <c r="N172" i="8"/>
  <c r="O172" i="8"/>
  <c r="Q183" i="8"/>
  <c r="AC236" i="5"/>
  <c r="AC172" i="5"/>
  <c r="AC171" i="5"/>
  <c r="AC169" i="5"/>
  <c r="AC168" i="5"/>
  <c r="S172" i="8"/>
  <c r="S173" i="8"/>
  <c r="S174" i="8"/>
  <c r="S175" i="8"/>
  <c r="S176" i="8"/>
  <c r="S177" i="8"/>
  <c r="S185" i="8"/>
  <c r="S186" i="8"/>
  <c r="I119" i="1"/>
  <c r="G32" i="11"/>
  <c r="G33" i="11"/>
  <c r="G34" i="11"/>
  <c r="G35" i="11"/>
  <c r="G36" i="11"/>
  <c r="G31" i="11"/>
  <c r="G38" i="11"/>
  <c r="G39" i="11"/>
  <c r="G40" i="11"/>
  <c r="G41" i="11"/>
  <c r="G42" i="11"/>
  <c r="G43" i="11"/>
  <c r="I106" i="11"/>
  <c r="G44" i="11"/>
  <c r="G45" i="11"/>
  <c r="G46" i="11"/>
  <c r="AI101" i="1"/>
  <c r="AI102" i="1"/>
  <c r="AI103" i="1"/>
  <c r="AB107" i="1"/>
  <c r="AD107" i="1"/>
  <c r="AE107" i="1"/>
  <c r="AG107" i="1"/>
  <c r="G29" i="11"/>
  <c r="G30" i="11"/>
  <c r="F26" i="11"/>
  <c r="E26" i="11"/>
  <c r="AC167" i="5"/>
  <c r="AC164" i="5"/>
  <c r="AC163" i="5"/>
  <c r="AC162" i="5"/>
  <c r="AC161" i="5"/>
  <c r="AC160" i="5"/>
  <c r="AC507" i="5"/>
  <c r="AC522" i="5"/>
  <c r="AC520" i="5"/>
  <c r="AC496" i="5"/>
  <c r="AC494" i="5"/>
  <c r="K164" i="8"/>
  <c r="L164" i="8"/>
  <c r="M164" i="8"/>
  <c r="N164" i="8"/>
  <c r="O164" i="8"/>
  <c r="P164" i="8"/>
  <c r="R164" i="8"/>
  <c r="S164" i="8"/>
  <c r="K165" i="8"/>
  <c r="L165" i="8"/>
  <c r="M165" i="8"/>
  <c r="N165" i="8"/>
  <c r="O165" i="8"/>
  <c r="P165" i="8"/>
  <c r="R165" i="8"/>
  <c r="S165" i="8"/>
  <c r="K166" i="8"/>
  <c r="L166" i="8"/>
  <c r="M166" i="8"/>
  <c r="N166" i="8"/>
  <c r="O166" i="8"/>
  <c r="P166" i="8"/>
  <c r="R166" i="8"/>
  <c r="S166" i="8"/>
  <c r="K167" i="8"/>
  <c r="L167" i="8"/>
  <c r="M167" i="8"/>
  <c r="N167" i="8"/>
  <c r="O167" i="8"/>
  <c r="P167" i="8"/>
  <c r="R167" i="8"/>
  <c r="S167" i="8"/>
  <c r="K168" i="8"/>
  <c r="L168" i="8"/>
  <c r="M168" i="8"/>
  <c r="N168" i="8"/>
  <c r="O168" i="8"/>
  <c r="P168" i="8"/>
  <c r="R168" i="8"/>
  <c r="S168" i="8"/>
  <c r="K169" i="8"/>
  <c r="L169" i="8"/>
  <c r="M169" i="8"/>
  <c r="N169" i="8"/>
  <c r="O169" i="8"/>
  <c r="P169" i="8"/>
  <c r="R169" i="8"/>
  <c r="S169" i="8"/>
  <c r="K170" i="8"/>
  <c r="L170" i="8"/>
  <c r="M170" i="8"/>
  <c r="N170" i="8"/>
  <c r="O170" i="8"/>
  <c r="P170" i="8"/>
  <c r="R170" i="8"/>
  <c r="S170" i="8"/>
  <c r="K171" i="8"/>
  <c r="L171" i="8"/>
  <c r="M171" i="8"/>
  <c r="N171" i="8"/>
  <c r="O171" i="8"/>
  <c r="P171" i="8"/>
  <c r="R171" i="8"/>
  <c r="S171" i="8"/>
  <c r="AC566" i="5"/>
  <c r="AC565" i="5"/>
  <c r="AC564" i="5"/>
  <c r="AC563" i="5"/>
  <c r="G14" i="11"/>
  <c r="G12" i="11"/>
  <c r="E108" i="1"/>
  <c r="AG161" i="5"/>
  <c r="AG162" i="5"/>
  <c r="AG163" i="5"/>
  <c r="AG164" i="5"/>
  <c r="AG167" i="5"/>
  <c r="AG168" i="5"/>
  <c r="AG169" i="5"/>
  <c r="AG171" i="5"/>
  <c r="AG172" i="5"/>
  <c r="AG236" i="5"/>
  <c r="AG616" i="5"/>
  <c r="AG617" i="5"/>
  <c r="AG395" i="5"/>
  <c r="AG160" i="5"/>
  <c r="G3" i="11"/>
  <c r="G4" i="11"/>
  <c r="G5" i="11"/>
  <c r="G6" i="11"/>
  <c r="G7" i="11"/>
  <c r="G8" i="11"/>
  <c r="G9" i="11"/>
  <c r="G10" i="11"/>
  <c r="B105" i="1"/>
  <c r="G16" i="11"/>
  <c r="G108" i="1"/>
  <c r="G11" i="11"/>
  <c r="G17" i="11"/>
  <c r="B108" i="1"/>
  <c r="G13" i="11"/>
  <c r="G15" i="11"/>
  <c r="G18" i="11"/>
  <c r="E112" i="1"/>
  <c r="I112" i="1"/>
  <c r="G19" i="11"/>
  <c r="E114" i="1"/>
  <c r="AE114" i="1"/>
  <c r="AG114" i="1"/>
  <c r="G20" i="11"/>
  <c r="F114" i="1"/>
  <c r="G21" i="11"/>
  <c r="G114" i="1"/>
  <c r="AK114" i="1"/>
  <c r="G22" i="11"/>
  <c r="G23" i="11"/>
  <c r="G24" i="11"/>
  <c r="G25" i="11"/>
  <c r="G28" i="11"/>
  <c r="G27" i="11"/>
  <c r="G26" i="11"/>
  <c r="E121" i="1"/>
  <c r="AE121" i="1"/>
  <c r="AG121" i="1"/>
  <c r="G2" i="11"/>
  <c r="K149" i="8"/>
  <c r="L149" i="8"/>
  <c r="M149" i="8"/>
  <c r="N149" i="8"/>
  <c r="O149" i="8"/>
  <c r="P149" i="8"/>
  <c r="R149" i="8"/>
  <c r="S149" i="8"/>
  <c r="K150" i="8"/>
  <c r="L150" i="8"/>
  <c r="M150" i="8"/>
  <c r="N150" i="8"/>
  <c r="O150" i="8"/>
  <c r="P150" i="8"/>
  <c r="R150" i="8"/>
  <c r="S150" i="8"/>
  <c r="K151" i="8"/>
  <c r="L151" i="8"/>
  <c r="M151" i="8"/>
  <c r="N151" i="8"/>
  <c r="O151" i="8"/>
  <c r="P151" i="8"/>
  <c r="R151" i="8"/>
  <c r="S151" i="8"/>
  <c r="K152" i="8"/>
  <c r="L152" i="8"/>
  <c r="M152" i="8"/>
  <c r="N152" i="8"/>
  <c r="O152" i="8"/>
  <c r="P152" i="8"/>
  <c r="R152" i="8"/>
  <c r="S152" i="8"/>
  <c r="K153" i="8"/>
  <c r="L153" i="8"/>
  <c r="M153" i="8"/>
  <c r="N153" i="8"/>
  <c r="O153" i="8"/>
  <c r="P153" i="8"/>
  <c r="R153" i="8"/>
  <c r="S153" i="8"/>
  <c r="K154" i="8"/>
  <c r="L154" i="8"/>
  <c r="M154" i="8"/>
  <c r="N154" i="8"/>
  <c r="O154" i="8"/>
  <c r="P154" i="8"/>
  <c r="R154" i="8"/>
  <c r="S154" i="8"/>
  <c r="K155" i="8"/>
  <c r="L155" i="8"/>
  <c r="M155" i="8"/>
  <c r="N155" i="8"/>
  <c r="O155" i="8"/>
  <c r="P155" i="8"/>
  <c r="R155" i="8"/>
  <c r="S155" i="8"/>
  <c r="K156" i="8"/>
  <c r="L156" i="8"/>
  <c r="M156" i="8"/>
  <c r="N156" i="8"/>
  <c r="O156" i="8"/>
  <c r="P156" i="8"/>
  <c r="R156" i="8"/>
  <c r="S156" i="8"/>
  <c r="K157" i="8"/>
  <c r="L157" i="8"/>
  <c r="M157" i="8"/>
  <c r="N157" i="8"/>
  <c r="O157" i="8"/>
  <c r="P157" i="8"/>
  <c r="R157" i="8"/>
  <c r="S157" i="8"/>
  <c r="K158" i="8"/>
  <c r="L158" i="8"/>
  <c r="M158" i="8"/>
  <c r="N158" i="8"/>
  <c r="O158" i="8"/>
  <c r="P158" i="8"/>
  <c r="R158" i="8"/>
  <c r="S158" i="8"/>
  <c r="K159" i="8"/>
  <c r="L159" i="8"/>
  <c r="M159" i="8"/>
  <c r="N159" i="8"/>
  <c r="O159" i="8"/>
  <c r="P159" i="8"/>
  <c r="R159" i="8"/>
  <c r="S159" i="8"/>
  <c r="K160" i="8"/>
  <c r="L160" i="8"/>
  <c r="M160" i="8"/>
  <c r="N160" i="8"/>
  <c r="O160" i="8"/>
  <c r="P160" i="8"/>
  <c r="R160" i="8"/>
  <c r="S160" i="8"/>
  <c r="K161" i="8"/>
  <c r="L161" i="8"/>
  <c r="M161" i="8"/>
  <c r="N161" i="8"/>
  <c r="O161" i="8"/>
  <c r="P161" i="8"/>
  <c r="R161" i="8"/>
  <c r="S161" i="8"/>
  <c r="K162" i="8"/>
  <c r="L162" i="8"/>
  <c r="M162" i="8"/>
  <c r="N162" i="8"/>
  <c r="O162" i="8"/>
  <c r="P162" i="8"/>
  <c r="R162" i="8"/>
  <c r="S162" i="8"/>
  <c r="K163" i="8"/>
  <c r="L163" i="8"/>
  <c r="M163" i="8"/>
  <c r="N163" i="8"/>
  <c r="O163" i="8"/>
  <c r="P163" i="8"/>
  <c r="R163" i="8"/>
  <c r="S163" i="8"/>
  <c r="M148" i="8"/>
  <c r="L148" i="8"/>
  <c r="K148" i="8"/>
  <c r="N148" i="8"/>
  <c r="O148" i="8"/>
  <c r="P148" i="8"/>
  <c r="M147" i="8"/>
  <c r="L147" i="8"/>
  <c r="K147" i="8"/>
  <c r="P146" i="8"/>
  <c r="M146" i="8"/>
  <c r="L146" i="8"/>
  <c r="K146" i="8"/>
  <c r="P145" i="8"/>
  <c r="M145" i="8"/>
  <c r="L145" i="8"/>
  <c r="K145" i="8"/>
  <c r="P144" i="8"/>
  <c r="M144" i="8"/>
  <c r="L144" i="8"/>
  <c r="K144" i="8"/>
  <c r="P143" i="8"/>
  <c r="M143" i="8"/>
  <c r="L143" i="8"/>
  <c r="K143" i="8"/>
  <c r="P142" i="8"/>
  <c r="M142" i="8"/>
  <c r="L142" i="8"/>
  <c r="K142" i="8"/>
  <c r="P141" i="8"/>
  <c r="M141" i="8"/>
  <c r="L141" i="8"/>
  <c r="K141" i="8"/>
  <c r="P140" i="8"/>
  <c r="M140" i="8"/>
  <c r="L140" i="8"/>
  <c r="K140" i="8"/>
  <c r="P139" i="8"/>
  <c r="M139" i="8"/>
  <c r="L139" i="8"/>
  <c r="K139" i="8"/>
  <c r="P138" i="8"/>
  <c r="M138" i="8"/>
  <c r="L138" i="8"/>
  <c r="K138" i="8"/>
  <c r="P137" i="8"/>
  <c r="M137" i="8"/>
  <c r="L137" i="8"/>
  <c r="K137" i="8"/>
  <c r="P136" i="8"/>
  <c r="M136" i="8"/>
  <c r="L136" i="8"/>
  <c r="K136" i="8"/>
  <c r="P135" i="8"/>
  <c r="M135" i="8"/>
  <c r="L135" i="8"/>
  <c r="K135" i="8"/>
  <c r="P134" i="8"/>
  <c r="M134" i="8"/>
  <c r="L134" i="8"/>
  <c r="K134" i="8"/>
  <c r="P133" i="8"/>
  <c r="M133" i="8"/>
  <c r="L133" i="8"/>
  <c r="K133" i="8"/>
  <c r="P132" i="8"/>
  <c r="M132" i="8"/>
  <c r="L132" i="8"/>
  <c r="K132" i="8"/>
  <c r="P131" i="8"/>
  <c r="M131" i="8"/>
  <c r="L131" i="8"/>
  <c r="K131" i="8"/>
  <c r="P130" i="8"/>
  <c r="M130" i="8"/>
  <c r="L130" i="8"/>
  <c r="K130" i="8"/>
  <c r="P129" i="8"/>
  <c r="M129" i="8"/>
  <c r="L129" i="8"/>
  <c r="K129" i="8"/>
  <c r="P128" i="8"/>
  <c r="M128" i="8"/>
  <c r="L128" i="8"/>
  <c r="K128" i="8"/>
  <c r="P127" i="8"/>
  <c r="M127" i="8"/>
  <c r="L127" i="8"/>
  <c r="E127" i="8"/>
  <c r="K127" i="8"/>
  <c r="P126" i="8"/>
  <c r="M126" i="8"/>
  <c r="L126" i="8"/>
  <c r="K126" i="8"/>
  <c r="P125" i="8"/>
  <c r="M125" i="8"/>
  <c r="L125" i="8"/>
  <c r="K125" i="8"/>
  <c r="P124" i="8"/>
  <c r="M124" i="8"/>
  <c r="L124" i="8"/>
  <c r="K124" i="8"/>
  <c r="P123" i="8"/>
  <c r="G123" i="8"/>
  <c r="M123" i="8"/>
  <c r="F123" i="8"/>
  <c r="L123" i="8"/>
  <c r="E123" i="8"/>
  <c r="K123" i="8"/>
  <c r="P122" i="8"/>
  <c r="M122" i="8"/>
  <c r="L122" i="8"/>
  <c r="K122" i="8"/>
  <c r="P121" i="8"/>
  <c r="M121" i="8"/>
  <c r="L121" i="8"/>
  <c r="K121" i="8"/>
  <c r="P120" i="8"/>
  <c r="M120" i="8"/>
  <c r="L120" i="8"/>
  <c r="K120" i="8"/>
  <c r="P119" i="8"/>
  <c r="M119" i="8"/>
  <c r="L119" i="8"/>
  <c r="K119" i="8"/>
  <c r="P118" i="8"/>
  <c r="M118" i="8"/>
  <c r="L118" i="8"/>
  <c r="K118" i="8"/>
  <c r="P117" i="8"/>
  <c r="M117" i="8"/>
  <c r="L117" i="8"/>
  <c r="K117" i="8"/>
  <c r="P116" i="8"/>
  <c r="M116" i="8"/>
  <c r="L116" i="8"/>
  <c r="K116" i="8"/>
  <c r="P115" i="8"/>
  <c r="M115" i="8"/>
  <c r="L115" i="8"/>
  <c r="K115" i="8"/>
  <c r="P114" i="8"/>
  <c r="M114" i="8"/>
  <c r="L114" i="8"/>
  <c r="K114" i="8"/>
  <c r="P113" i="8"/>
  <c r="M113" i="8"/>
  <c r="L113" i="8"/>
  <c r="K113" i="8"/>
  <c r="P112" i="8"/>
  <c r="M112" i="8"/>
  <c r="L112" i="8"/>
  <c r="K112" i="8"/>
  <c r="P111" i="8"/>
  <c r="M111" i="8"/>
  <c r="L111" i="8"/>
  <c r="K111" i="8"/>
  <c r="P110" i="8"/>
  <c r="G110" i="8"/>
  <c r="M110" i="8"/>
  <c r="F110" i="8"/>
  <c r="L110" i="8"/>
  <c r="E110" i="8"/>
  <c r="K110" i="8"/>
  <c r="P109" i="8"/>
  <c r="M109" i="8"/>
  <c r="L109" i="8"/>
  <c r="K109" i="8"/>
  <c r="P108" i="8"/>
  <c r="M108" i="8"/>
  <c r="L108" i="8"/>
  <c r="K108" i="8"/>
  <c r="P107" i="8"/>
  <c r="M107" i="8"/>
  <c r="L107" i="8"/>
  <c r="K107" i="8"/>
  <c r="P106" i="8"/>
  <c r="G106" i="8"/>
  <c r="M106" i="8"/>
  <c r="F106" i="8"/>
  <c r="L106" i="8"/>
  <c r="E106" i="8"/>
  <c r="K106" i="8"/>
  <c r="P104" i="8"/>
  <c r="G104" i="8"/>
  <c r="M104" i="8"/>
  <c r="F104" i="8"/>
  <c r="L104" i="8"/>
  <c r="E104" i="8"/>
  <c r="K104" i="8"/>
  <c r="P103" i="8"/>
  <c r="M103" i="8"/>
  <c r="L103" i="8"/>
  <c r="K103" i="8"/>
  <c r="P102" i="8"/>
  <c r="M102" i="8"/>
  <c r="L102" i="8"/>
  <c r="K102" i="8"/>
  <c r="P101" i="8"/>
  <c r="G101" i="8"/>
  <c r="M101" i="8"/>
  <c r="F101" i="8"/>
  <c r="L101" i="8"/>
  <c r="E101" i="8"/>
  <c r="K101" i="8"/>
  <c r="P100" i="8"/>
  <c r="M100" i="8"/>
  <c r="L100" i="8"/>
  <c r="K100" i="8"/>
  <c r="P99" i="8"/>
  <c r="M99" i="8"/>
  <c r="L99" i="8"/>
  <c r="K99" i="8"/>
  <c r="P98" i="8"/>
  <c r="M98" i="8"/>
  <c r="L98" i="8"/>
  <c r="K98" i="8"/>
  <c r="P97" i="8"/>
  <c r="M97" i="8"/>
  <c r="L97" i="8"/>
  <c r="K97" i="8"/>
  <c r="P96" i="8"/>
  <c r="M96" i="8"/>
  <c r="L96" i="8"/>
  <c r="K96" i="8"/>
  <c r="P95" i="8"/>
  <c r="M95" i="8"/>
  <c r="L95" i="8"/>
  <c r="K95" i="8"/>
  <c r="P94" i="8"/>
  <c r="M94" i="8"/>
  <c r="L94" i="8"/>
  <c r="K94" i="8"/>
  <c r="P93" i="8"/>
  <c r="M93" i="8"/>
  <c r="L93" i="8"/>
  <c r="K93" i="8"/>
  <c r="P92" i="8"/>
  <c r="M92" i="8"/>
  <c r="L92" i="8"/>
  <c r="K92" i="8"/>
  <c r="P91" i="8"/>
  <c r="M91" i="8"/>
  <c r="L91" i="8"/>
  <c r="K91" i="8"/>
  <c r="P90" i="8"/>
  <c r="M90" i="8"/>
  <c r="L90" i="8"/>
  <c r="K90" i="8"/>
  <c r="P89" i="8"/>
  <c r="M89" i="8"/>
  <c r="L89" i="8"/>
  <c r="K89" i="8"/>
  <c r="P88" i="8"/>
  <c r="M88" i="8"/>
  <c r="L88" i="8"/>
  <c r="K88" i="8"/>
  <c r="P87" i="8"/>
  <c r="M87" i="8"/>
  <c r="L87" i="8"/>
  <c r="K87" i="8"/>
  <c r="P86" i="8"/>
  <c r="M86" i="8"/>
  <c r="L86" i="8"/>
  <c r="K86" i="8"/>
  <c r="P85" i="8"/>
  <c r="M85" i="8"/>
  <c r="L85" i="8"/>
  <c r="K85" i="8"/>
  <c r="P84" i="8"/>
  <c r="M84" i="8"/>
  <c r="L84" i="8"/>
  <c r="K84" i="8"/>
  <c r="P83" i="8"/>
  <c r="M83" i="8"/>
  <c r="L83" i="8"/>
  <c r="K83" i="8"/>
  <c r="P82" i="8"/>
  <c r="M82" i="8"/>
  <c r="L82" i="8"/>
  <c r="K82" i="8"/>
  <c r="P81" i="8"/>
  <c r="M81" i="8"/>
  <c r="L81" i="8"/>
  <c r="K81" i="8"/>
  <c r="P80" i="8"/>
  <c r="M80" i="8"/>
  <c r="L80" i="8"/>
  <c r="K80" i="8"/>
  <c r="P79" i="8"/>
  <c r="M79" i="8"/>
  <c r="L79" i="8"/>
  <c r="K79" i="8"/>
  <c r="P78" i="8"/>
  <c r="M78" i="8"/>
  <c r="L78" i="8"/>
  <c r="K78" i="8"/>
  <c r="P77" i="8"/>
  <c r="M77" i="8"/>
  <c r="L77" i="8"/>
  <c r="K77" i="8"/>
  <c r="P76" i="8"/>
  <c r="M76" i="8"/>
  <c r="L76" i="8"/>
  <c r="K76" i="8"/>
  <c r="P75" i="8"/>
  <c r="M75" i="8"/>
  <c r="L75" i="8"/>
  <c r="K75" i="8"/>
  <c r="P74" i="8"/>
  <c r="G74" i="8"/>
  <c r="M74" i="8"/>
  <c r="F74" i="8"/>
  <c r="L74" i="8"/>
  <c r="E74" i="8"/>
  <c r="K74" i="8"/>
  <c r="P73" i="8"/>
  <c r="M73" i="8"/>
  <c r="L73" i="8"/>
  <c r="K73" i="8"/>
  <c r="P72" i="8"/>
  <c r="M72" i="8"/>
  <c r="L72" i="8"/>
  <c r="K72" i="8"/>
  <c r="P71" i="8"/>
  <c r="M71" i="8"/>
  <c r="L71" i="8"/>
  <c r="K71" i="8"/>
  <c r="P70" i="8"/>
  <c r="M70" i="8"/>
  <c r="L70" i="8"/>
  <c r="K70" i="8"/>
  <c r="P69" i="8"/>
  <c r="M69" i="8"/>
  <c r="L69" i="8"/>
  <c r="K69" i="8"/>
  <c r="P68" i="8"/>
  <c r="M68" i="8"/>
  <c r="L68" i="8"/>
  <c r="K68" i="8"/>
  <c r="P67" i="8"/>
  <c r="M67" i="8"/>
  <c r="L67" i="8"/>
  <c r="K67" i="8"/>
  <c r="P66" i="8"/>
  <c r="M66" i="8"/>
  <c r="L66" i="8"/>
  <c r="K66" i="8"/>
  <c r="P65" i="8"/>
  <c r="M65" i="8"/>
  <c r="L65" i="8"/>
  <c r="K65" i="8"/>
  <c r="P64" i="8"/>
  <c r="M64" i="8"/>
  <c r="L64" i="8"/>
  <c r="K64" i="8"/>
  <c r="P63" i="8"/>
  <c r="M63" i="8"/>
  <c r="L63" i="8"/>
  <c r="K63" i="8"/>
  <c r="P62" i="8"/>
  <c r="M62" i="8"/>
  <c r="L62" i="8"/>
  <c r="K62" i="8"/>
  <c r="P61" i="8"/>
  <c r="M61" i="8"/>
  <c r="L61" i="8"/>
  <c r="K61" i="8"/>
  <c r="P60" i="8"/>
  <c r="M60" i="8"/>
  <c r="L60" i="8"/>
  <c r="K60" i="8"/>
  <c r="P59" i="8"/>
  <c r="M59" i="8"/>
  <c r="L59" i="8"/>
  <c r="K59" i="8"/>
  <c r="P58" i="8"/>
  <c r="G58" i="8"/>
  <c r="M58" i="8"/>
  <c r="F58" i="8"/>
  <c r="L58" i="8"/>
  <c r="E58" i="8"/>
  <c r="K58" i="8"/>
  <c r="P57" i="8"/>
  <c r="G57" i="8"/>
  <c r="M57" i="8"/>
  <c r="F57" i="8"/>
  <c r="L57" i="8"/>
  <c r="E57" i="8"/>
  <c r="K57" i="8"/>
  <c r="P56" i="8"/>
  <c r="G56" i="8"/>
  <c r="M56" i="8"/>
  <c r="F56" i="8"/>
  <c r="L56" i="8"/>
  <c r="E56" i="8"/>
  <c r="K56" i="8"/>
  <c r="P55" i="8"/>
  <c r="M55" i="8"/>
  <c r="L55" i="8"/>
  <c r="K55" i="8"/>
  <c r="P54" i="8"/>
  <c r="M54" i="8"/>
  <c r="L54" i="8"/>
  <c r="K54" i="8"/>
  <c r="P53" i="8"/>
  <c r="M53" i="8"/>
  <c r="L53" i="8"/>
  <c r="K53" i="8"/>
  <c r="P52" i="8"/>
  <c r="M52" i="8"/>
  <c r="L52" i="8"/>
  <c r="K52" i="8"/>
  <c r="P51" i="8"/>
  <c r="M51" i="8"/>
  <c r="L51" i="8"/>
  <c r="K51" i="8"/>
  <c r="P50" i="8"/>
  <c r="M50" i="8"/>
  <c r="L50" i="8"/>
  <c r="K50" i="8"/>
  <c r="P49" i="8"/>
  <c r="M49" i="8"/>
  <c r="L49" i="8"/>
  <c r="K49" i="8"/>
  <c r="F45" i="8"/>
  <c r="L45" i="8"/>
  <c r="E45" i="8"/>
  <c r="K45" i="8"/>
  <c r="D45" i="8"/>
  <c r="J45" i="8"/>
  <c r="M44" i="8"/>
  <c r="F44" i="8"/>
  <c r="L44" i="8"/>
  <c r="E44" i="8"/>
  <c r="K44" i="8"/>
  <c r="D44" i="8"/>
  <c r="J44" i="8"/>
  <c r="O44" i="8"/>
  <c r="F43" i="8"/>
  <c r="L43" i="8"/>
  <c r="E43" i="8"/>
  <c r="K43" i="8"/>
  <c r="D43" i="8"/>
  <c r="J43" i="8"/>
  <c r="F42" i="8"/>
  <c r="L42" i="8"/>
  <c r="E42" i="8"/>
  <c r="K42" i="8"/>
  <c r="D42" i="8"/>
  <c r="J42" i="8"/>
  <c r="F41" i="8"/>
  <c r="L41" i="8"/>
  <c r="E41" i="8"/>
  <c r="K41" i="8"/>
  <c r="D41" i="8"/>
  <c r="J41" i="8"/>
  <c r="F40" i="8"/>
  <c r="L40" i="8"/>
  <c r="E40" i="8"/>
  <c r="K40" i="8"/>
  <c r="D40" i="8"/>
  <c r="J40" i="8"/>
  <c r="F39" i="8"/>
  <c r="L39" i="8"/>
  <c r="E39" i="8"/>
  <c r="K39" i="8"/>
  <c r="D39" i="8"/>
  <c r="J39" i="8"/>
  <c r="F38" i="8"/>
  <c r="L38" i="8"/>
  <c r="E38" i="8"/>
  <c r="K38" i="8"/>
  <c r="D38" i="8"/>
  <c r="J38" i="8"/>
  <c r="P37" i="8"/>
  <c r="F37" i="8"/>
  <c r="L37" i="8"/>
  <c r="E37" i="8"/>
  <c r="K37" i="8"/>
  <c r="D37" i="8"/>
  <c r="J37" i="8"/>
  <c r="N37" i="8"/>
  <c r="L36" i="8"/>
  <c r="K36" i="8"/>
  <c r="J36" i="8"/>
  <c r="L35" i="8"/>
  <c r="K35" i="8"/>
  <c r="J35" i="8"/>
  <c r="L34" i="8"/>
  <c r="K34" i="8"/>
  <c r="J34" i="8"/>
  <c r="G26" i="8"/>
  <c r="F26" i="8"/>
  <c r="E26" i="8"/>
  <c r="J20" i="8"/>
  <c r="F20" i="8"/>
  <c r="K20" i="8"/>
  <c r="M20" i="8"/>
  <c r="J19" i="8"/>
  <c r="F19" i="8"/>
  <c r="K19" i="8"/>
  <c r="M19" i="8"/>
  <c r="J18" i="8"/>
  <c r="F18" i="8"/>
  <c r="K18" i="8"/>
  <c r="M18" i="8"/>
  <c r="N17" i="8"/>
  <c r="J15" i="8"/>
  <c r="F15" i="8"/>
  <c r="K15" i="8"/>
  <c r="M15" i="8"/>
  <c r="N14" i="8"/>
  <c r="J13" i="8"/>
  <c r="F13" i="8"/>
  <c r="K13" i="8"/>
  <c r="M13" i="8"/>
  <c r="J12" i="8"/>
  <c r="F12" i="8"/>
  <c r="K12" i="8"/>
  <c r="M12" i="8"/>
  <c r="J9" i="8"/>
  <c r="F9" i="8"/>
  <c r="M9" i="8"/>
  <c r="M8" i="8"/>
  <c r="M7" i="8"/>
  <c r="M6" i="8"/>
  <c r="M5" i="8"/>
  <c r="K4" i="8"/>
  <c r="M4" i="8"/>
  <c r="M3" i="8"/>
  <c r="M2" i="8"/>
  <c r="O101" i="6"/>
  <c r="H101" i="6"/>
  <c r="O100" i="6"/>
  <c r="H100" i="6"/>
  <c r="O99" i="6"/>
  <c r="H99" i="6"/>
  <c r="O98" i="6"/>
  <c r="H98" i="6"/>
  <c r="O97" i="6"/>
  <c r="H97" i="6"/>
  <c r="O95" i="6"/>
  <c r="H95" i="6"/>
  <c r="O94" i="6"/>
  <c r="H94" i="6"/>
  <c r="O93" i="6"/>
  <c r="H93" i="6"/>
  <c r="O92" i="6"/>
  <c r="H92" i="6"/>
  <c r="O91" i="6"/>
  <c r="H91" i="6"/>
  <c r="O90" i="6"/>
  <c r="Q90" i="6"/>
  <c r="Q91" i="6"/>
  <c r="Q92" i="6"/>
  <c r="Q93" i="6"/>
  <c r="Q94" i="6"/>
  <c r="Q95" i="6"/>
  <c r="Q96" i="6"/>
  <c r="Q97" i="6"/>
  <c r="H90" i="6"/>
  <c r="O89" i="6"/>
  <c r="H89" i="6"/>
  <c r="O88" i="6"/>
  <c r="H88" i="6"/>
  <c r="O87" i="6"/>
  <c r="H87" i="6"/>
  <c r="O86" i="6"/>
  <c r="H86" i="6"/>
  <c r="O85" i="6"/>
  <c r="H85" i="6"/>
  <c r="O84" i="6"/>
  <c r="H84" i="6"/>
  <c r="O83" i="6"/>
  <c r="H83" i="6"/>
  <c r="O82" i="6"/>
  <c r="H82" i="6"/>
  <c r="O81" i="6"/>
  <c r="H81" i="6"/>
  <c r="O80" i="6"/>
  <c r="H80" i="6"/>
  <c r="O79" i="6"/>
  <c r="H79" i="6"/>
  <c r="O78" i="6"/>
  <c r="H78" i="6"/>
  <c r="O77" i="6"/>
  <c r="H77" i="6"/>
  <c r="O76" i="6"/>
  <c r="H76" i="6"/>
  <c r="O75" i="6"/>
  <c r="H75" i="6"/>
  <c r="O74" i="6"/>
  <c r="H74" i="6"/>
  <c r="O73" i="6"/>
  <c r="H73" i="6"/>
  <c r="O72" i="6"/>
  <c r="H72" i="6"/>
  <c r="O71" i="6"/>
  <c r="H71" i="6"/>
  <c r="O70" i="6"/>
  <c r="H70" i="6"/>
  <c r="O69" i="6"/>
  <c r="H69" i="6"/>
  <c r="O68" i="6"/>
  <c r="H68" i="6"/>
  <c r="O67" i="6"/>
  <c r="H67" i="6"/>
  <c r="O66" i="6"/>
  <c r="H66" i="6"/>
  <c r="O65" i="6"/>
  <c r="H65" i="6"/>
  <c r="O64" i="6"/>
  <c r="H64" i="6"/>
  <c r="O63" i="6"/>
  <c r="H63" i="6"/>
  <c r="O62" i="6"/>
  <c r="H62" i="6"/>
  <c r="O61" i="6"/>
  <c r="H61" i="6"/>
  <c r="O60" i="6"/>
  <c r="H60" i="6"/>
  <c r="O59" i="6"/>
  <c r="H59" i="6"/>
  <c r="O58" i="6"/>
  <c r="H58" i="6"/>
  <c r="O57" i="6"/>
  <c r="H57" i="6"/>
  <c r="O56" i="6"/>
  <c r="H56" i="6"/>
  <c r="O55" i="6"/>
  <c r="H55" i="6"/>
  <c r="O54" i="6"/>
  <c r="H54" i="6"/>
  <c r="O53" i="6"/>
  <c r="H53" i="6"/>
  <c r="O52" i="6"/>
  <c r="H52" i="6"/>
  <c r="O51" i="6"/>
  <c r="H51" i="6"/>
  <c r="O50" i="6"/>
  <c r="H50" i="6"/>
  <c r="O49" i="6"/>
  <c r="H49" i="6"/>
  <c r="O48" i="6"/>
  <c r="H48" i="6"/>
  <c r="O47" i="6"/>
  <c r="H47" i="6"/>
  <c r="O46" i="6"/>
  <c r="H46" i="6"/>
  <c r="O45" i="6"/>
  <c r="H45" i="6"/>
  <c r="O44" i="6"/>
  <c r="H44" i="6"/>
  <c r="O43" i="6"/>
  <c r="H43" i="6"/>
  <c r="O42" i="6"/>
  <c r="H42" i="6"/>
  <c r="O41" i="6"/>
  <c r="H41" i="6"/>
  <c r="O40" i="6"/>
  <c r="H40" i="6"/>
  <c r="O39" i="6"/>
  <c r="H39" i="6"/>
  <c r="O38" i="6"/>
  <c r="H38" i="6"/>
  <c r="O37" i="6"/>
  <c r="H37" i="6"/>
  <c r="O36" i="6"/>
  <c r="H36" i="6"/>
  <c r="O35" i="6"/>
  <c r="H35" i="6"/>
  <c r="O34" i="6"/>
  <c r="H34" i="6"/>
  <c r="O33" i="6"/>
  <c r="H33" i="6"/>
  <c r="O32" i="6"/>
  <c r="H32" i="6"/>
  <c r="O31" i="6"/>
  <c r="H31" i="6"/>
  <c r="O30" i="6"/>
  <c r="H30" i="6"/>
  <c r="O29" i="6"/>
  <c r="H29" i="6"/>
  <c r="O28" i="6"/>
  <c r="H28" i="6"/>
  <c r="O27" i="6"/>
  <c r="H27" i="6"/>
  <c r="O26" i="6"/>
  <c r="H26" i="6"/>
  <c r="O25" i="6"/>
  <c r="H25" i="6"/>
  <c r="O24" i="6"/>
  <c r="H24" i="6"/>
  <c r="O23" i="6"/>
  <c r="H23" i="6"/>
  <c r="O22" i="6"/>
  <c r="H22" i="6"/>
  <c r="O21" i="6"/>
  <c r="H21" i="6"/>
  <c r="O20" i="6"/>
  <c r="H20" i="6"/>
  <c r="O19" i="6"/>
  <c r="H19" i="6"/>
  <c r="O18" i="6"/>
  <c r="H18" i="6"/>
  <c r="O17" i="6"/>
  <c r="H17" i="6"/>
  <c r="O16" i="6"/>
  <c r="H16" i="6"/>
  <c r="O15" i="6"/>
  <c r="G15" i="6"/>
  <c r="F15" i="6"/>
  <c r="D15" i="6"/>
  <c r="C15" i="6"/>
  <c r="H15" i="6"/>
  <c r="O14" i="6"/>
  <c r="B14" i="6"/>
  <c r="H14" i="6"/>
  <c r="O13" i="6"/>
  <c r="G13" i="6"/>
  <c r="F13" i="6"/>
  <c r="B13" i="6"/>
  <c r="H13" i="6"/>
  <c r="O12" i="6"/>
  <c r="G12" i="6"/>
  <c r="H12" i="6"/>
  <c r="O11" i="6"/>
  <c r="G11" i="6"/>
  <c r="E11" i="6"/>
  <c r="D11" i="6"/>
  <c r="H11" i="6"/>
  <c r="O10" i="6"/>
  <c r="C10" i="6"/>
  <c r="B10" i="6"/>
  <c r="H10" i="6"/>
  <c r="O9" i="6"/>
  <c r="H9" i="6"/>
  <c r="O8" i="6"/>
  <c r="H8" i="6"/>
  <c r="O7" i="6"/>
  <c r="H7" i="6"/>
  <c r="O6" i="6"/>
  <c r="H6" i="6"/>
  <c r="N2" i="6"/>
  <c r="M2" i="6"/>
  <c r="L2" i="6"/>
  <c r="J2" i="6"/>
  <c r="I2" i="6"/>
  <c r="O2" i="6"/>
  <c r="G2" i="6"/>
  <c r="N3" i="6"/>
  <c r="F2" i="6"/>
  <c r="M3" i="6"/>
  <c r="E2" i="6"/>
  <c r="L3" i="6"/>
  <c r="D2" i="6"/>
  <c r="K3" i="6"/>
  <c r="C2" i="6"/>
  <c r="J3" i="6"/>
  <c r="B2" i="6"/>
  <c r="AC94" i="5"/>
  <c r="AC93" i="5"/>
  <c r="AC144" i="5"/>
  <c r="AC143" i="5"/>
  <c r="AC142" i="5"/>
  <c r="AC139" i="5"/>
  <c r="AC138" i="5"/>
  <c r="AC137" i="5"/>
  <c r="AC136" i="5"/>
  <c r="AC468" i="5"/>
  <c r="AC467" i="5"/>
  <c r="AC466" i="5"/>
  <c r="AC462" i="5"/>
  <c r="AC460" i="5"/>
  <c r="AC448" i="5"/>
  <c r="AC447" i="5"/>
  <c r="AC265" i="5"/>
  <c r="AC247" i="5"/>
  <c r="AC246" i="5"/>
  <c r="AC613" i="5"/>
  <c r="AC612" i="5"/>
  <c r="AC611" i="5"/>
  <c r="AC610" i="5"/>
  <c r="AC492" i="5"/>
  <c r="AC135" i="5"/>
  <c r="AC134" i="5"/>
  <c r="AC133" i="5"/>
  <c r="AC132" i="5"/>
  <c r="AC98" i="5"/>
  <c r="AC97" i="5"/>
  <c r="AC96" i="5"/>
  <c r="AC95" i="5"/>
  <c r="AC56" i="5"/>
  <c r="AC55" i="5"/>
  <c r="AC54" i="5"/>
  <c r="AC53" i="5"/>
  <c r="AC52" i="5"/>
  <c r="AC41" i="5"/>
  <c r="AC40" i="5"/>
  <c r="AC39" i="5"/>
  <c r="AC38" i="5"/>
  <c r="AC37" i="5"/>
  <c r="I32" i="2"/>
  <c r="I31" i="2"/>
  <c r="H30" i="2"/>
  <c r="G30" i="2"/>
  <c r="F30" i="2"/>
  <c r="E30" i="2"/>
  <c r="D30" i="2"/>
  <c r="C30" i="2"/>
  <c r="B30" i="2"/>
  <c r="X29" i="2"/>
  <c r="I29" i="2"/>
  <c r="X28" i="2"/>
  <c r="I28" i="2"/>
  <c r="X27" i="2"/>
  <c r="I27" i="2"/>
  <c r="X26" i="2"/>
  <c r="H26" i="2"/>
  <c r="G26" i="2"/>
  <c r="F26" i="2"/>
  <c r="E26" i="2"/>
  <c r="D26" i="2"/>
  <c r="C26" i="2"/>
  <c r="B26" i="2"/>
  <c r="I26" i="2"/>
  <c r="X25" i="2"/>
  <c r="I25" i="2"/>
  <c r="X24" i="2"/>
  <c r="I24" i="2"/>
  <c r="X23" i="2"/>
  <c r="H23" i="2"/>
  <c r="G23" i="2"/>
  <c r="F23" i="2"/>
  <c r="E23" i="2"/>
  <c r="D23" i="2"/>
  <c r="C23" i="2"/>
  <c r="B23" i="2"/>
  <c r="I23" i="2"/>
  <c r="X22" i="2"/>
  <c r="H22" i="2"/>
  <c r="G22" i="2"/>
  <c r="F22" i="2"/>
  <c r="E22" i="2"/>
  <c r="D22" i="2"/>
  <c r="C22" i="2"/>
  <c r="B22" i="2"/>
  <c r="I22" i="2"/>
  <c r="X21" i="2"/>
  <c r="I21" i="2"/>
  <c r="X20" i="2"/>
  <c r="I20" i="2"/>
  <c r="H20" i="2"/>
  <c r="G20" i="2"/>
  <c r="F20" i="2"/>
  <c r="E20" i="2"/>
  <c r="D20" i="2"/>
  <c r="C20" i="2"/>
  <c r="B20" i="2"/>
  <c r="X19" i="2"/>
  <c r="H19" i="2"/>
  <c r="G19" i="2"/>
  <c r="F19" i="2"/>
  <c r="E19" i="2"/>
  <c r="D19" i="2"/>
  <c r="C19" i="2"/>
  <c r="B19" i="2"/>
  <c r="I19" i="2"/>
  <c r="X18" i="2"/>
  <c r="X17" i="2"/>
  <c r="X16" i="2"/>
  <c r="H16" i="2"/>
  <c r="H18" i="2"/>
  <c r="G16" i="2"/>
  <c r="G18" i="2"/>
  <c r="F16" i="2"/>
  <c r="F18" i="2"/>
  <c r="E16" i="2"/>
  <c r="E18" i="2"/>
  <c r="D16" i="2"/>
  <c r="D18" i="2"/>
  <c r="C16" i="2"/>
  <c r="C18" i="2"/>
  <c r="B16" i="2"/>
  <c r="X15" i="2"/>
  <c r="H15" i="2"/>
  <c r="G15" i="2"/>
  <c r="F15" i="2"/>
  <c r="E15" i="2"/>
  <c r="D15" i="2"/>
  <c r="C15" i="2"/>
  <c r="B15" i="2"/>
  <c r="I15" i="2"/>
  <c r="X14" i="2"/>
  <c r="H14" i="2"/>
  <c r="G14" i="2"/>
  <c r="F14" i="2"/>
  <c r="E14" i="2"/>
  <c r="D14" i="2"/>
  <c r="C14" i="2"/>
  <c r="B14" i="2"/>
  <c r="I14" i="2"/>
  <c r="X13" i="2"/>
  <c r="H13" i="2"/>
  <c r="G13" i="2"/>
  <c r="F13" i="2"/>
  <c r="E13" i="2"/>
  <c r="D13" i="2"/>
  <c r="K13" i="2"/>
  <c r="C13" i="2"/>
  <c r="B13" i="2"/>
  <c r="I13" i="2"/>
  <c r="X12" i="2"/>
  <c r="H12" i="2"/>
  <c r="G12" i="2"/>
  <c r="F12" i="2"/>
  <c r="E12" i="2"/>
  <c r="D12" i="2"/>
  <c r="C12" i="2"/>
  <c r="B12" i="2"/>
  <c r="I12" i="2"/>
  <c r="X11" i="2"/>
  <c r="X10" i="2"/>
  <c r="B10" i="2"/>
  <c r="X9" i="2"/>
  <c r="X30" i="2"/>
  <c r="I9" i="2"/>
  <c r="E8" i="2"/>
  <c r="I8" i="2"/>
  <c r="H7" i="2"/>
  <c r="G7" i="2"/>
  <c r="F7" i="2"/>
  <c r="E7" i="2"/>
  <c r="D7" i="2"/>
  <c r="C7" i="2"/>
  <c r="B7" i="2"/>
  <c r="I7" i="2"/>
  <c r="H6" i="2"/>
  <c r="G6" i="2"/>
  <c r="F6" i="2"/>
  <c r="E6" i="2"/>
  <c r="D6" i="2"/>
  <c r="C6" i="2"/>
  <c r="B6" i="2"/>
  <c r="I6" i="2"/>
  <c r="Q5" i="2"/>
  <c r="R5" i="2"/>
  <c r="H5" i="2"/>
  <c r="G5" i="2"/>
  <c r="F5" i="2"/>
  <c r="E5" i="2"/>
  <c r="D5" i="2"/>
  <c r="C5" i="2"/>
  <c r="B5" i="2"/>
  <c r="I5" i="2"/>
  <c r="S5" i="2"/>
  <c r="N104" i="1"/>
  <c r="L104" i="1"/>
  <c r="H104" i="1"/>
  <c r="Q104" i="1"/>
  <c r="G104" i="1"/>
  <c r="AK104" i="1"/>
  <c r="AM104" i="1"/>
  <c r="P104" i="1"/>
  <c r="F104" i="1"/>
  <c r="AH104" i="1"/>
  <c r="AJ104" i="1"/>
  <c r="O104" i="1"/>
  <c r="D104" i="1"/>
  <c r="AB104" i="1"/>
  <c r="AD104" i="1"/>
  <c r="M104" i="1"/>
  <c r="B104" i="1"/>
  <c r="H103" i="1"/>
  <c r="Q103" i="1"/>
  <c r="G103" i="1"/>
  <c r="P103" i="1"/>
  <c r="F103" i="1"/>
  <c r="AH103" i="1"/>
  <c r="O103" i="1"/>
  <c r="D103" i="1"/>
  <c r="AB103" i="1"/>
  <c r="AD103" i="1"/>
  <c r="M103" i="1"/>
  <c r="B103" i="1"/>
  <c r="H102" i="1"/>
  <c r="Q102" i="1"/>
  <c r="G102" i="1"/>
  <c r="P102" i="1"/>
  <c r="F102" i="1"/>
  <c r="AH102" i="1"/>
  <c r="O102" i="1"/>
  <c r="D102" i="1"/>
  <c r="AB102" i="1"/>
  <c r="AD102" i="1"/>
  <c r="H101" i="1"/>
  <c r="Q101" i="1"/>
  <c r="G101" i="1"/>
  <c r="P101" i="1"/>
  <c r="F101" i="1"/>
  <c r="AH101" i="1"/>
  <c r="H100" i="1"/>
  <c r="Q100" i="1"/>
  <c r="G100" i="1"/>
  <c r="P100" i="1"/>
  <c r="F100" i="1"/>
  <c r="AH100" i="1"/>
  <c r="AJ100" i="1"/>
  <c r="H99" i="1"/>
  <c r="Q99" i="1"/>
  <c r="G99" i="1"/>
  <c r="F99" i="1"/>
  <c r="H98" i="1"/>
  <c r="Q98" i="1"/>
  <c r="G98" i="1"/>
  <c r="P98" i="1"/>
  <c r="F98" i="1"/>
  <c r="H97" i="1"/>
  <c r="AN97" i="1"/>
  <c r="AP97" i="1"/>
  <c r="Q97" i="1"/>
  <c r="G97" i="1"/>
  <c r="P97" i="1"/>
  <c r="F97" i="1"/>
  <c r="G96" i="1"/>
  <c r="P96" i="1"/>
  <c r="F96" i="1"/>
  <c r="G95" i="1"/>
  <c r="P95" i="1"/>
  <c r="F95" i="1"/>
  <c r="I94" i="1"/>
  <c r="G93" i="1"/>
  <c r="I93" i="1"/>
  <c r="I92" i="1"/>
  <c r="E91" i="1"/>
  <c r="I91" i="1"/>
  <c r="I90" i="1"/>
  <c r="I89" i="1"/>
  <c r="I88" i="1"/>
  <c r="I87" i="1"/>
  <c r="I86" i="1"/>
  <c r="I85" i="1"/>
  <c r="H84" i="1"/>
  <c r="G84" i="1"/>
  <c r="F84" i="1"/>
  <c r="E84" i="1"/>
  <c r="I84" i="1"/>
  <c r="G83" i="1"/>
  <c r="F83" i="1"/>
  <c r="I83" i="1"/>
  <c r="I82" i="1"/>
  <c r="F81" i="1"/>
  <c r="D81" i="1"/>
  <c r="I81" i="1"/>
  <c r="I80" i="1"/>
  <c r="I79" i="1"/>
  <c r="G78" i="1"/>
  <c r="F78" i="1"/>
  <c r="E78" i="1"/>
  <c r="D78" i="1"/>
  <c r="B78" i="1"/>
  <c r="I78" i="1"/>
  <c r="G77" i="1"/>
  <c r="F77" i="1"/>
  <c r="E77" i="1"/>
  <c r="D77" i="1"/>
  <c r="B77" i="1"/>
  <c r="I77" i="1"/>
  <c r="I76" i="1"/>
  <c r="H75" i="1"/>
  <c r="G75" i="1"/>
  <c r="F75" i="1"/>
  <c r="E75" i="1"/>
  <c r="D75" i="1"/>
  <c r="B75" i="1"/>
  <c r="I75" i="1"/>
  <c r="I74" i="1"/>
  <c r="I73" i="1"/>
  <c r="H72" i="1"/>
  <c r="G72" i="1"/>
  <c r="F72" i="1"/>
  <c r="E72" i="1"/>
  <c r="D72" i="1"/>
  <c r="B72" i="1"/>
  <c r="I72" i="1"/>
  <c r="H71" i="1"/>
  <c r="G71" i="1"/>
  <c r="F71" i="1"/>
  <c r="E71" i="1"/>
  <c r="D71" i="1"/>
  <c r="B71" i="1"/>
  <c r="I71" i="1"/>
  <c r="I70" i="1"/>
  <c r="H69" i="1"/>
  <c r="G69" i="1"/>
  <c r="F69" i="1"/>
  <c r="E69" i="1"/>
  <c r="D69" i="1"/>
  <c r="B69" i="1"/>
  <c r="I69" i="1"/>
  <c r="I68" i="1"/>
  <c r="I67" i="1"/>
  <c r="H66" i="1"/>
  <c r="G66" i="1"/>
  <c r="F66" i="1"/>
  <c r="E66" i="1"/>
  <c r="D66" i="1"/>
  <c r="B66" i="1"/>
  <c r="I66" i="1"/>
  <c r="H65" i="1"/>
  <c r="F65" i="1"/>
  <c r="E65" i="1"/>
  <c r="D65" i="1"/>
  <c r="B65" i="1"/>
  <c r="I65" i="1"/>
  <c r="I64" i="1"/>
  <c r="H63" i="1"/>
  <c r="G63" i="1"/>
  <c r="E63" i="1"/>
  <c r="D63" i="1"/>
  <c r="B63" i="1"/>
  <c r="I63" i="1"/>
  <c r="AR62" i="1"/>
  <c r="AH62" i="1"/>
  <c r="Y62" i="1"/>
  <c r="H62" i="1"/>
  <c r="AN62" i="1"/>
  <c r="G62" i="1"/>
  <c r="AK62" i="1"/>
  <c r="AM62" i="1"/>
  <c r="E62" i="1"/>
  <c r="AE62" i="1"/>
  <c r="AG62" i="1"/>
  <c r="D62" i="1"/>
  <c r="AB62" i="1"/>
  <c r="B62" i="1"/>
  <c r="AR61" i="1"/>
  <c r="AH61" i="1"/>
  <c r="AB61" i="1"/>
  <c r="Y61" i="1"/>
  <c r="H61" i="1"/>
  <c r="AN61" i="1"/>
  <c r="G61" i="1"/>
  <c r="AK61" i="1"/>
  <c r="AM61" i="1"/>
  <c r="E61" i="1"/>
  <c r="AE61" i="1"/>
  <c r="AG61" i="1"/>
  <c r="B61" i="1"/>
  <c r="AR60" i="1"/>
  <c r="AN60" i="1"/>
  <c r="AH60" i="1"/>
  <c r="Y60" i="1"/>
  <c r="AA60" i="1"/>
  <c r="G60" i="1"/>
  <c r="AK60" i="1"/>
  <c r="AM60" i="1"/>
  <c r="E60" i="1"/>
  <c r="AE60" i="1"/>
  <c r="AG60" i="1"/>
  <c r="D60" i="1"/>
  <c r="AB60" i="1"/>
  <c r="AD60" i="1"/>
  <c r="B60" i="1"/>
  <c r="AR59" i="1"/>
  <c r="AN59" i="1"/>
  <c r="AK59" i="1"/>
  <c r="AM59" i="1"/>
  <c r="AH59" i="1"/>
  <c r="AJ59" i="1"/>
  <c r="AE59" i="1"/>
  <c r="AG59" i="1"/>
  <c r="AB59" i="1"/>
  <c r="Y59" i="1"/>
  <c r="B59" i="1"/>
  <c r="AR58" i="1"/>
  <c r="AN58" i="1"/>
  <c r="AK58" i="1"/>
  <c r="AM58" i="1"/>
  <c r="AH58" i="1"/>
  <c r="AE58" i="1"/>
  <c r="AG58" i="1"/>
  <c r="AB58" i="1"/>
  <c r="Y58" i="1"/>
  <c r="V58" i="1"/>
  <c r="I58" i="1"/>
  <c r="AQ58" i="1"/>
  <c r="AH57" i="1"/>
  <c r="H57" i="1"/>
  <c r="AN57" i="1"/>
  <c r="G57" i="1"/>
  <c r="AK57" i="1"/>
  <c r="AM57" i="1"/>
  <c r="E57" i="1"/>
  <c r="D57" i="1"/>
  <c r="AB57" i="1"/>
  <c r="AD57" i="1"/>
  <c r="B57" i="1"/>
  <c r="AH56" i="1"/>
  <c r="AB56" i="1"/>
  <c r="Y56" i="1"/>
  <c r="AA56" i="1"/>
  <c r="H56" i="1"/>
  <c r="AN56" i="1"/>
  <c r="G56" i="1"/>
  <c r="AK56" i="1"/>
  <c r="AM56" i="1"/>
  <c r="E56" i="1"/>
  <c r="AE56" i="1"/>
  <c r="AG56" i="1"/>
  <c r="B56" i="1"/>
  <c r="AK55" i="1"/>
  <c r="AM55" i="1"/>
  <c r="AM54" i="1"/>
  <c r="AK53" i="1"/>
  <c r="AM53" i="1"/>
  <c r="AH53" i="1"/>
  <c r="AB53" i="1"/>
  <c r="AD53" i="1"/>
  <c r="Y53" i="1"/>
  <c r="Z53" i="1"/>
  <c r="AA53" i="1"/>
  <c r="H53" i="1"/>
  <c r="AN53" i="1"/>
  <c r="E53" i="1"/>
  <c r="AE53" i="1"/>
  <c r="AG53" i="1"/>
  <c r="B53" i="1"/>
  <c r="AK52" i="1"/>
  <c r="Y52" i="1"/>
  <c r="Z52" i="1"/>
  <c r="AA52" i="1"/>
  <c r="H52" i="1"/>
  <c r="AN52" i="1"/>
  <c r="AO52" i="1"/>
  <c r="AP52" i="1"/>
  <c r="F52" i="1"/>
  <c r="AH52" i="1"/>
  <c r="AI52" i="1"/>
  <c r="AJ52" i="1"/>
  <c r="E52" i="1"/>
  <c r="AE52" i="1"/>
  <c r="AG52" i="1"/>
  <c r="D52" i="1"/>
  <c r="AB52" i="1"/>
  <c r="AC52" i="1"/>
  <c r="AD52" i="1"/>
  <c r="B52" i="1"/>
  <c r="AR51" i="1"/>
  <c r="H51" i="1"/>
  <c r="AN51" i="1"/>
  <c r="G51" i="1"/>
  <c r="AK51" i="1"/>
  <c r="AM51" i="1"/>
  <c r="F51" i="1"/>
  <c r="AH51" i="1"/>
  <c r="AJ51" i="1"/>
  <c r="E51" i="1"/>
  <c r="AE51" i="1"/>
  <c r="AG51" i="1"/>
  <c r="D51" i="1"/>
  <c r="AB51" i="1"/>
  <c r="AD51" i="1"/>
  <c r="C51" i="1"/>
  <c r="Y51" i="1"/>
  <c r="AA51" i="1"/>
  <c r="B51" i="1"/>
  <c r="H50" i="1"/>
  <c r="AN50" i="1"/>
  <c r="G50" i="1"/>
  <c r="AK50" i="1"/>
  <c r="AM50" i="1"/>
  <c r="F50" i="1"/>
  <c r="AH50" i="1"/>
  <c r="AJ50" i="1"/>
  <c r="E50" i="1"/>
  <c r="AE50" i="1"/>
  <c r="AG50" i="1"/>
  <c r="D50" i="1"/>
  <c r="AB50" i="1"/>
  <c r="AD50" i="1"/>
  <c r="C50" i="1"/>
  <c r="Y50" i="1"/>
  <c r="Z50" i="1"/>
  <c r="B50" i="1"/>
  <c r="AR49" i="1"/>
  <c r="Y49" i="1"/>
  <c r="AA49" i="1"/>
  <c r="H49" i="1"/>
  <c r="AN49" i="1"/>
  <c r="G49" i="1"/>
  <c r="AK49" i="1"/>
  <c r="AM49" i="1"/>
  <c r="F49" i="1"/>
  <c r="AH49" i="1"/>
  <c r="AJ49" i="1"/>
  <c r="E49" i="1"/>
  <c r="AE49" i="1"/>
  <c r="AG49" i="1"/>
  <c r="D49" i="1"/>
  <c r="AB49" i="1"/>
  <c r="AD49" i="1"/>
  <c r="B49" i="1"/>
  <c r="AR48" i="1"/>
  <c r="AN48" i="1"/>
  <c r="AK48" i="1"/>
  <c r="AM48" i="1"/>
  <c r="AB48" i="1"/>
  <c r="AD48" i="1"/>
  <c r="Y48" i="1"/>
  <c r="AA48" i="1"/>
  <c r="F48" i="1"/>
  <c r="AH48" i="1"/>
  <c r="AJ48" i="1"/>
  <c r="E48" i="1"/>
  <c r="AE48" i="1"/>
  <c r="AG48" i="1"/>
  <c r="B48" i="1"/>
  <c r="Y47" i="1"/>
  <c r="AA47" i="1"/>
  <c r="H47" i="1"/>
  <c r="AN47" i="1"/>
  <c r="G47" i="1"/>
  <c r="AK47" i="1"/>
  <c r="AM47" i="1"/>
  <c r="F47" i="1"/>
  <c r="AH47" i="1"/>
  <c r="AJ47" i="1"/>
  <c r="E47" i="1"/>
  <c r="AE47" i="1"/>
  <c r="AG47" i="1"/>
  <c r="D47" i="1"/>
  <c r="B47" i="1"/>
  <c r="I47" i="1"/>
  <c r="AQ47" i="1"/>
  <c r="H46" i="1"/>
  <c r="AN46" i="1"/>
  <c r="AP46" i="1"/>
  <c r="G46" i="1"/>
  <c r="AK46" i="1"/>
  <c r="AM46" i="1"/>
  <c r="F46" i="1"/>
  <c r="AH46" i="1"/>
  <c r="AJ46" i="1"/>
  <c r="E46" i="1"/>
  <c r="AE46" i="1"/>
  <c r="AG46" i="1"/>
  <c r="D46" i="1"/>
  <c r="AB46" i="1"/>
  <c r="C46" i="1"/>
  <c r="Y46" i="1"/>
  <c r="AA46" i="1"/>
  <c r="B46" i="1"/>
  <c r="AR45" i="1"/>
  <c r="AN45" i="1"/>
  <c r="AP45" i="1"/>
  <c r="AK45" i="1"/>
  <c r="AM45" i="1"/>
  <c r="Y45" i="1"/>
  <c r="AA45" i="1"/>
  <c r="F45" i="1"/>
  <c r="AH45" i="1"/>
  <c r="AJ45" i="1"/>
  <c r="E45" i="1"/>
  <c r="AE45" i="1"/>
  <c r="D45" i="1"/>
  <c r="AB45" i="1"/>
  <c r="AD45" i="1"/>
  <c r="B45" i="1"/>
  <c r="AR44" i="1"/>
  <c r="AN44" i="1"/>
  <c r="Y44" i="1"/>
  <c r="AA44" i="1"/>
  <c r="G44" i="1"/>
  <c r="AK44" i="1"/>
  <c r="AM44" i="1"/>
  <c r="F44" i="1"/>
  <c r="AH44" i="1"/>
  <c r="AJ44" i="1"/>
  <c r="E44" i="1"/>
  <c r="AE44" i="1"/>
  <c r="AG44" i="1"/>
  <c r="D44" i="1"/>
  <c r="AB44" i="1"/>
  <c r="AD44" i="1"/>
  <c r="B44" i="1"/>
  <c r="AR43" i="1"/>
  <c r="Y43" i="1"/>
  <c r="AA43" i="1"/>
  <c r="H43" i="1"/>
  <c r="AN43" i="1"/>
  <c r="G43" i="1"/>
  <c r="AK43" i="1"/>
  <c r="AM43" i="1"/>
  <c r="F43" i="1"/>
  <c r="AH43" i="1"/>
  <c r="AJ43" i="1"/>
  <c r="E43" i="1"/>
  <c r="AE43" i="1"/>
  <c r="AG43" i="1"/>
  <c r="D43" i="1"/>
  <c r="AB43" i="1"/>
  <c r="AD43" i="1"/>
  <c r="B43" i="1"/>
  <c r="AR42" i="1"/>
  <c r="Y42" i="1"/>
  <c r="AA42" i="1"/>
  <c r="H42" i="1"/>
  <c r="AN42" i="1"/>
  <c r="G42" i="1"/>
  <c r="AK42" i="1"/>
  <c r="AM42" i="1"/>
  <c r="F42" i="1"/>
  <c r="AH42" i="1"/>
  <c r="AJ42" i="1"/>
  <c r="E42" i="1"/>
  <c r="AE42" i="1"/>
  <c r="D42" i="1"/>
  <c r="AB42" i="1"/>
  <c r="AD42" i="1"/>
  <c r="B42" i="1"/>
  <c r="AR41" i="1"/>
  <c r="Y41" i="1"/>
  <c r="H41" i="1"/>
  <c r="AN41" i="1"/>
  <c r="G41" i="1"/>
  <c r="AK41" i="1"/>
  <c r="F41" i="1"/>
  <c r="AH41" i="1"/>
  <c r="AJ41" i="1"/>
  <c r="E41" i="1"/>
  <c r="AE41" i="1"/>
  <c r="AG41" i="1"/>
  <c r="D41" i="1"/>
  <c r="AB41" i="1"/>
  <c r="B41" i="1"/>
  <c r="AR40" i="1"/>
  <c r="Y40" i="1"/>
  <c r="H40" i="1"/>
  <c r="AN40" i="1"/>
  <c r="AP40" i="1"/>
  <c r="G40" i="1"/>
  <c r="AK40" i="1"/>
  <c r="F40" i="1"/>
  <c r="AH40" i="1"/>
  <c r="AJ40" i="1"/>
  <c r="E40" i="1"/>
  <c r="AE40" i="1"/>
  <c r="D40" i="1"/>
  <c r="AB40" i="1"/>
  <c r="B40" i="1"/>
  <c r="AR39" i="1"/>
  <c r="Y39" i="1"/>
  <c r="H39" i="1"/>
  <c r="AN39" i="1"/>
  <c r="G39" i="1"/>
  <c r="AK39" i="1"/>
  <c r="F39" i="1"/>
  <c r="AH39" i="1"/>
  <c r="E39" i="1"/>
  <c r="AE39" i="1"/>
  <c r="D39" i="1"/>
  <c r="AB39" i="1"/>
  <c r="B39" i="1"/>
  <c r="AR38" i="1"/>
  <c r="H38" i="1"/>
  <c r="AN38" i="1"/>
  <c r="G38" i="1"/>
  <c r="AK38" i="1"/>
  <c r="F38" i="1"/>
  <c r="AH38" i="1"/>
  <c r="E38" i="1"/>
  <c r="AE38" i="1"/>
  <c r="D38" i="1"/>
  <c r="AB38" i="1"/>
  <c r="C38" i="1"/>
  <c r="Y38" i="1"/>
  <c r="B38" i="1"/>
  <c r="AR37" i="1"/>
  <c r="AB37" i="1"/>
  <c r="Y37" i="1"/>
  <c r="H37" i="1"/>
  <c r="AN37" i="1"/>
  <c r="G37" i="1"/>
  <c r="AK37" i="1"/>
  <c r="F37" i="1"/>
  <c r="AH37" i="1"/>
  <c r="E37" i="1"/>
  <c r="AE37" i="1"/>
  <c r="B37" i="1"/>
  <c r="AR36" i="1"/>
  <c r="H36" i="1"/>
  <c r="AN36" i="1"/>
  <c r="G36" i="1"/>
  <c r="AK36" i="1"/>
  <c r="F36" i="1"/>
  <c r="AH36" i="1"/>
  <c r="E36" i="1"/>
  <c r="AE36" i="1"/>
  <c r="D36" i="1"/>
  <c r="AB36" i="1"/>
  <c r="C36" i="1"/>
  <c r="Y36" i="1"/>
  <c r="B36" i="1"/>
  <c r="AE35" i="1"/>
  <c r="Y35" i="1"/>
  <c r="H35" i="1"/>
  <c r="AN35" i="1"/>
  <c r="G35" i="1"/>
  <c r="AK35" i="1"/>
  <c r="F35" i="1"/>
  <c r="AH35" i="1"/>
  <c r="D35" i="1"/>
  <c r="AB35" i="1"/>
  <c r="B35" i="1"/>
  <c r="Y34" i="1"/>
  <c r="H34" i="1"/>
  <c r="AN34" i="1"/>
  <c r="G34" i="1"/>
  <c r="AK34" i="1"/>
  <c r="F34" i="1"/>
  <c r="AH34" i="1"/>
  <c r="E34" i="1"/>
  <c r="AE34" i="1"/>
  <c r="D34" i="1"/>
  <c r="AB34" i="1"/>
  <c r="B34" i="1"/>
  <c r="AN33" i="1"/>
  <c r="AE33" i="1"/>
  <c r="AB33" i="1"/>
  <c r="Y33" i="1"/>
  <c r="G33" i="1"/>
  <c r="AK33" i="1"/>
  <c r="F33" i="1"/>
  <c r="AH33" i="1"/>
  <c r="B33" i="1"/>
  <c r="AN32" i="1"/>
  <c r="AK32" i="1"/>
  <c r="AH32" i="1"/>
  <c r="AE32" i="1"/>
  <c r="AB32" i="1"/>
  <c r="C32" i="1"/>
  <c r="Y32" i="1"/>
  <c r="B32" i="1"/>
  <c r="AN31" i="1"/>
  <c r="AK31" i="1"/>
  <c r="AH31" i="1"/>
  <c r="AE31" i="1"/>
  <c r="AB31" i="1"/>
  <c r="V31" i="1"/>
  <c r="C31" i="1"/>
  <c r="H30" i="1"/>
  <c r="AN30" i="1"/>
  <c r="G30" i="1"/>
  <c r="AK30" i="1"/>
  <c r="F30" i="1"/>
  <c r="AH30" i="1"/>
  <c r="E30" i="1"/>
  <c r="AE30" i="1"/>
  <c r="D30" i="1"/>
  <c r="AB30" i="1"/>
  <c r="C30" i="1"/>
  <c r="Y30" i="1"/>
  <c r="B30" i="1"/>
  <c r="AN29" i="1"/>
  <c r="AK29" i="1"/>
  <c r="AH29" i="1"/>
  <c r="Y29" i="1"/>
  <c r="E29" i="1"/>
  <c r="AE29" i="1"/>
  <c r="D29" i="1"/>
  <c r="AB29" i="1"/>
  <c r="B29" i="1"/>
  <c r="Y28" i="1"/>
  <c r="H28" i="1"/>
  <c r="AN28" i="1"/>
  <c r="G28" i="1"/>
  <c r="AK28" i="1"/>
  <c r="F28" i="1"/>
  <c r="AH28" i="1"/>
  <c r="E28" i="1"/>
  <c r="AE28" i="1"/>
  <c r="D28" i="1"/>
  <c r="AB28" i="1"/>
  <c r="B28" i="1"/>
  <c r="AH27" i="1"/>
  <c r="Y27" i="1"/>
  <c r="H27" i="1"/>
  <c r="AN27" i="1"/>
  <c r="G27" i="1"/>
  <c r="AK27" i="1"/>
  <c r="E27" i="1"/>
  <c r="AE27" i="1"/>
  <c r="D27" i="1"/>
  <c r="B27" i="1"/>
  <c r="V27" i="1"/>
  <c r="AH26" i="1"/>
  <c r="Y26" i="1"/>
  <c r="H26" i="1"/>
  <c r="AN26" i="1"/>
  <c r="G26" i="1"/>
  <c r="AK26" i="1"/>
  <c r="E26" i="1"/>
  <c r="AE26" i="1"/>
  <c r="D26" i="1"/>
  <c r="AB26" i="1"/>
  <c r="B26" i="1"/>
  <c r="AH25" i="1"/>
  <c r="H25" i="1"/>
  <c r="AN25" i="1"/>
  <c r="G25" i="1"/>
  <c r="AK25" i="1"/>
  <c r="E25" i="1"/>
  <c r="AE25" i="1"/>
  <c r="D25" i="1"/>
  <c r="AB25" i="1"/>
  <c r="C25" i="1"/>
  <c r="Y25" i="1"/>
  <c r="B25" i="1"/>
  <c r="AH24" i="1"/>
  <c r="H24" i="1"/>
  <c r="AN24" i="1"/>
  <c r="G24" i="1"/>
  <c r="AK24" i="1"/>
  <c r="E24" i="1"/>
  <c r="AE24" i="1"/>
  <c r="D24" i="1"/>
  <c r="AB24" i="1"/>
  <c r="C24" i="1"/>
  <c r="Y24" i="1"/>
  <c r="B24" i="1"/>
  <c r="AH23" i="1"/>
  <c r="R23" i="1"/>
  <c r="S23" i="1"/>
  <c r="H23" i="1"/>
  <c r="AN23" i="1"/>
  <c r="G23" i="1"/>
  <c r="AK23" i="1"/>
  <c r="E23" i="1"/>
  <c r="AE23" i="1"/>
  <c r="D23" i="1"/>
  <c r="AB23" i="1"/>
  <c r="C23" i="1"/>
  <c r="Y23" i="1"/>
  <c r="B23" i="1"/>
  <c r="AN22" i="1"/>
  <c r="AK22" i="1"/>
  <c r="AH22" i="1"/>
  <c r="Y22" i="1"/>
  <c r="V22" i="1"/>
  <c r="R22" i="1"/>
  <c r="S22" i="1"/>
  <c r="E22" i="1"/>
  <c r="AE22" i="1"/>
  <c r="D22" i="1"/>
  <c r="AH21" i="1"/>
  <c r="AB21" i="1"/>
  <c r="R21" i="1"/>
  <c r="S21" i="1"/>
  <c r="H21" i="1"/>
  <c r="AN21" i="1"/>
  <c r="G21" i="1"/>
  <c r="AK21" i="1"/>
  <c r="E21" i="1"/>
  <c r="AE21" i="1"/>
  <c r="C21" i="1"/>
  <c r="Y21" i="1"/>
  <c r="B21" i="1"/>
  <c r="AN20" i="1"/>
  <c r="AK20" i="1"/>
  <c r="AH20" i="1"/>
  <c r="AE20" i="1"/>
  <c r="AB20" i="1"/>
  <c r="Y20" i="1"/>
  <c r="V20" i="1"/>
  <c r="R20" i="1"/>
  <c r="S20" i="1"/>
  <c r="I20" i="1"/>
  <c r="R19" i="1"/>
  <c r="S19" i="1"/>
  <c r="H19" i="1"/>
  <c r="AN19" i="1"/>
  <c r="G19" i="1"/>
  <c r="AK19" i="1"/>
  <c r="F19" i="1"/>
  <c r="AH19" i="1"/>
  <c r="E19" i="1"/>
  <c r="AE19" i="1"/>
  <c r="D19" i="1"/>
  <c r="AB19" i="1"/>
  <c r="C19" i="1"/>
  <c r="Y19" i="1"/>
  <c r="B19" i="1"/>
  <c r="AN18" i="1"/>
  <c r="AK18" i="1"/>
  <c r="AH18" i="1"/>
  <c r="AB18" i="1"/>
  <c r="Y18" i="1"/>
  <c r="R18" i="1"/>
  <c r="S18" i="1"/>
  <c r="E18" i="1"/>
  <c r="AE18" i="1"/>
  <c r="B18" i="1"/>
  <c r="AN17" i="1"/>
  <c r="AK17" i="1"/>
  <c r="AH17" i="1"/>
  <c r="R17" i="1"/>
  <c r="S17" i="1"/>
  <c r="E17" i="1"/>
  <c r="AE17" i="1"/>
  <c r="D17" i="1"/>
  <c r="AB17" i="1"/>
  <c r="C17" i="1"/>
  <c r="Y17" i="1"/>
  <c r="B17" i="1"/>
  <c r="AK16" i="1"/>
  <c r="R16" i="1"/>
  <c r="S16" i="1"/>
  <c r="H16" i="1"/>
  <c r="AN16" i="1"/>
  <c r="F16" i="1"/>
  <c r="AH16" i="1"/>
  <c r="E16" i="1"/>
  <c r="AE16" i="1"/>
  <c r="D16" i="1"/>
  <c r="AB16" i="1"/>
  <c r="C16" i="1"/>
  <c r="Y16" i="1"/>
  <c r="B16" i="1"/>
  <c r="AK15" i="1"/>
  <c r="AB15" i="1"/>
  <c r="R15" i="1"/>
  <c r="S15" i="1"/>
  <c r="H15" i="1"/>
  <c r="AN15" i="1"/>
  <c r="F15" i="1"/>
  <c r="AH15" i="1"/>
  <c r="E15" i="1"/>
  <c r="AE15" i="1"/>
  <c r="C15" i="1"/>
  <c r="B15" i="1"/>
  <c r="V15" i="1"/>
  <c r="AK14" i="1"/>
  <c r="R14" i="1"/>
  <c r="S14" i="1"/>
  <c r="H14" i="1"/>
  <c r="AN14" i="1"/>
  <c r="F14" i="1"/>
  <c r="AH14" i="1"/>
  <c r="E14" i="1"/>
  <c r="AE14" i="1"/>
  <c r="D14" i="1"/>
  <c r="AB14" i="1"/>
  <c r="C14" i="1"/>
  <c r="Y14" i="1"/>
  <c r="B14" i="1"/>
  <c r="AK13" i="1"/>
  <c r="AH13" i="1"/>
  <c r="AB13" i="1"/>
  <c r="Y13" i="1"/>
  <c r="V13" i="1"/>
  <c r="R13" i="1"/>
  <c r="S13" i="1"/>
  <c r="H13" i="1"/>
  <c r="AN13" i="1"/>
  <c r="E13" i="1"/>
  <c r="AK12" i="1"/>
  <c r="R12" i="1"/>
  <c r="S12" i="1"/>
  <c r="H12" i="1"/>
  <c r="AN12" i="1"/>
  <c r="F12" i="1"/>
  <c r="AH12" i="1"/>
  <c r="E12" i="1"/>
  <c r="AE12" i="1"/>
  <c r="D12" i="1"/>
  <c r="AB12" i="1"/>
  <c r="C12" i="1"/>
  <c r="Y12" i="1"/>
  <c r="B12" i="1"/>
  <c r="AK11" i="1"/>
  <c r="AB11" i="1"/>
  <c r="Y11" i="1"/>
  <c r="R11" i="1"/>
  <c r="S11" i="1"/>
  <c r="H11" i="1"/>
  <c r="AN11" i="1"/>
  <c r="F11" i="1"/>
  <c r="AH11" i="1"/>
  <c r="E11" i="1"/>
  <c r="AE11" i="1"/>
  <c r="B11" i="1"/>
  <c r="AN10" i="1"/>
  <c r="AK10" i="1"/>
  <c r="AH10" i="1"/>
  <c r="AE10" i="1"/>
  <c r="AB10" i="1"/>
  <c r="V10" i="1"/>
  <c r="R10" i="1"/>
  <c r="S10" i="1"/>
  <c r="C10" i="1"/>
  <c r="AN9" i="1"/>
  <c r="AK9" i="1"/>
  <c r="AE9" i="1"/>
  <c r="AB9" i="1"/>
  <c r="Y9" i="1"/>
  <c r="V9" i="1"/>
  <c r="R9" i="1"/>
  <c r="S9" i="1"/>
  <c r="F9" i="1"/>
  <c r="AN8" i="1"/>
  <c r="AK8" i="1"/>
  <c r="AH8" i="1"/>
  <c r="AE8" i="1"/>
  <c r="AB8" i="1"/>
  <c r="Y8" i="1"/>
  <c r="V8" i="1"/>
  <c r="R8" i="1"/>
  <c r="S8" i="1"/>
  <c r="I8" i="1"/>
  <c r="AN7" i="1"/>
  <c r="AK7" i="1"/>
  <c r="AH7" i="1"/>
  <c r="AE7" i="1"/>
  <c r="AB7" i="1"/>
  <c r="Y7" i="1"/>
  <c r="V7" i="1"/>
  <c r="R7" i="1"/>
  <c r="S7" i="1"/>
  <c r="I7" i="1"/>
  <c r="AN6" i="1"/>
  <c r="AK6" i="1"/>
  <c r="AH6" i="1"/>
  <c r="AE6" i="1"/>
  <c r="AB6" i="1"/>
  <c r="Y6" i="1"/>
  <c r="V6" i="1"/>
  <c r="Q6" i="1"/>
  <c r="M6" i="1"/>
  <c r="R6" i="1"/>
  <c r="S6" i="1"/>
  <c r="I6" i="1"/>
  <c r="AN5" i="1"/>
  <c r="AK5" i="1"/>
  <c r="AH5" i="1"/>
  <c r="AE5" i="1"/>
  <c r="AB5" i="1"/>
  <c r="Y5" i="1"/>
  <c r="V5" i="1"/>
  <c r="R5" i="1"/>
  <c r="S5" i="1"/>
  <c r="I5" i="1"/>
  <c r="AN4" i="1"/>
  <c r="AK4" i="1"/>
  <c r="AH4" i="1"/>
  <c r="AE4" i="1"/>
  <c r="AB4" i="1"/>
  <c r="V4" i="1"/>
  <c r="R4" i="1"/>
  <c r="S4" i="1"/>
  <c r="C4" i="1"/>
  <c r="Y4" i="1"/>
  <c r="I4" i="1"/>
  <c r="AQ5" i="1"/>
  <c r="T5" i="1"/>
  <c r="AQ6" i="1"/>
  <c r="T6" i="1"/>
  <c r="AQ7" i="1"/>
  <c r="T7" i="1"/>
  <c r="AQ8" i="1"/>
  <c r="T8" i="1"/>
  <c r="AH9" i="1"/>
  <c r="I9" i="1"/>
  <c r="Y10" i="1"/>
  <c r="I10" i="1"/>
  <c r="V11" i="1"/>
  <c r="I11" i="1"/>
  <c r="V12" i="1"/>
  <c r="I12" i="1"/>
  <c r="AE13" i="1"/>
  <c r="I13" i="1"/>
  <c r="V14" i="1"/>
  <c r="I14" i="1"/>
  <c r="Y15" i="1"/>
  <c r="I15" i="1"/>
  <c r="V16" i="1"/>
  <c r="I16" i="1"/>
  <c r="V17" i="1"/>
  <c r="I17" i="1"/>
  <c r="V18" i="1"/>
  <c r="I18" i="1"/>
  <c r="V19" i="1"/>
  <c r="I19" i="1"/>
  <c r="AQ20" i="1"/>
  <c r="T20" i="1"/>
  <c r="V21" i="1"/>
  <c r="I21" i="1"/>
  <c r="AB22" i="1"/>
  <c r="I22" i="1"/>
  <c r="V23" i="1"/>
  <c r="I23" i="1"/>
  <c r="V24" i="1"/>
  <c r="I24" i="1"/>
  <c r="V25" i="1"/>
  <c r="I25" i="1"/>
  <c r="V26" i="1"/>
  <c r="I26" i="1"/>
  <c r="AB27" i="1"/>
  <c r="I27" i="1"/>
  <c r="V28" i="1"/>
  <c r="I28" i="1"/>
  <c r="V29" i="1"/>
  <c r="I29" i="1"/>
  <c r="V30" i="1"/>
  <c r="I30" i="1"/>
  <c r="Y31" i="1"/>
  <c r="I31" i="1"/>
  <c r="V32" i="1"/>
  <c r="I32" i="1"/>
  <c r="V33" i="1"/>
  <c r="I33" i="1"/>
  <c r="V34" i="1"/>
  <c r="I34" i="1"/>
  <c r="V35" i="1"/>
  <c r="I35" i="1"/>
  <c r="V36" i="1"/>
  <c r="I36" i="1"/>
  <c r="V37" i="1"/>
  <c r="I37" i="1"/>
  <c r="V38" i="1"/>
  <c r="I38" i="1"/>
  <c r="V39" i="1"/>
  <c r="X39" i="1"/>
  <c r="I39" i="1"/>
  <c r="V40" i="1"/>
  <c r="X40" i="1"/>
  <c r="I40" i="1"/>
  <c r="V41" i="1"/>
  <c r="X41" i="1"/>
  <c r="I41" i="1"/>
  <c r="AQ41" i="1"/>
  <c r="AP41" i="1"/>
  <c r="AS41" i="1"/>
  <c r="V42" i="1"/>
  <c r="X42" i="1"/>
  <c r="I42" i="1"/>
  <c r="AQ42" i="1"/>
  <c r="AP42" i="1"/>
  <c r="AS42" i="1"/>
  <c r="V43" i="1"/>
  <c r="X43" i="1"/>
  <c r="I43" i="1"/>
  <c r="AQ43" i="1"/>
  <c r="AP43" i="1"/>
  <c r="AS43" i="1"/>
  <c r="V44" i="1"/>
  <c r="X44" i="1"/>
  <c r="I44" i="1"/>
  <c r="AQ44" i="1"/>
  <c r="AP44" i="1"/>
  <c r="AS44" i="1"/>
  <c r="V45" i="1"/>
  <c r="X45" i="1"/>
  <c r="I45" i="1"/>
  <c r="AQ45" i="1"/>
  <c r="AS45" i="1"/>
  <c r="V46" i="1"/>
  <c r="X46" i="1"/>
  <c r="I46" i="1"/>
  <c r="AQ46" i="1"/>
  <c r="AC46" i="1"/>
  <c r="AB47" i="1"/>
  <c r="V47" i="1"/>
  <c r="X47" i="1"/>
  <c r="V48" i="1"/>
  <c r="I48" i="1"/>
  <c r="AQ48" i="1"/>
  <c r="AS48" i="1"/>
  <c r="V49" i="1"/>
  <c r="I49" i="1"/>
  <c r="AQ49" i="1"/>
  <c r="AS49" i="1"/>
  <c r="V50" i="1"/>
  <c r="I50" i="1"/>
  <c r="AQ50" i="1"/>
  <c r="AR50" i="1"/>
  <c r="AS50" i="1"/>
  <c r="AA50" i="1"/>
  <c r="V51" i="1"/>
  <c r="I51" i="1"/>
  <c r="AQ51" i="1"/>
  <c r="AS51" i="1"/>
  <c r="V52" i="1"/>
  <c r="W52" i="1"/>
  <c r="I52" i="1"/>
  <c r="AQ52" i="1"/>
  <c r="V53" i="1"/>
  <c r="W53" i="1"/>
  <c r="I53" i="1"/>
  <c r="AQ53" i="1"/>
  <c r="V56" i="1"/>
  <c r="I56" i="1"/>
  <c r="AQ56" i="1"/>
  <c r="V57" i="1"/>
  <c r="W57" i="1"/>
  <c r="I57" i="1"/>
  <c r="AQ57" i="1"/>
  <c r="AE57" i="1"/>
  <c r="AG57" i="1"/>
  <c r="Y57" i="1"/>
  <c r="AA57" i="1"/>
  <c r="AS58" i="1"/>
  <c r="V59" i="1"/>
  <c r="X59" i="1"/>
  <c r="I59" i="1"/>
  <c r="AQ59" i="1"/>
  <c r="AS59" i="1"/>
  <c r="V60" i="1"/>
  <c r="X60" i="1"/>
  <c r="I60" i="1"/>
  <c r="AQ60" i="1"/>
  <c r="AS60" i="1"/>
  <c r="V61" i="1"/>
  <c r="I61" i="1"/>
  <c r="AQ61" i="1"/>
  <c r="AS61" i="1"/>
  <c r="V62" i="1"/>
  <c r="I62" i="1"/>
  <c r="AQ62" i="1"/>
  <c r="AS62" i="1"/>
  <c r="O95" i="1"/>
  <c r="I95" i="1"/>
  <c r="O96" i="1"/>
  <c r="I96" i="1"/>
  <c r="O97" i="1"/>
  <c r="I97" i="1"/>
  <c r="O98" i="1"/>
  <c r="I98" i="1"/>
  <c r="O99" i="1"/>
  <c r="I99" i="1"/>
  <c r="AK99" i="1"/>
  <c r="AM99" i="1"/>
  <c r="P99" i="1"/>
  <c r="O100" i="1"/>
  <c r="I100" i="1"/>
  <c r="O101" i="1"/>
  <c r="I101" i="1"/>
  <c r="M102" i="1"/>
  <c r="I102" i="1"/>
  <c r="K103" i="1"/>
  <c r="I103" i="1"/>
  <c r="K104" i="1"/>
  <c r="I104" i="1"/>
  <c r="I11" i="2"/>
  <c r="I10" i="2"/>
  <c r="B18" i="2"/>
  <c r="I18" i="2"/>
  <c r="K18" i="2"/>
  <c r="I16" i="2"/>
  <c r="I3" i="6"/>
  <c r="H2" i="6"/>
  <c r="P101" i="6"/>
  <c r="P100" i="6"/>
  <c r="P99" i="6"/>
  <c r="P98" i="6"/>
  <c r="P97"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4" i="6"/>
  <c r="P63" i="6"/>
  <c r="P62" i="6"/>
  <c r="P61" i="6"/>
  <c r="P60" i="6"/>
  <c r="P59" i="6"/>
  <c r="P58" i="6"/>
  <c r="P57" i="6"/>
  <c r="P56" i="6"/>
  <c r="P55" i="6"/>
  <c r="P54" i="6"/>
  <c r="P53" i="6"/>
  <c r="P52" i="6"/>
  <c r="P51" i="6"/>
  <c r="P50" i="6"/>
  <c r="P49" i="6"/>
  <c r="P48" i="6"/>
  <c r="P47" i="6"/>
  <c r="P46" i="6"/>
  <c r="P45" i="6"/>
  <c r="P44" i="6"/>
  <c r="P43" i="6"/>
  <c r="P42" i="6"/>
  <c r="P41" i="6"/>
  <c r="P40" i="6"/>
  <c r="P39" i="6"/>
  <c r="P38" i="6"/>
  <c r="P37" i="6"/>
  <c r="P36" i="6"/>
  <c r="P35" i="6"/>
  <c r="P34" i="6"/>
  <c r="P33" i="6"/>
  <c r="P32" i="6"/>
  <c r="P31" i="6"/>
  <c r="P30" i="6"/>
  <c r="P29" i="6"/>
  <c r="P28" i="6"/>
  <c r="P27" i="6"/>
  <c r="P26" i="6"/>
  <c r="P25" i="6"/>
  <c r="P24" i="6"/>
  <c r="P23" i="6"/>
  <c r="P22" i="6"/>
  <c r="P21" i="6"/>
  <c r="P20" i="6"/>
  <c r="P19" i="6"/>
  <c r="P18" i="6"/>
  <c r="P17" i="6"/>
  <c r="P16" i="6"/>
  <c r="P15" i="6"/>
  <c r="P14" i="6"/>
  <c r="P13" i="6"/>
  <c r="P12" i="6"/>
  <c r="P11" i="6"/>
  <c r="P10" i="6"/>
  <c r="P9" i="6"/>
  <c r="P8" i="6"/>
  <c r="P7" i="6"/>
  <c r="P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K9" i="8"/>
  <c r="N12" i="8"/>
  <c r="N13" i="8"/>
  <c r="N15" i="8"/>
  <c r="N18" i="8"/>
  <c r="N19" i="8"/>
  <c r="N20" i="8"/>
  <c r="E29" i="8"/>
  <c r="E30" i="8"/>
  <c r="E28" i="8"/>
  <c r="O34" i="8"/>
  <c r="P34" i="8"/>
  <c r="N34" i="8"/>
  <c r="O35" i="8"/>
  <c r="P35" i="8"/>
  <c r="N35" i="8"/>
  <c r="O36" i="8"/>
  <c r="P36" i="8"/>
  <c r="N36" i="8"/>
  <c r="O38" i="8"/>
  <c r="P38" i="8"/>
  <c r="N38" i="8"/>
  <c r="O39" i="8"/>
  <c r="P39" i="8"/>
  <c r="N39" i="8"/>
  <c r="O40" i="8"/>
  <c r="P40" i="8"/>
  <c r="N40" i="8"/>
  <c r="O41" i="8"/>
  <c r="P41" i="8"/>
  <c r="N41" i="8"/>
  <c r="O42" i="8"/>
  <c r="P42" i="8"/>
  <c r="N42" i="8"/>
  <c r="O43" i="8"/>
  <c r="P43" i="8"/>
  <c r="N43" i="8"/>
  <c r="P44" i="8"/>
  <c r="N44" i="8"/>
  <c r="O45" i="8"/>
  <c r="P45" i="8"/>
  <c r="N45" i="8"/>
  <c r="R49" i="8"/>
  <c r="N49" i="8"/>
  <c r="Q49" i="8"/>
  <c r="R50" i="8"/>
  <c r="N50" i="8"/>
  <c r="Q50" i="8"/>
  <c r="R51" i="8"/>
  <c r="N51" i="8"/>
  <c r="Q51" i="8"/>
  <c r="R52" i="8"/>
  <c r="N52" i="8"/>
  <c r="Q52" i="8"/>
  <c r="R53" i="8"/>
  <c r="N53" i="8"/>
  <c r="Q53" i="8"/>
  <c r="R54" i="8"/>
  <c r="N54" i="8"/>
  <c r="Q54" i="8"/>
  <c r="R55" i="8"/>
  <c r="N55" i="8"/>
  <c r="Q55" i="8"/>
  <c r="R56" i="8"/>
  <c r="N56" i="8"/>
  <c r="Q56" i="8"/>
  <c r="R57" i="8"/>
  <c r="N57" i="8"/>
  <c r="Q57" i="8"/>
  <c r="R58" i="8"/>
  <c r="N58" i="8"/>
  <c r="Q58" i="8"/>
  <c r="R59" i="8"/>
  <c r="N59" i="8"/>
  <c r="Q59" i="8"/>
  <c r="R60" i="8"/>
  <c r="N60" i="8"/>
  <c r="Q60" i="8"/>
  <c r="R61" i="8"/>
  <c r="N61" i="8"/>
  <c r="Q61" i="8"/>
  <c r="R62" i="8"/>
  <c r="N62" i="8"/>
  <c r="Q62" i="8"/>
  <c r="R63" i="8"/>
  <c r="N63" i="8"/>
  <c r="Q63" i="8"/>
  <c r="R64" i="8"/>
  <c r="N64" i="8"/>
  <c r="Q64" i="8"/>
  <c r="R65" i="8"/>
  <c r="N65" i="8"/>
  <c r="Q65" i="8"/>
  <c r="R66" i="8"/>
  <c r="N66" i="8"/>
  <c r="Q66" i="8"/>
  <c r="R67" i="8"/>
  <c r="N67" i="8"/>
  <c r="Q67" i="8"/>
  <c r="R68" i="8"/>
  <c r="N68" i="8"/>
  <c r="Q68" i="8"/>
  <c r="R69" i="8"/>
  <c r="N69" i="8"/>
  <c r="Q69" i="8"/>
  <c r="R70" i="8"/>
  <c r="N70" i="8"/>
  <c r="Q70" i="8"/>
  <c r="R71" i="8"/>
  <c r="N71" i="8"/>
  <c r="Q71" i="8"/>
  <c r="R72" i="8"/>
  <c r="N72" i="8"/>
  <c r="Q72" i="8"/>
  <c r="R73" i="8"/>
  <c r="N73" i="8"/>
  <c r="Q73" i="8"/>
  <c r="R74" i="8"/>
  <c r="N74" i="8"/>
  <c r="Q74" i="8"/>
  <c r="R75" i="8"/>
  <c r="N75" i="8"/>
  <c r="Q75" i="8"/>
  <c r="R76" i="8"/>
  <c r="N76" i="8"/>
  <c r="Q76" i="8"/>
  <c r="R77" i="8"/>
  <c r="N77" i="8"/>
  <c r="Q77" i="8"/>
  <c r="R78" i="8"/>
  <c r="N78" i="8"/>
  <c r="Q78" i="8"/>
  <c r="R79" i="8"/>
  <c r="N79" i="8"/>
  <c r="Q79" i="8"/>
  <c r="R80" i="8"/>
  <c r="N80" i="8"/>
  <c r="Q80" i="8"/>
  <c r="R81" i="8"/>
  <c r="N81" i="8"/>
  <c r="Q81" i="8"/>
  <c r="R82" i="8"/>
  <c r="N82" i="8"/>
  <c r="Q82" i="8"/>
  <c r="R83" i="8"/>
  <c r="N83" i="8"/>
  <c r="Q83" i="8"/>
  <c r="R84" i="8"/>
  <c r="N84" i="8"/>
  <c r="Q84" i="8"/>
  <c r="R85" i="8"/>
  <c r="N85" i="8"/>
  <c r="Q85" i="8"/>
  <c r="R86" i="8"/>
  <c r="N86" i="8"/>
  <c r="Q86" i="8"/>
  <c r="R87" i="8"/>
  <c r="N87" i="8"/>
  <c r="Q87" i="8"/>
  <c r="R88" i="8"/>
  <c r="N88" i="8"/>
  <c r="Q88" i="8"/>
  <c r="R89" i="8"/>
  <c r="N89" i="8"/>
  <c r="Q89" i="8"/>
  <c r="R90" i="8"/>
  <c r="N90" i="8"/>
  <c r="Q90" i="8"/>
  <c r="R91" i="8"/>
  <c r="N91" i="8"/>
  <c r="Q91" i="8"/>
  <c r="R92" i="8"/>
  <c r="N92" i="8"/>
  <c r="Q92" i="8"/>
  <c r="R93" i="8"/>
  <c r="N93" i="8"/>
  <c r="Q93" i="8"/>
  <c r="R94" i="8"/>
  <c r="N94" i="8"/>
  <c r="Q94" i="8"/>
  <c r="R95" i="8"/>
  <c r="N95" i="8"/>
  <c r="Q95" i="8"/>
  <c r="R96" i="8"/>
  <c r="N96" i="8"/>
  <c r="Q96" i="8"/>
  <c r="R97" i="8"/>
  <c r="N97" i="8"/>
  <c r="Q97" i="8"/>
  <c r="R98" i="8"/>
  <c r="N98" i="8"/>
  <c r="Q98" i="8"/>
  <c r="R99" i="8"/>
  <c r="N99" i="8"/>
  <c r="Q99" i="8"/>
  <c r="R100" i="8"/>
  <c r="N100" i="8"/>
  <c r="Q100" i="8"/>
  <c r="R101" i="8"/>
  <c r="N101" i="8"/>
  <c r="Q101" i="8"/>
  <c r="R102" i="8"/>
  <c r="N102" i="8"/>
  <c r="Q102" i="8"/>
  <c r="R103" i="8"/>
  <c r="N103" i="8"/>
  <c r="Q103" i="8"/>
  <c r="R104" i="8"/>
  <c r="N104" i="8"/>
  <c r="Q104" i="8"/>
  <c r="R106" i="8"/>
  <c r="N106" i="8"/>
  <c r="Q106" i="8"/>
  <c r="R107" i="8"/>
  <c r="N107" i="8"/>
  <c r="Q107" i="8"/>
  <c r="R108" i="8"/>
  <c r="N108" i="8"/>
  <c r="Q108" i="8"/>
  <c r="R109" i="8"/>
  <c r="N109" i="8"/>
  <c r="Q109" i="8"/>
  <c r="R110" i="8"/>
  <c r="N110" i="8"/>
  <c r="Q110" i="8"/>
  <c r="R111" i="8"/>
  <c r="N111" i="8"/>
  <c r="Q111" i="8"/>
  <c r="R112" i="8"/>
  <c r="N112" i="8"/>
  <c r="Q112" i="8"/>
  <c r="R113" i="8"/>
  <c r="N113" i="8"/>
  <c r="Q113" i="8"/>
  <c r="R114" i="8"/>
  <c r="N114" i="8"/>
  <c r="Q114" i="8"/>
  <c r="R115" i="8"/>
  <c r="N115" i="8"/>
  <c r="Q115" i="8"/>
  <c r="R116" i="8"/>
  <c r="N116" i="8"/>
  <c r="Q116" i="8"/>
  <c r="R117" i="8"/>
  <c r="N117" i="8"/>
  <c r="Q117" i="8"/>
  <c r="R118" i="8"/>
  <c r="N118" i="8"/>
  <c r="Q118" i="8"/>
  <c r="R119" i="8"/>
  <c r="N119" i="8"/>
  <c r="Q119" i="8"/>
  <c r="R120" i="8"/>
  <c r="N120" i="8"/>
  <c r="Q120" i="8"/>
  <c r="R121" i="8"/>
  <c r="N121" i="8"/>
  <c r="Q121" i="8"/>
  <c r="R122" i="8"/>
  <c r="N122" i="8"/>
  <c r="Q122" i="8"/>
  <c r="R123" i="8"/>
  <c r="N123" i="8"/>
  <c r="Q123" i="8"/>
  <c r="R124" i="8"/>
  <c r="N124" i="8"/>
  <c r="Q124" i="8"/>
  <c r="R125" i="8"/>
  <c r="N125" i="8"/>
  <c r="Q125" i="8"/>
  <c r="R126" i="8"/>
  <c r="N126" i="8"/>
  <c r="Q126" i="8"/>
  <c r="R127" i="8"/>
  <c r="N127" i="8"/>
  <c r="Q127" i="8"/>
  <c r="R128" i="8"/>
  <c r="N128" i="8"/>
  <c r="Q128" i="8"/>
  <c r="R129" i="8"/>
  <c r="N129" i="8"/>
  <c r="Q129" i="8"/>
  <c r="R130" i="8"/>
  <c r="N130" i="8"/>
  <c r="Q130" i="8"/>
  <c r="R131" i="8"/>
  <c r="N131" i="8"/>
  <c r="Q131" i="8"/>
  <c r="R132" i="8"/>
  <c r="N132" i="8"/>
  <c r="Q132" i="8"/>
  <c r="R133" i="8"/>
  <c r="N133" i="8"/>
  <c r="Q133" i="8"/>
  <c r="R134" i="8"/>
  <c r="N134" i="8"/>
  <c r="Q134" i="8"/>
  <c r="R135" i="8"/>
  <c r="N135" i="8"/>
  <c r="Q135" i="8"/>
  <c r="R136" i="8"/>
  <c r="N136" i="8"/>
  <c r="Q136" i="8"/>
  <c r="R137" i="8"/>
  <c r="N137" i="8"/>
  <c r="Q137" i="8"/>
  <c r="H99" i="14"/>
  <c r="R138" i="8"/>
  <c r="N138" i="8"/>
  <c r="Q138" i="8"/>
  <c r="R139" i="8"/>
  <c r="N139" i="8"/>
  <c r="Q139" i="8"/>
  <c r="R140" i="8"/>
  <c r="N140" i="8"/>
  <c r="Q140" i="8"/>
  <c r="R141" i="8"/>
  <c r="N141" i="8"/>
  <c r="Q141" i="8"/>
  <c r="R142" i="8"/>
  <c r="N142" i="8"/>
  <c r="Q142" i="8"/>
  <c r="R143" i="8"/>
  <c r="N143" i="8"/>
  <c r="Q143" i="8"/>
  <c r="R144" i="8"/>
  <c r="N144" i="8"/>
  <c r="Q144" i="8"/>
  <c r="R145" i="8"/>
  <c r="N145" i="8"/>
  <c r="Q145" i="8"/>
  <c r="R146" i="8"/>
  <c r="N146" i="8"/>
  <c r="Q146" i="8"/>
  <c r="R147" i="8"/>
  <c r="N147" i="8"/>
  <c r="O147" i="8"/>
  <c r="P147" i="8"/>
  <c r="R148" i="8"/>
  <c r="S148" i="8"/>
  <c r="S147" i="8"/>
  <c r="S146" i="8"/>
  <c r="S145" i="8"/>
  <c r="S144" i="8"/>
  <c r="S143" i="8"/>
  <c r="S142" i="8"/>
  <c r="S141" i="8"/>
  <c r="S140" i="8"/>
  <c r="S139" i="8"/>
  <c r="S138" i="8"/>
  <c r="S137" i="8"/>
  <c r="S136" i="8"/>
  <c r="S135" i="8"/>
  <c r="S134" i="8"/>
  <c r="S133" i="8"/>
  <c r="S132" i="8"/>
  <c r="S131" i="8"/>
  <c r="S130" i="8"/>
  <c r="S129" i="8"/>
  <c r="S128" i="8"/>
  <c r="S127" i="8"/>
  <c r="S126" i="8"/>
  <c r="S125" i="8"/>
  <c r="S124" i="8"/>
  <c r="S123" i="8"/>
  <c r="S122" i="8"/>
  <c r="S121" i="8"/>
  <c r="S120" i="8"/>
  <c r="S119" i="8"/>
  <c r="S118" i="8"/>
  <c r="S117" i="8"/>
  <c r="S116" i="8"/>
  <c r="S115" i="8"/>
  <c r="S114" i="8"/>
  <c r="S113" i="8"/>
  <c r="S112" i="8"/>
  <c r="S111" i="8"/>
  <c r="S110" i="8"/>
  <c r="S109" i="8"/>
  <c r="S108" i="8"/>
  <c r="S107" i="8"/>
  <c r="S106" i="8"/>
  <c r="S104" i="8"/>
  <c r="S103" i="8"/>
  <c r="S102" i="8"/>
  <c r="S101" i="8"/>
  <c r="S100" i="8"/>
  <c r="S99" i="8"/>
  <c r="S98" i="8"/>
  <c r="S97" i="8"/>
  <c r="S96" i="8"/>
  <c r="S95" i="8"/>
  <c r="S94" i="8"/>
  <c r="S93" i="8"/>
  <c r="S92" i="8"/>
  <c r="S91" i="8"/>
  <c r="S90" i="8"/>
  <c r="S89" i="8"/>
  <c r="S88" i="8"/>
  <c r="S87" i="8"/>
  <c r="S86" i="8"/>
  <c r="S85" i="8"/>
  <c r="S84" i="8"/>
  <c r="S83" i="8"/>
  <c r="S82" i="8"/>
  <c r="S81" i="8"/>
  <c r="S80" i="8"/>
  <c r="S79" i="8"/>
  <c r="S78" i="8"/>
  <c r="S77" i="8"/>
  <c r="S76" i="8"/>
  <c r="S75" i="8"/>
  <c r="S74" i="8"/>
  <c r="S73" i="8"/>
  <c r="S72" i="8"/>
  <c r="S71" i="8"/>
  <c r="S70" i="8"/>
  <c r="S69" i="8"/>
  <c r="S68" i="8"/>
  <c r="S67" i="8"/>
  <c r="S66" i="8"/>
  <c r="S65" i="8"/>
  <c r="S64" i="8"/>
  <c r="S63" i="8"/>
  <c r="S62" i="8"/>
  <c r="S61" i="8"/>
  <c r="S60" i="8"/>
  <c r="S59" i="8"/>
  <c r="S58" i="8"/>
  <c r="S57" i="8"/>
  <c r="S56" i="8"/>
  <c r="S55" i="8"/>
  <c r="S54" i="8"/>
  <c r="S53" i="8"/>
  <c r="S52" i="8"/>
  <c r="S51" i="8"/>
  <c r="S50" i="8"/>
  <c r="S49" i="8"/>
  <c r="AR57" i="1"/>
  <c r="AS57" i="1"/>
  <c r="X57" i="1"/>
  <c r="AR53" i="1"/>
  <c r="AS53" i="1"/>
  <c r="X53" i="1"/>
  <c r="AR52" i="1"/>
  <c r="AS52" i="1"/>
  <c r="X52" i="1"/>
  <c r="AC47" i="1"/>
  <c r="AC56" i="1"/>
  <c r="AR46" i="1"/>
  <c r="AS46" i="1"/>
  <c r="AD46" i="1"/>
  <c r="AQ40" i="1"/>
  <c r="AS40" i="1"/>
  <c r="T40" i="1"/>
  <c r="AQ39" i="1"/>
  <c r="AS39" i="1"/>
  <c r="T39" i="1"/>
  <c r="AQ38" i="1"/>
  <c r="T38" i="1"/>
  <c r="AQ37" i="1"/>
  <c r="T37" i="1"/>
  <c r="AQ36" i="1"/>
  <c r="T36" i="1"/>
  <c r="AQ35" i="1"/>
  <c r="T35" i="1"/>
  <c r="AQ34" i="1"/>
  <c r="T34" i="1"/>
  <c r="AQ33" i="1"/>
  <c r="T33" i="1"/>
  <c r="AQ32" i="1"/>
  <c r="T32" i="1"/>
  <c r="AQ31" i="1"/>
  <c r="T31" i="1"/>
  <c r="AQ30" i="1"/>
  <c r="T30" i="1"/>
  <c r="AQ29" i="1"/>
  <c r="T29" i="1"/>
  <c r="AQ28" i="1"/>
  <c r="T28" i="1"/>
  <c r="AQ27" i="1"/>
  <c r="T27" i="1"/>
  <c r="AQ26" i="1"/>
  <c r="T26" i="1"/>
  <c r="AQ25" i="1"/>
  <c r="T25" i="1"/>
  <c r="AQ24" i="1"/>
  <c r="T24" i="1"/>
  <c r="AQ23" i="1"/>
  <c r="T23" i="1"/>
  <c r="AQ22" i="1"/>
  <c r="T22" i="1"/>
  <c r="AQ21" i="1"/>
  <c r="T21" i="1"/>
  <c r="AQ19" i="1"/>
  <c r="T19" i="1"/>
  <c r="AQ18" i="1"/>
  <c r="T18" i="1"/>
  <c r="AQ17" i="1"/>
  <c r="T17" i="1"/>
  <c r="AQ16" i="1"/>
  <c r="T16" i="1"/>
  <c r="AQ15" i="1"/>
  <c r="T15" i="1"/>
  <c r="AQ14" i="1"/>
  <c r="T14" i="1"/>
  <c r="AQ13" i="1"/>
  <c r="T13" i="1"/>
  <c r="AQ12" i="1"/>
  <c r="T12" i="1"/>
  <c r="AQ11" i="1"/>
  <c r="T11" i="1"/>
  <c r="AQ10" i="1"/>
  <c r="T10" i="1"/>
  <c r="AQ9" i="1"/>
  <c r="T9" i="1"/>
  <c r="AQ4" i="1"/>
  <c r="T4" i="1"/>
  <c r="AR56" i="1"/>
  <c r="AS56" i="1"/>
  <c r="AD56" i="1"/>
  <c r="AR47" i="1"/>
  <c r="AS47" i="1"/>
  <c r="AD47" i="1"/>
  <c r="I110" i="1"/>
  <c r="AH114" i="1"/>
  <c r="AJ114" i="1"/>
  <c r="P2" i="6"/>
  <c r="Q147" i="8"/>
  <c r="Q148" i="8"/>
  <c r="Q163" i="8"/>
  <c r="Q162" i="8"/>
  <c r="Q161" i="8"/>
  <c r="Q160" i="8"/>
  <c r="Q159" i="8"/>
  <c r="Q158" i="8"/>
  <c r="Q157" i="8"/>
  <c r="Q156" i="8"/>
  <c r="Q155" i="8"/>
  <c r="Q154" i="8"/>
  <c r="Q153" i="8"/>
  <c r="Q152" i="8"/>
  <c r="Q151" i="8"/>
  <c r="Q150" i="8"/>
  <c r="Q149" i="8"/>
  <c r="Q171" i="8"/>
  <c r="Q170" i="8"/>
  <c r="Q169" i="8"/>
  <c r="Q168" i="8"/>
  <c r="Q167" i="8"/>
  <c r="Q166" i="8"/>
  <c r="Q165" i="8"/>
  <c r="Q164" i="8"/>
  <c r="P186" i="8"/>
  <c r="Q186" i="8"/>
  <c r="P185" i="8"/>
  <c r="Q185" i="8"/>
  <c r="P177" i="8"/>
  <c r="Q177" i="8"/>
  <c r="P176" i="8"/>
  <c r="Q176" i="8"/>
  <c r="P175" i="8"/>
  <c r="Q175" i="8"/>
  <c r="P174" i="8"/>
  <c r="Q174" i="8"/>
  <c r="P173" i="8"/>
  <c r="Q173" i="8"/>
  <c r="P172" i="8"/>
  <c r="Q172" i="8"/>
  <c r="D108" i="1"/>
  <c r="J13" i="11"/>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AJ103" i="1"/>
  <c r="AJ102" i="1"/>
  <c r="AJ101" i="1"/>
  <c r="D105" i="1"/>
  <c r="F121" i="1"/>
  <c r="B120" i="1"/>
  <c r="E120" i="1"/>
  <c r="AE120" i="1"/>
  <c r="AG120" i="1"/>
  <c r="G116" i="1"/>
  <c r="F116" i="1"/>
  <c r="E116" i="1"/>
  <c r="F108" i="1"/>
  <c r="G105" i="1"/>
  <c r="F105" i="1"/>
  <c r="I105" i="1"/>
  <c r="G123" i="1"/>
  <c r="F130" i="1"/>
  <c r="AH130" i="1"/>
  <c r="AJ130" i="1"/>
  <c r="G128" i="1"/>
  <c r="F128" i="1"/>
  <c r="G126" i="1"/>
  <c r="AK126" i="1"/>
  <c r="AM126" i="1"/>
  <c r="F126" i="1"/>
  <c r="I116" i="1"/>
  <c r="AH126" i="1"/>
  <c r="AJ126" i="1"/>
  <c r="AH128" i="1"/>
  <c r="AJ128" i="1"/>
  <c r="AK128" i="1"/>
  <c r="AM128" i="1"/>
  <c r="AK123" i="1"/>
  <c r="AM123" i="1"/>
  <c r="AE116" i="1"/>
  <c r="AG116" i="1"/>
  <c r="AH116" i="1"/>
  <c r="AJ116" i="1"/>
  <c r="AK116" i="1"/>
  <c r="AM116" i="1"/>
  <c r="AH121" i="1"/>
  <c r="AJ121" i="1"/>
  <c r="H98" i="14"/>
  <c r="H97" i="14"/>
  <c r="H100" i="14"/>
  <c r="H101" i="14"/>
  <c r="I120" i="1"/>
  <c r="AB105" i="1"/>
  <c r="AD105" i="1"/>
  <c r="AE108" i="1"/>
  <c r="AG108" i="1"/>
  <c r="N108" i="1"/>
  <c r="V6" i="7"/>
  <c r="U7" i="7"/>
  <c r="E5" i="7"/>
  <c r="O5" i="7"/>
  <c r="P5" i="7"/>
  <c r="L5" i="7"/>
  <c r="D5" i="7"/>
  <c r="G5" i="7"/>
  <c r="M5" i="7"/>
  <c r="N5" i="7"/>
  <c r="F5" i="7"/>
  <c r="C5" i="7"/>
  <c r="B5" i="7"/>
  <c r="X5" i="7"/>
  <c r="W5" i="7"/>
  <c r="V5" i="7"/>
  <c r="U5" i="7"/>
  <c r="T5" i="7"/>
  <c r="S5" i="7"/>
  <c r="K5" i="7"/>
  <c r="B7" i="7"/>
  <c r="C7" i="7"/>
  <c r="D7" i="7"/>
  <c r="E7" i="7"/>
  <c r="F7" i="7"/>
  <c r="G7" i="7"/>
  <c r="P7" i="7"/>
  <c r="W7" i="7"/>
  <c r="N7" i="7"/>
  <c r="V7" i="7"/>
  <c r="L7" i="7"/>
  <c r="M7" i="7"/>
  <c r="X7" i="7"/>
  <c r="T7" i="7"/>
  <c r="O7" i="7"/>
  <c r="S7" i="7"/>
  <c r="K7" i="7"/>
  <c r="B6" i="7"/>
  <c r="C6" i="7"/>
  <c r="D6" i="7"/>
  <c r="E6" i="7"/>
  <c r="F6" i="7"/>
  <c r="G6" i="7"/>
  <c r="K6" i="7"/>
  <c r="P6" i="7"/>
  <c r="L6" i="7"/>
  <c r="M6" i="7"/>
  <c r="N6" i="7"/>
  <c r="O6" i="7"/>
  <c r="U6" i="7"/>
  <c r="W6" i="7"/>
  <c r="X6" i="7"/>
  <c r="S6" i="7"/>
  <c r="T6" i="7"/>
  <c r="D8" i="7"/>
  <c r="E8" i="7"/>
  <c r="F8" i="7"/>
  <c r="G8" i="7"/>
  <c r="T8" i="7"/>
  <c r="O8" i="7"/>
  <c r="M8" i="7"/>
  <c r="S8" i="7"/>
  <c r="P8" i="7"/>
  <c r="K8" i="7"/>
  <c r="V8" i="7"/>
  <c r="N8" i="7"/>
  <c r="L8" i="7"/>
  <c r="C8" i="7"/>
  <c r="U8" i="7"/>
  <c r="W8" i="7"/>
  <c r="X8" i="7"/>
  <c r="B8" i="7"/>
  <c r="D9" i="7"/>
  <c r="E9" i="7"/>
  <c r="F9" i="7"/>
  <c r="G9" i="7"/>
  <c r="W9" i="7"/>
  <c r="L9" i="7"/>
  <c r="K9" i="7"/>
  <c r="M9" i="7"/>
  <c r="B9" i="7"/>
  <c r="P9" i="7"/>
  <c r="X9" i="7"/>
  <c r="U9" i="7"/>
  <c r="V9" i="7"/>
  <c r="T9" i="7"/>
  <c r="O9" i="7"/>
  <c r="N9" i="7"/>
  <c r="S9" i="7"/>
  <c r="C9" i="7"/>
  <c r="D10" i="7"/>
  <c r="E10" i="7"/>
  <c r="F10" i="7"/>
  <c r="G10" i="7"/>
  <c r="W10" i="7"/>
  <c r="M10" i="7"/>
  <c r="N10" i="7"/>
  <c r="C10" i="7"/>
  <c r="B10" i="7"/>
  <c r="U10" i="7"/>
  <c r="V10" i="7"/>
  <c r="L10" i="7"/>
  <c r="X10" i="7"/>
  <c r="P10" i="7"/>
  <c r="S10" i="7"/>
  <c r="T10" i="7"/>
  <c r="O10" i="7"/>
  <c r="P11" i="7"/>
  <c r="X11" i="7"/>
  <c r="V11" i="7"/>
  <c r="G11" i="7"/>
  <c r="O11" i="7"/>
  <c r="D11" i="7"/>
  <c r="F11" i="7"/>
  <c r="E11" i="7"/>
  <c r="S11" i="7"/>
  <c r="U11" i="7"/>
  <c r="K11" i="7"/>
  <c r="B11" i="7"/>
  <c r="C11" i="7"/>
  <c r="L11" i="7"/>
  <c r="M11" i="7"/>
  <c r="N11" i="7"/>
  <c r="T11" i="7"/>
  <c r="W11" i="7"/>
  <c r="E12" i="7"/>
  <c r="N12" i="7"/>
  <c r="T12" i="7"/>
  <c r="F12" i="7"/>
  <c r="U12" i="7"/>
  <c r="S12" i="7"/>
  <c r="W12" i="7"/>
  <c r="L12" i="7"/>
  <c r="B12" i="7"/>
  <c r="X12" i="7"/>
  <c r="C12" i="7"/>
  <c r="D12" i="7"/>
  <c r="G12" i="7"/>
  <c r="K12" i="7"/>
  <c r="M12" i="7"/>
  <c r="O12" i="7"/>
  <c r="P12" i="7"/>
  <c r="V12" i="7"/>
  <c r="W13" i="7"/>
  <c r="V13" i="7"/>
  <c r="S13" i="7"/>
  <c r="G13" i="7"/>
  <c r="X13" i="7"/>
  <c r="C13" i="7"/>
  <c r="B13" i="7"/>
  <c r="F13" i="7"/>
  <c r="E13" i="7"/>
  <c r="T13" i="7"/>
  <c r="U13" i="7"/>
  <c r="D13" i="7"/>
  <c r="D14" i="7"/>
  <c r="W14" i="7"/>
  <c r="G14" i="7"/>
  <c r="V14" i="7"/>
  <c r="T14" i="7"/>
  <c r="U14" i="7"/>
  <c r="B14" i="7"/>
  <c r="F14" i="7"/>
  <c r="E14" i="7"/>
  <c r="X14" i="7"/>
  <c r="S14" i="7"/>
  <c r="C14" i="7"/>
  <c r="X15" i="7"/>
  <c r="B15" i="7"/>
  <c r="G15" i="7"/>
  <c r="S15" i="7"/>
  <c r="T15" i="7"/>
  <c r="V15" i="7"/>
  <c r="E15" i="7"/>
  <c r="U15" i="7"/>
  <c r="D15" i="7"/>
  <c r="C15" i="7"/>
  <c r="F15" i="7"/>
  <c r="W15" i="7"/>
  <c r="K16" i="7"/>
  <c r="B16" i="7"/>
  <c r="W16" i="7"/>
  <c r="U16" i="7"/>
  <c r="C16" i="7"/>
  <c r="P16" i="7"/>
  <c r="G16" i="7"/>
  <c r="F16" i="7"/>
  <c r="N16" i="7"/>
  <c r="E16" i="7"/>
  <c r="T16" i="7"/>
  <c r="M16" i="7"/>
  <c r="X16" i="7"/>
  <c r="V16" i="7"/>
  <c r="O16" i="7"/>
  <c r="D16" i="7"/>
  <c r="S16" i="7"/>
  <c r="L16" i="7"/>
  <c r="K17" i="7"/>
  <c r="E17" i="7"/>
  <c r="N17" i="7"/>
  <c r="C17" i="7"/>
  <c r="V17" i="7"/>
  <c r="X17" i="7"/>
  <c r="G17" i="7"/>
  <c r="U17" i="7"/>
  <c r="M17" i="7"/>
  <c r="S17" i="7"/>
  <c r="O17" i="7"/>
  <c r="T17" i="7"/>
  <c r="W17" i="7"/>
  <c r="L17" i="7"/>
  <c r="B17" i="7"/>
  <c r="F17" i="7"/>
  <c r="P17" i="7"/>
  <c r="D17" i="7"/>
  <c r="F18" i="7"/>
  <c r="D18" i="7"/>
  <c r="M18" i="7"/>
  <c r="K18" i="7"/>
  <c r="G18" i="7"/>
  <c r="B18" i="7"/>
  <c r="C18" i="7"/>
  <c r="N18" i="7"/>
  <c r="S18" i="7"/>
  <c r="T18" i="7"/>
  <c r="X18" i="7"/>
  <c r="V18" i="7"/>
  <c r="O18" i="7"/>
  <c r="P18" i="7"/>
  <c r="E18" i="7"/>
  <c r="W18" i="7"/>
  <c r="L18" i="7"/>
  <c r="U18" i="7"/>
  <c r="V19" i="7"/>
  <c r="G19" i="7"/>
  <c r="K19" i="7"/>
  <c r="W19" i="7"/>
  <c r="T19" i="7"/>
  <c r="P19" i="7"/>
  <c r="D19" i="7"/>
  <c r="C19" i="7"/>
  <c r="U19" i="7"/>
  <c r="F19" i="7"/>
  <c r="E19" i="7"/>
  <c r="X19" i="7"/>
  <c r="B19" i="7"/>
  <c r="S19" i="7"/>
  <c r="M19" i="7"/>
  <c r="N19" i="7"/>
  <c r="L19" i="7"/>
  <c r="O19" i="7"/>
  <c r="D20" i="7"/>
  <c r="G20" i="7"/>
  <c r="W20" i="7"/>
  <c r="M20" i="7"/>
  <c r="B20" i="7"/>
  <c r="C20" i="7"/>
  <c r="E20" i="7"/>
  <c r="F20" i="7"/>
  <c r="B21" i="7"/>
  <c r="C21" i="7"/>
  <c r="D21" i="7"/>
  <c r="E21" i="7"/>
  <c r="F21" i="7"/>
  <c r="G21" i="7"/>
  <c r="S20" i="7"/>
  <c r="V20" i="7"/>
  <c r="U20" i="7"/>
  <c r="X20" i="7"/>
  <c r="T20" i="7"/>
  <c r="O20" i="7"/>
  <c r="L20" i="7"/>
  <c r="P20" i="7"/>
  <c r="K20" i="7"/>
  <c r="N20" i="7"/>
  <c r="L21" i="7"/>
  <c r="N21" i="7"/>
  <c r="O21" i="7"/>
  <c r="P21" i="7"/>
  <c r="T21" i="7"/>
  <c r="K21" i="7"/>
  <c r="W21" i="7"/>
  <c r="V21" i="7"/>
  <c r="X21" i="7"/>
  <c r="S21" i="7"/>
  <c r="M21" i="7"/>
  <c r="U21" i="7"/>
  <c r="S22" i="7"/>
  <c r="G22" i="7"/>
  <c r="N22" i="7"/>
  <c r="X22" i="7"/>
  <c r="F22" i="7"/>
  <c r="K22" i="7"/>
  <c r="P22" i="7"/>
  <c r="E22" i="7"/>
  <c r="C22" i="7"/>
  <c r="M22" i="7"/>
  <c r="W22" i="7"/>
  <c r="U22" i="7"/>
  <c r="B22" i="7"/>
  <c r="T22" i="7"/>
  <c r="D22" i="7"/>
  <c r="L22" i="7"/>
  <c r="O22" i="7"/>
  <c r="V22" i="7"/>
  <c r="F23" i="7"/>
  <c r="C23" i="7"/>
  <c r="E23" i="7"/>
  <c r="N23" i="7"/>
  <c r="W23" i="7"/>
  <c r="P23" i="7"/>
  <c r="L23" i="7"/>
  <c r="K23" i="7"/>
  <c r="X23" i="7"/>
  <c r="V23" i="7"/>
  <c r="D23" i="7"/>
  <c r="B23" i="7"/>
  <c r="T23" i="7"/>
  <c r="S23" i="7"/>
  <c r="M23" i="7"/>
  <c r="O23" i="7"/>
  <c r="G23" i="7"/>
  <c r="U23" i="7"/>
  <c r="M24" i="7"/>
  <c r="W24" i="7"/>
  <c r="N24" i="7"/>
  <c r="E24" i="7"/>
  <c r="B24" i="7"/>
  <c r="G24" i="7"/>
  <c r="V24" i="7"/>
  <c r="D24" i="7"/>
  <c r="P24" i="7"/>
  <c r="F24" i="7"/>
  <c r="T24" i="7"/>
  <c r="L24" i="7"/>
  <c r="O24" i="7"/>
  <c r="X24" i="7"/>
  <c r="S24" i="7"/>
  <c r="C24" i="7"/>
  <c r="U24" i="7"/>
  <c r="K24" i="7"/>
  <c r="U25" i="7"/>
  <c r="E25" i="7"/>
  <c r="F25" i="7"/>
  <c r="T25" i="7"/>
  <c r="M25" i="7"/>
  <c r="N25" i="7"/>
  <c r="S25" i="7"/>
  <c r="L25" i="7"/>
  <c r="K25" i="7"/>
  <c r="O25" i="7"/>
  <c r="X25" i="7"/>
  <c r="G25" i="7"/>
  <c r="V25" i="7"/>
  <c r="P25" i="7"/>
  <c r="W25" i="7"/>
  <c r="B25" i="7"/>
  <c r="C25" i="7"/>
  <c r="D25" i="7"/>
  <c r="L26" i="7"/>
  <c r="X26" i="7"/>
  <c r="P26" i="7"/>
  <c r="T26" i="7"/>
  <c r="S26" i="7"/>
  <c r="O26" i="7"/>
  <c r="W26" i="7"/>
  <c r="U26" i="7"/>
  <c r="N26" i="7"/>
  <c r="M26" i="7"/>
  <c r="K26" i="7"/>
  <c r="V26" i="7"/>
  <c r="O27" i="7"/>
  <c r="L27" i="7"/>
  <c r="W27" i="7"/>
  <c r="K27" i="7"/>
  <c r="S27" i="7"/>
  <c r="N27" i="7"/>
  <c r="T27" i="7"/>
  <c r="M27" i="7"/>
  <c r="V27" i="7"/>
  <c r="X27" i="7"/>
  <c r="U27" i="7"/>
  <c r="P27" i="7"/>
  <c r="F28" i="7"/>
  <c r="O28" i="7"/>
  <c r="G28" i="7"/>
  <c r="M28" i="7"/>
  <c r="X28" i="7"/>
  <c r="U28" i="7"/>
  <c r="D28" i="7"/>
  <c r="C28" i="7"/>
  <c r="W28" i="7"/>
  <c r="N28" i="7"/>
  <c r="S28" i="7"/>
  <c r="P28" i="7"/>
  <c r="B28" i="7"/>
  <c r="E28" i="7"/>
  <c r="V28" i="7"/>
  <c r="T28" i="7"/>
  <c r="K28" i="7"/>
  <c r="L28" i="7"/>
  <c r="G280" i="14"/>
  <c r="G277" i="14"/>
  <c r="G284" i="14"/>
  <c r="G281" i="14"/>
  <c r="G275" i="14"/>
  <c r="G283" i="14"/>
  <c r="G278" i="14"/>
  <c r="G282" i="14"/>
  <c r="G279" i="14"/>
  <c r="G276" i="14"/>
  <c r="I21" i="12" a="1"/>
  <c r="I21" i="12"/>
  <c r="I22" i="12" a="1"/>
  <c r="I22" i="12"/>
  <c r="G5" i="14"/>
  <c r="G268" i="14"/>
  <c r="G304" i="14"/>
  <c r="G154" i="14"/>
  <c r="G297" i="14"/>
  <c r="G176" i="14"/>
  <c r="G46" i="14"/>
  <c r="G10" i="14"/>
  <c r="G183" i="14"/>
  <c r="G169" i="14"/>
  <c r="G251" i="14"/>
  <c r="G155" i="14"/>
  <c r="G288" i="14"/>
  <c r="G76" i="14"/>
  <c r="G117" i="14"/>
  <c r="G287" i="14"/>
  <c r="G55" i="14"/>
  <c r="G290" i="14"/>
  <c r="G123" i="14"/>
  <c r="G65" i="14"/>
  <c r="G269" i="14"/>
  <c r="G84" i="14"/>
  <c r="G164" i="14"/>
  <c r="G22" i="14"/>
  <c r="G28" i="14"/>
  <c r="G167" i="14"/>
  <c r="G184" i="14"/>
  <c r="G175" i="14"/>
  <c r="G171" i="14"/>
  <c r="G289" i="14"/>
  <c r="G14" i="14"/>
  <c r="G172" i="14"/>
  <c r="G180" i="14"/>
  <c r="G29" i="14"/>
  <c r="G165" i="14"/>
  <c r="G197" i="14"/>
  <c r="G177" i="14"/>
  <c r="G62" i="14"/>
  <c r="G181" i="14"/>
  <c r="G218" i="14"/>
  <c r="G139" i="14"/>
  <c r="G286" i="14"/>
  <c r="G253" i="14"/>
  <c r="G124" i="14"/>
  <c r="G118" i="14"/>
  <c r="G86" i="14"/>
  <c r="G179" i="14"/>
  <c r="G272" i="14"/>
  <c r="G145" i="14"/>
  <c r="G26" i="14"/>
  <c r="G57" i="14"/>
  <c r="G252" i="14"/>
  <c r="G120" i="14"/>
  <c r="G193" i="14"/>
  <c r="Q233" i="8"/>
  <c r="G299" i="14"/>
  <c r="G39" i="14"/>
  <c r="G250" i="14"/>
  <c r="G15" i="14"/>
  <c r="G196" i="14"/>
  <c r="G126" i="14"/>
  <c r="G64" i="14"/>
  <c r="G216" i="14"/>
  <c r="G38" i="14"/>
  <c r="G163" i="14"/>
  <c r="G153" i="14"/>
  <c r="G303" i="14"/>
  <c r="G270" i="14"/>
  <c r="G170" i="14"/>
  <c r="G166" i="14"/>
  <c r="G125" i="14"/>
  <c r="G294" i="14"/>
  <c r="G162" i="14"/>
  <c r="G185" i="14"/>
  <c r="G265" i="14"/>
  <c r="G296" i="14"/>
  <c r="G271" i="14"/>
  <c r="G122" i="14"/>
  <c r="G150" i="14"/>
  <c r="G302" i="14"/>
  <c r="G293" i="14"/>
  <c r="G24" i="14"/>
  <c r="G173" i="14"/>
  <c r="G298" i="14"/>
  <c r="G295" i="14"/>
  <c r="G56" i="14"/>
  <c r="G300" i="14"/>
  <c r="G254" i="14"/>
  <c r="G291" i="14"/>
  <c r="G301" i="14"/>
  <c r="G27" i="14"/>
  <c r="G217" i="14"/>
  <c r="G45" i="14"/>
  <c r="G30" i="14"/>
  <c r="G168" i="14"/>
  <c r="G16" i="14"/>
  <c r="G195" i="14"/>
  <c r="G174" i="14"/>
  <c r="G85" i="14"/>
  <c r="G214" i="14"/>
  <c r="G31" i="14"/>
  <c r="G66" i="14"/>
  <c r="G152" i="14"/>
  <c r="G266" i="14"/>
  <c r="G23" i="14"/>
  <c r="G274" i="14"/>
  <c r="G121" i="14"/>
  <c r="G149" i="14"/>
  <c r="G119" i="14"/>
  <c r="G292" i="14"/>
  <c r="G215" i="14"/>
  <c r="G178" i="14"/>
  <c r="G11" i="14"/>
  <c r="G77" i="14"/>
  <c r="G198" i="14"/>
  <c r="G161" i="14"/>
  <c r="G182" i="14"/>
  <c r="G35" i="14"/>
  <c r="G75" i="14"/>
  <c r="G285" i="14"/>
  <c r="G63" i="14"/>
  <c r="G151" i="14"/>
  <c r="F149" i="1"/>
  <c r="AH149" i="1"/>
  <c r="AJ149" i="1"/>
  <c r="F156" i="1"/>
  <c r="H471" i="11"/>
  <c r="H444" i="11"/>
  <c r="H438" i="11"/>
  <c r="H434" i="11"/>
  <c r="H505" i="11"/>
  <c r="H497" i="11"/>
  <c r="AH156" i="1"/>
  <c r="AJ156" i="1"/>
  <c r="I156" i="1"/>
  <c r="I149" i="1"/>
  <c r="H494" i="11"/>
  <c r="X11" i="3"/>
  <c r="X10" i="3"/>
  <c r="X9" i="3"/>
  <c r="X8" i="3"/>
  <c r="Q244" i="8"/>
  <c r="G3" i="7"/>
  <c r="I108" i="1"/>
  <c r="I135" i="1"/>
  <c r="I106" i="1"/>
  <c r="I107" i="1"/>
  <c r="I113" i="1"/>
  <c r="I118" i="1"/>
  <c r="I123" i="1"/>
  <c r="I126" i="1"/>
  <c r="I128" i="1"/>
  <c r="I130" i="1"/>
  <c r="I137" i="1"/>
  <c r="I163" i="1"/>
  <c r="I159" i="1"/>
  <c r="I249" i="1"/>
  <c r="I247" i="1"/>
  <c r="I246" i="1"/>
  <c r="I244" i="1"/>
  <c r="I243" i="1"/>
  <c r="I241" i="1"/>
  <c r="I240" i="1"/>
  <c r="I238" i="1"/>
  <c r="I237" i="1"/>
  <c r="I235" i="1"/>
  <c r="I234" i="1"/>
  <c r="I232" i="1"/>
  <c r="I231" i="1"/>
  <c r="I227" i="1"/>
  <c r="I224" i="1"/>
  <c r="I222" i="1"/>
  <c r="I218" i="1"/>
  <c r="I215" i="1"/>
  <c r="I213" i="1"/>
  <c r="I212" i="1"/>
  <c r="I210" i="1"/>
  <c r="I209" i="1"/>
  <c r="I207" i="1"/>
  <c r="I206" i="1"/>
  <c r="I204" i="1"/>
  <c r="I201" i="1"/>
  <c r="I198" i="1"/>
  <c r="I195" i="1"/>
  <c r="I192" i="1"/>
  <c r="I189" i="1"/>
  <c r="I186" i="1"/>
  <c r="I183" i="1"/>
  <c r="AP2" i="1" a="1"/>
  <c r="AP2" i="1"/>
  <c r="AM2" i="1" a="1"/>
  <c r="AM2" i="1"/>
  <c r="I121" i="1"/>
  <c r="I125" i="1"/>
  <c r="I150" i="1"/>
  <c r="I138" i="1"/>
  <c r="I140" i="1"/>
  <c r="I142" i="1"/>
  <c r="I144" i="1"/>
  <c r="I154" i="1"/>
  <c r="I152" i="1"/>
  <c r="I180" i="1"/>
  <c r="I178" i="1"/>
  <c r="I176" i="1"/>
  <c r="I174" i="1"/>
  <c r="I172" i="1"/>
  <c r="I170" i="1"/>
  <c r="I168" i="1"/>
  <c r="I166" i="1"/>
  <c r="I114" i="1"/>
  <c r="AB118" i="1"/>
  <c r="AD118" i="1"/>
  <c r="AE137" i="1"/>
  <c r="AG137" i="1"/>
  <c r="AH163" i="1"/>
  <c r="AJ163" i="1"/>
  <c r="AH159" i="1"/>
  <c r="AJ159" i="1"/>
  <c r="AJ2" i="1" a="1"/>
  <c r="AJ2" i="1"/>
  <c r="I229" i="1"/>
  <c r="I228" i="1"/>
  <c r="I220" i="1"/>
  <c r="I219" i="1"/>
  <c r="I208" i="1"/>
  <c r="AB196" i="1"/>
  <c r="AD196" i="1"/>
  <c r="I196" i="1"/>
  <c r="I190" i="1"/>
  <c r="AB188" i="1"/>
  <c r="AD188" i="1"/>
  <c r="I188" i="1"/>
  <c r="I185" i="1"/>
  <c r="I184" i="1"/>
  <c r="I199" i="1"/>
  <c r="AB197" i="1"/>
  <c r="AD197" i="1"/>
  <c r="I197" i="1"/>
  <c r="I223" i="1"/>
  <c r="I214" i="1"/>
  <c r="I205" i="1"/>
  <c r="AB187" i="1"/>
  <c r="AD187" i="1"/>
  <c r="I187" i="1"/>
  <c r="I181" i="1"/>
  <c r="I203" i="1"/>
  <c r="I200" i="1"/>
  <c r="I191" i="1"/>
  <c r="I182" i="1"/>
  <c r="I27" i="12" a="1"/>
  <c r="I27" i="12"/>
  <c r="I25" i="12" a="1"/>
  <c r="I25" i="12"/>
  <c r="I24" i="12" a="1"/>
  <c r="I24" i="12"/>
  <c r="M3" i="7"/>
  <c r="N3" i="7"/>
  <c r="I23" i="12" a="1"/>
  <c r="I23" i="12"/>
  <c r="E3" i="7"/>
  <c r="I36" i="12" a="1"/>
  <c r="I36" i="12"/>
  <c r="I38" i="12" a="1"/>
  <c r="I38" i="12"/>
  <c r="I26" i="12" a="1"/>
  <c r="I26" i="12"/>
  <c r="C3" i="7"/>
  <c r="F3" i="7"/>
  <c r="K3" i="7"/>
  <c r="I28" i="12" a="1"/>
  <c r="I28" i="12"/>
  <c r="I34" i="12" a="1"/>
  <c r="I34" i="12"/>
  <c r="D3" i="7"/>
  <c r="I30" i="12" a="1"/>
  <c r="I30" i="12"/>
  <c r="L3" i="7"/>
  <c r="O3" i="7"/>
  <c r="P3" i="7"/>
  <c r="I31" i="12" a="1"/>
  <c r="I31" i="12"/>
  <c r="I29" i="12" a="1"/>
  <c r="I29" i="12"/>
  <c r="I42" i="12" a="1"/>
  <c r="I42" i="12"/>
  <c r="B3" i="7"/>
  <c r="I37" i="12" a="1"/>
  <c r="I37" i="12"/>
  <c r="I32" i="12" a="1"/>
  <c r="I32" i="12"/>
  <c r="I33" i="12" a="1"/>
  <c r="I33" i="12"/>
  <c r="I39" i="12" a="1"/>
  <c r="I39" i="12"/>
  <c r="I40" i="12" a="1"/>
  <c r="I40" i="12"/>
  <c r="I43" i="12" a="1"/>
  <c r="I43" i="12"/>
  <c r="I35" i="12" a="1"/>
  <c r="I35" i="12"/>
  <c r="I41" i="12" a="1"/>
  <c r="I41" i="12"/>
  <c r="Y8" i="3"/>
  <c r="H3" i="7"/>
  <c r="AD2" i="1" a="1"/>
  <c r="AD2" i="1"/>
  <c r="Q3" i="7"/>
  <c r="J207" i="1"/>
  <c r="H254" i="1"/>
  <c r="I983" i="11"/>
  <c r="I981" i="11"/>
  <c r="H252" i="1"/>
  <c r="G252" i="1"/>
  <c r="F252" i="1"/>
  <c r="D252" i="1"/>
  <c r="I252" i="1"/>
  <c r="G254" i="1"/>
  <c r="F254" i="1"/>
  <c r="D254" i="1"/>
  <c r="I254" i="1"/>
  <c r="H802" i="11"/>
  <c r="H813" i="11"/>
  <c r="H814" i="11"/>
  <c r="I936" i="11"/>
  <c r="P312" i="8"/>
  <c r="Q312" i="8"/>
  <c r="S312" i="8"/>
  <c r="O311" i="8"/>
  <c r="P311" i="8"/>
  <c r="Q311" i="8"/>
  <c r="S311" i="8"/>
  <c r="O310" i="8"/>
  <c r="P310" i="8"/>
  <c r="Q310" i="8"/>
  <c r="S310" i="8"/>
  <c r="O309" i="8"/>
  <c r="P309" i="8"/>
  <c r="Q309" i="8"/>
  <c r="S309" i="8"/>
  <c r="P308" i="8"/>
  <c r="Q308" i="8"/>
  <c r="S308" i="8"/>
  <c r="O307" i="8"/>
  <c r="P307" i="8"/>
  <c r="Q307" i="8"/>
  <c r="S307" i="8"/>
  <c r="O306" i="8"/>
  <c r="P306" i="8"/>
  <c r="Q306" i="8"/>
  <c r="S306" i="8"/>
  <c r="O305" i="8"/>
  <c r="P305" i="8"/>
  <c r="Q305" i="8"/>
  <c r="S305" i="8"/>
  <c r="O304" i="8"/>
  <c r="P304" i="8"/>
  <c r="Q304" i="8"/>
  <c r="S304" i="8"/>
  <c r="O303" i="8"/>
  <c r="P303" i="8"/>
  <c r="Q303" i="8"/>
  <c r="S303" i="8"/>
  <c r="O302" i="8"/>
  <c r="P302" i="8"/>
  <c r="Q302" i="8"/>
  <c r="S302" i="8"/>
  <c r="P301" i="8"/>
  <c r="Q301" i="8"/>
  <c r="S301" i="8"/>
  <c r="P201" i="6"/>
  <c r="P202" i="6"/>
  <c r="P203" i="6"/>
  <c r="P204" i="6"/>
  <c r="P205" i="6"/>
  <c r="P206" i="6"/>
  <c r="P207" i="6"/>
  <c r="P208" i="6"/>
  <c r="P209" i="6"/>
  <c r="P210" i="6"/>
  <c r="P211" i="6"/>
  <c r="P212" i="6"/>
  <c r="P213" i="6"/>
  <c r="P214" i="6"/>
  <c r="P215" i="6"/>
  <c r="P216" i="6"/>
  <c r="P217" i="6"/>
  <c r="P218" i="6"/>
  <c r="P219" i="6"/>
  <c r="P220" i="6"/>
  <c r="P221" i="6"/>
  <c r="P222" i="6"/>
  <c r="E221" i="1"/>
  <c r="R283" i="8"/>
  <c r="N283" i="8"/>
  <c r="H693" i="11"/>
  <c r="W253" i="8"/>
  <c r="AE221" i="1"/>
  <c r="AG221" i="1"/>
  <c r="AG2" i="1" a="1"/>
  <c r="AG2" i="1"/>
  <c r="AS2" i="1"/>
  <c r="I221" i="1"/>
  <c r="O283" i="8"/>
  <c r="S283" i="8"/>
  <c r="P283" i="8"/>
  <c r="Q283" i="8"/>
  <c r="I1123" i="11" l="1"/>
  <c r="I1114" i="11"/>
  <c r="I1118" i="11"/>
  <c r="I1176" i="11"/>
  <c r="H1245" i="11"/>
  <c r="H1211" i="11"/>
  <c r="I1208" i="11"/>
  <c r="G259" i="1"/>
  <c r="H1020" i="11"/>
  <c r="F259" i="1"/>
  <c r="I259" i="1" s="1"/>
  <c r="AH1230" i="5"/>
  <c r="AI1230" i="5"/>
  <c r="AH1229" i="5"/>
  <c r="AI1229" i="5"/>
  <c r="AH1228" i="5"/>
  <c r="AI1228" i="5"/>
  <c r="AH1227" i="5"/>
  <c r="AI1227" i="5"/>
  <c r="AH1226" i="5"/>
  <c r="AI1226" i="5"/>
  <c r="AH1225" i="5"/>
  <c r="AI1225" i="5"/>
  <c r="AH1224" i="5"/>
  <c r="AI1224" i="5"/>
  <c r="AH1223" i="5"/>
  <c r="AI1223" i="5"/>
  <c r="AH1222" i="5"/>
  <c r="AI1222" i="5"/>
  <c r="AH1221" i="5"/>
  <c r="AI1221" i="5"/>
  <c r="AH1220" i="5"/>
  <c r="AI1220" i="5"/>
  <c r="AH1219" i="5"/>
  <c r="AI1219" i="5"/>
  <c r="AH1218" i="5"/>
  <c r="AI1218" i="5"/>
  <c r="AH1217" i="5"/>
  <c r="AI1217" i="5"/>
  <c r="AH1216" i="5"/>
  <c r="AI1216" i="5"/>
  <c r="AH1215" i="5"/>
  <c r="AI1215" i="5"/>
  <c r="AH1214" i="5"/>
  <c r="AI1214" i="5"/>
  <c r="AH1213" i="5"/>
  <c r="AI1213" i="5"/>
  <c r="AH1212" i="5"/>
  <c r="AI1212" i="5"/>
  <c r="AH1211" i="5"/>
  <c r="AI1211" i="5"/>
  <c r="AH1210" i="5"/>
  <c r="AI1210" i="5"/>
  <c r="AH1209" i="5"/>
  <c r="AI1209" i="5"/>
  <c r="AH1208" i="5"/>
  <c r="AI1208" i="5"/>
  <c r="AH1207" i="5"/>
  <c r="AI1207" i="5"/>
  <c r="AH1206" i="5"/>
  <c r="AI1206" i="5"/>
  <c r="AH1205" i="5"/>
  <c r="AI1205" i="5"/>
  <c r="AH1204" i="5"/>
  <c r="AI1204" i="5"/>
  <c r="AH1203" i="5"/>
  <c r="AI1203" i="5"/>
  <c r="AH1198" i="5"/>
  <c r="AI1198" i="5"/>
  <c r="AH1197" i="5"/>
  <c r="AI119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tc={9418A332-6D04-4099-94C7-E37A01CE0C4F}</author>
  </authors>
  <commentList>
    <comment ref="A351" authorId="0" shapeId="0" xr:uid="{9418A332-6D04-4099-94C7-E37A01CE0C4F}">
      <text>
        <t>[Threaded comment]
Your version of Excel allows you to read this threaded comment; however, any edits to it will get removed if the file is opened in a newer version of Excel. Learn more: https://go.microsoft.com/fwlink/?linkid=870924
Comment:
    1 scoop pure fw
See if condition improves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tc={447A55CC-A274-4E22-BA41-41E093BDC11A}</author>
  </authors>
  <commentList>
    <comment ref="A1" authorId="0" shapeId="0" xr:uid="{447A55CC-A274-4E22-BA41-41E093BDC11A}">
      <text>
        <t>[Threaded comment]
Your version of Excel allows you to read this threaded comment; however, any edits to it will get removed if the file is opened in a newer version of Excel. Learn more: https://go.microsoft.com/fwlink/?linkid=870924
Comment:
    I have no idea hwo to get tge date changed from  m/d/y to d/m/y...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<sst xmlns="http://schemas.openxmlformats.org/spreadsheetml/2006/main" count="6309" uniqueCount="1889">
  <si>
    <t>trap_date</t>
  </si>
  <si>
    <t>harvest_date</t>
  </si>
  <si>
    <t>line</t>
  </si>
  <si>
    <t>line_ID</t>
  </si>
  <si>
    <t>trap_mass</t>
  </si>
  <si>
    <t>total_mass</t>
  </si>
  <si>
    <t>egg_mass</t>
  </si>
  <si>
    <t>flies_count</t>
  </si>
  <si>
    <t>A</t>
  </si>
  <si>
    <t>Trap date: Date which the trap was placed in the cage</t>
  </si>
  <si>
    <t>Harvest date: Date which the trap was removed from the cage</t>
  </si>
  <si>
    <t>C</t>
  </si>
  <si>
    <t>Line: Line</t>
  </si>
  <si>
    <t>Line ID: A unique number for each cage per line to track individual cages</t>
  </si>
  <si>
    <t xml:space="preserve">Trap mass: Mass of empty egg trap </t>
  </si>
  <si>
    <t>Total mass: Mass of filled egg trap</t>
  </si>
  <si>
    <t>D</t>
  </si>
  <si>
    <t>Egg mass: Mass of eggs on the trap. Total mass - trap mass</t>
  </si>
  <si>
    <t>M</t>
  </si>
  <si>
    <t>B</t>
  </si>
  <si>
    <t>Total eggs from B-1</t>
  </si>
  <si>
    <t>2,9,11</t>
  </si>
  <si>
    <t>4,5,10</t>
  </si>
  <si>
    <t>NA</t>
  </si>
  <si>
    <t>E</t>
  </si>
  <si>
    <t>END</t>
  </si>
  <si>
    <t>SSS</t>
  </si>
  <si>
    <t xml:space="preserve"> </t>
  </si>
  <si>
    <t>steffi</t>
  </si>
  <si>
    <t>Egg Date</t>
  </si>
  <si>
    <t>Mixed</t>
  </si>
  <si>
    <t>Parental</t>
  </si>
  <si>
    <t>Total</t>
  </si>
  <si>
    <t>Mass per egg (g)</t>
  </si>
  <si>
    <t>Estimates (each population total for that nursery date) - Survival Rate (%)</t>
  </si>
  <si>
    <t>Egg mass (g)</t>
  </si>
  <si>
    <t>egg mass per cage (g/cage)</t>
  </si>
  <si>
    <t>Average Survival Rate</t>
  </si>
  <si>
    <t>Note</t>
  </si>
  <si>
    <t>parental</t>
  </si>
  <si>
    <t>Total flutes</t>
  </si>
  <si>
    <t>Est flute (g)</t>
  </si>
  <si>
    <t>Est Total</t>
  </si>
  <si>
    <t>Eggs</t>
  </si>
  <si>
    <t>Trayed Larvae</t>
  </si>
  <si>
    <t>% Egg&gt;Tray</t>
  </si>
  <si>
    <t>Aerated</t>
  </si>
  <si>
    <t>Not aerated</t>
  </si>
  <si>
    <t>Sick/dead</t>
  </si>
  <si>
    <t>3.54g given to otolith</t>
  </si>
  <si>
    <t>6g C,  5g D to Oto</t>
  </si>
  <si>
    <t>2.7221g C, 4.5567g D to oto</t>
  </si>
  <si>
    <t>8.9929g D to oto</t>
  </si>
  <si>
    <t>2.4507g C, 6.2632g D to oto</t>
  </si>
  <si>
    <t>-</t>
  </si>
  <si>
    <t>Passed C,D, 1.6g of A to oto</t>
  </si>
  <si>
    <t>Passed C,D, 3.4G of B to oto</t>
  </si>
  <si>
    <t>50g to oto</t>
  </si>
  <si>
    <t>34.88 to oto</t>
  </si>
  <si>
    <t>111 to oto</t>
  </si>
  <si>
    <t>Date</t>
  </si>
  <si>
    <t>Date Trayed</t>
  </si>
  <si>
    <t>before (cup)</t>
  </si>
  <si>
    <t>after (cup)</t>
  </si>
  <si>
    <t>actual weight</t>
  </si>
  <si>
    <t>no. maggots</t>
  </si>
  <si>
    <t>container weight</t>
  </si>
  <si>
    <t>total weight</t>
  </si>
  <si>
    <t>actual total weight</t>
  </si>
  <si>
    <t>total no. maggots</t>
  </si>
  <si>
    <t>weight of 10000</t>
  </si>
  <si>
    <t xml:space="preserve">no. of trays </t>
  </si>
  <si>
    <t>M(P)</t>
  </si>
  <si>
    <t>total: 25</t>
  </si>
  <si>
    <t xml:space="preserve">E </t>
  </si>
  <si>
    <t>M 26/2 &amp; 28/2</t>
  </si>
  <si>
    <t>weight of sample</t>
  </si>
  <si>
    <t>no. of larvae</t>
  </si>
  <si>
    <t>average larva weight</t>
  </si>
  <si>
    <t>total no. of larvae</t>
  </si>
  <si>
    <t>weight of 10k larvae</t>
  </si>
  <si>
    <t>number of trays</t>
  </si>
  <si>
    <t>number of larvae</t>
  </si>
  <si>
    <t>average weight of larva</t>
  </si>
  <si>
    <t>02/03/2020 + 28/02/2020</t>
  </si>
  <si>
    <t>M + Parentals</t>
  </si>
  <si>
    <t>02/03/2020+4/3/2020</t>
  </si>
  <si>
    <t>6/3/2020 + 9/3/2020</t>
  </si>
  <si>
    <t>6, 9, 11/03/2020</t>
  </si>
  <si>
    <t>4, 6, 09/03/2020</t>
  </si>
  <si>
    <t>3, 6, 9, 11/03/2020</t>
  </si>
  <si>
    <t>4, 6/03/2020</t>
  </si>
  <si>
    <t>10, 13/03/2020</t>
  </si>
  <si>
    <t>Subsample (g)</t>
  </si>
  <si>
    <t>Larvae</t>
  </si>
  <si>
    <t>Total larvae</t>
  </si>
  <si>
    <t>notes</t>
  </si>
  <si>
    <t>Line</t>
  </si>
  <si>
    <t>Tray Date</t>
  </si>
  <si>
    <t>Nursery Mass</t>
  </si>
  <si>
    <t>Subsample1</t>
  </si>
  <si>
    <t>Subsample2</t>
  </si>
  <si>
    <t>Subsample3</t>
  </si>
  <si>
    <t>Larvae1</t>
  </si>
  <si>
    <t>Larvae2</t>
  </si>
  <si>
    <t>Larvae3</t>
  </si>
  <si>
    <t>TotalLarvae1</t>
  </si>
  <si>
    <t>TotalLarvae2</t>
  </si>
  <si>
    <t>Totallarvae3</t>
  </si>
  <si>
    <t>Average</t>
  </si>
  <si>
    <t>Trays</t>
  </si>
  <si>
    <t>g_Tray</t>
  </si>
  <si>
    <t>larvae/Tray</t>
  </si>
  <si>
    <t>Std Dev</t>
  </si>
  <si>
    <t>CV (&lt;0.1 is best)</t>
  </si>
  <si>
    <t>RowNo</t>
  </si>
  <si>
    <t>Notes</t>
  </si>
  <si>
    <t>D-A</t>
  </si>
  <si>
    <t>D-NA</t>
  </si>
  <si>
    <t>16/3, 18/3</t>
  </si>
  <si>
    <t>11,16,18,20,23 March</t>
  </si>
  <si>
    <t>A, C, E, M, P</t>
  </si>
  <si>
    <t>10, 13 April</t>
  </si>
  <si>
    <t>M, B, C, D</t>
  </si>
  <si>
    <t>5 trays</t>
  </si>
  <si>
    <t>15, 17 April</t>
  </si>
  <si>
    <t>Combined</t>
  </si>
  <si>
    <t>into 4 trays^</t>
  </si>
  <si>
    <t>24/4,27/4</t>
  </si>
  <si>
    <t>2 trays</t>
  </si>
  <si>
    <t>1 tray</t>
  </si>
  <si>
    <t>discarded</t>
  </si>
  <si>
    <t>27/4,29/4</t>
  </si>
  <si>
    <t>27/4, 29/4</t>
  </si>
  <si>
    <t>4/5,6/5</t>
  </si>
  <si>
    <t>29/4, 4/5</t>
  </si>
  <si>
    <t>11/5, 8/5</t>
  </si>
  <si>
    <t>8/5, 6/5</t>
  </si>
  <si>
    <t>11/5,13/5</t>
  </si>
  <si>
    <t>13/5,18/5</t>
  </si>
  <si>
    <t>11/5, 6/5</t>
  </si>
  <si>
    <t>18/5,22/5</t>
  </si>
  <si>
    <t>25/5, 27/5</t>
  </si>
  <si>
    <t>25/5,27/5</t>
  </si>
  <si>
    <t>18/5, 27/5</t>
  </si>
  <si>
    <t>29/5, 1/6</t>
  </si>
  <si>
    <t>3/6, 5/6</t>
  </si>
  <si>
    <t>4 trays</t>
  </si>
  <si>
    <t>1/6, 3/6, 5/6</t>
  </si>
  <si>
    <t>8/6, 10/6</t>
  </si>
  <si>
    <t>8/6, 12/6</t>
  </si>
  <si>
    <t>21/6, 17/6</t>
  </si>
  <si>
    <t>17/6, 19/6, 24/6</t>
  </si>
  <si>
    <t>d</t>
  </si>
  <si>
    <t>6/7 ,8/7</t>
  </si>
  <si>
    <t>1/7 ,3/7</t>
  </si>
  <si>
    <t>17/7</t>
  </si>
  <si>
    <t>30/7</t>
  </si>
  <si>
    <t>20/7</t>
  </si>
  <si>
    <t>3 trayed</t>
  </si>
  <si>
    <t>22/7</t>
  </si>
  <si>
    <t>6 trayed</t>
  </si>
  <si>
    <t>24/7</t>
  </si>
  <si>
    <t>27/7</t>
  </si>
  <si>
    <t>17/8</t>
  </si>
  <si>
    <t>27/8</t>
  </si>
  <si>
    <t>27/9</t>
  </si>
  <si>
    <t>31/9</t>
  </si>
  <si>
    <t>19/8</t>
  </si>
  <si>
    <t>21/8</t>
  </si>
  <si>
    <t>31/8</t>
  </si>
  <si>
    <t>14/9</t>
  </si>
  <si>
    <t>17/9</t>
  </si>
  <si>
    <t>21/9</t>
  </si>
  <si>
    <t>24/9</t>
  </si>
  <si>
    <t>30/9</t>
  </si>
  <si>
    <t>16/9</t>
  </si>
  <si>
    <t>18/9</t>
  </si>
  <si>
    <t>23/9</t>
  </si>
  <si>
    <t>28/9</t>
  </si>
  <si>
    <t xml:space="preserve">                       </t>
  </si>
  <si>
    <t>19/10</t>
  </si>
  <si>
    <t>1/10, 5/10</t>
  </si>
  <si>
    <t>L size</t>
  </si>
  <si>
    <t xml:space="preserve">S size </t>
  </si>
  <si>
    <t>20/10</t>
  </si>
  <si>
    <t>L</t>
  </si>
  <si>
    <t>S</t>
  </si>
  <si>
    <t>23/10</t>
  </si>
  <si>
    <t>7/10, 9/10</t>
  </si>
  <si>
    <t>13/10, 14/10</t>
  </si>
  <si>
    <t>28/10</t>
  </si>
  <si>
    <t>16/10</t>
  </si>
  <si>
    <t>14/10</t>
  </si>
  <si>
    <t>21/10, 23/10</t>
  </si>
  <si>
    <t>26/10, 27/10 28/10</t>
  </si>
  <si>
    <t>26/10,28/10</t>
  </si>
  <si>
    <t>30/10</t>
  </si>
  <si>
    <t>13/11</t>
  </si>
  <si>
    <t>30/10, 4/11</t>
  </si>
  <si>
    <t>9/11, 11/11</t>
  </si>
  <si>
    <t>16/11, 18/11</t>
  </si>
  <si>
    <t>18/11</t>
  </si>
  <si>
    <t>18/11, 20/11</t>
  </si>
  <si>
    <t>25/11</t>
  </si>
  <si>
    <t>20/11</t>
  </si>
  <si>
    <t>30/11</t>
  </si>
  <si>
    <t>7/12, 9/12</t>
  </si>
  <si>
    <t xml:space="preserve">A </t>
  </si>
  <si>
    <t>steffi's 3 * 0.5</t>
  </si>
  <si>
    <t>15/12, 16/12</t>
  </si>
  <si>
    <t>30/12/2020</t>
  </si>
  <si>
    <t>16/12, 18/12</t>
  </si>
  <si>
    <t>21/12</t>
  </si>
  <si>
    <t>18/12, 21/12</t>
  </si>
  <si>
    <t>18/12</t>
  </si>
  <si>
    <t>Last Updated:</t>
  </si>
  <si>
    <t>C 20/11/2020</t>
  </si>
  <si>
    <t>Average feed amt to harvest</t>
  </si>
  <si>
    <t>1 scoop (g)</t>
  </si>
  <si>
    <t>550</t>
  </si>
  <si>
    <t>PP percentage</t>
  </si>
  <si>
    <t>larvae + fluff</t>
  </si>
  <si>
    <t>Frass (g)</t>
  </si>
  <si>
    <t>Fluff (g)</t>
  </si>
  <si>
    <t>Diseased tray %</t>
  </si>
  <si>
    <t>FCR (%)</t>
  </si>
  <si>
    <t>tray_ID</t>
  </si>
  <si>
    <t>tray_date</t>
  </si>
  <si>
    <t>larve_number</t>
  </si>
  <si>
    <t>feed_amt</t>
  </si>
  <si>
    <t>NuseryRow</t>
  </si>
  <si>
    <t>tray_status</t>
  </si>
  <si>
    <t>Scp1</t>
  </si>
  <si>
    <t>Scp2</t>
  </si>
  <si>
    <t>Scp3</t>
  </si>
  <si>
    <t>Scp4</t>
  </si>
  <si>
    <t>Scp5</t>
  </si>
  <si>
    <t>Scp6</t>
  </si>
  <si>
    <t>Scp7</t>
  </si>
  <si>
    <t>Scp8</t>
  </si>
  <si>
    <t>Scp9</t>
  </si>
  <si>
    <t>Scp10</t>
  </si>
  <si>
    <t>Scp11</t>
  </si>
  <si>
    <t>Scp12</t>
  </si>
  <si>
    <t>Scp13</t>
  </si>
  <si>
    <t>Scp14</t>
  </si>
  <si>
    <t>Scp15</t>
  </si>
  <si>
    <t>Scp16</t>
  </si>
  <si>
    <t>Scp17</t>
  </si>
  <si>
    <t>Scp18</t>
  </si>
  <si>
    <t>Scp19</t>
  </si>
  <si>
    <t>Scp20</t>
  </si>
  <si>
    <t>tray_age</t>
  </si>
  <si>
    <t>ppp</t>
  </si>
  <si>
    <t>larvae_fluff</t>
  </si>
  <si>
    <t>frass</t>
  </si>
  <si>
    <t>fluff</t>
  </si>
  <si>
    <t>diseased_tray</t>
  </si>
  <si>
    <t>FCR</t>
  </si>
  <si>
    <t>Frass%</t>
  </si>
  <si>
    <t>AVE_FCR_LARVAE</t>
  </si>
  <si>
    <t>A-04.08.2020-01</t>
  </si>
  <si>
    <t>Harvested</t>
  </si>
  <si>
    <t>A-04.08.2020-02</t>
  </si>
  <si>
    <t>A-04.08.2020-03</t>
  </si>
  <si>
    <t>AVE_FCR_FRASS</t>
  </si>
  <si>
    <t>A-04.08.2020-04</t>
  </si>
  <si>
    <t>A-04.08.2020-05</t>
  </si>
  <si>
    <t>A-04.08.2020-06</t>
  </si>
  <si>
    <t>*Data collection started from March 2020</t>
  </si>
  <si>
    <t>A-04.08.2020-07</t>
  </si>
  <si>
    <t>A-04.08.2020-08</t>
  </si>
  <si>
    <t>A-04.08.2020-09</t>
  </si>
  <si>
    <t>food collected (kg)</t>
  </si>
  <si>
    <t>A-07.08.2020-01</t>
  </si>
  <si>
    <t>feed produced (kg)</t>
  </si>
  <si>
    <t>A-07.08.2020-02</t>
  </si>
  <si>
    <t>frass produced (kg)</t>
  </si>
  <si>
    <t>A-07.08.2020-03</t>
  </si>
  <si>
    <t>A-07.08.2020-04</t>
  </si>
  <si>
    <t>A-07.08.2020-05</t>
  </si>
  <si>
    <t>A-07.08.2020-06</t>
  </si>
  <si>
    <t>A-07.08.2020-07</t>
  </si>
  <si>
    <t>A-07.08.2020-08</t>
  </si>
  <si>
    <t>A-07.08.2020-09</t>
  </si>
  <si>
    <t>A-10.03.2020-01</t>
  </si>
  <si>
    <t>A-10.03.2020-02</t>
  </si>
  <si>
    <t>A-10.03.2020-03</t>
  </si>
  <si>
    <t>A-10.03.2020-04</t>
  </si>
  <si>
    <t>A-10.03.2020-05</t>
  </si>
  <si>
    <t>A-10.03.2020-06</t>
  </si>
  <si>
    <t>A-10.03.2020-07</t>
  </si>
  <si>
    <t>A-10.03.2020-08</t>
  </si>
  <si>
    <t>A-10.03.2020-09</t>
  </si>
  <si>
    <t>A-10.03.2020-10</t>
  </si>
  <si>
    <t>A-10.03.2020-11</t>
  </si>
  <si>
    <t>A-10.03.2020-12</t>
  </si>
  <si>
    <t>A-10.03.2020-13</t>
  </si>
  <si>
    <t>A-10.03.2020-14</t>
  </si>
  <si>
    <t>A-10.03.2020-15</t>
  </si>
  <si>
    <t>A-10.03.2020-16</t>
  </si>
  <si>
    <t>A-13.03.2020-02</t>
  </si>
  <si>
    <t>A-13.03.2020-03</t>
  </si>
  <si>
    <t>A-13.03.2020-07</t>
  </si>
  <si>
    <t>A-13.03.2020-09</t>
  </si>
  <si>
    <t>A-13.03.2020-10</t>
  </si>
  <si>
    <t>A-18.03.2020-03</t>
  </si>
  <si>
    <t>A-18.03.2020-16</t>
  </si>
  <si>
    <t>A-18.03.2020-23</t>
  </si>
  <si>
    <t>A-18.03.2020-24</t>
  </si>
  <si>
    <t>A-18.03.2020-25</t>
  </si>
  <si>
    <t>A-26.03.2020-02</t>
  </si>
  <si>
    <t>A-26.03.2020-03</t>
  </si>
  <si>
    <t>A-26.03.2020-05</t>
  </si>
  <si>
    <t>A-26.03.2020-06</t>
  </si>
  <si>
    <t>A-26.03.2020-07</t>
  </si>
  <si>
    <t>A-28.04.2020-01</t>
  </si>
  <si>
    <t>A-28.04.2020-02</t>
  </si>
  <si>
    <t>A-28.04.2020-03</t>
  </si>
  <si>
    <t>A-28.04.2020-04</t>
  </si>
  <si>
    <t>A-28.04.2020-05</t>
  </si>
  <si>
    <t>B-23.04.2020-04</t>
  </si>
  <si>
    <t>Culled</t>
  </si>
  <si>
    <t>B- 21.08.2020-01</t>
  </si>
  <si>
    <t>C-24.09.2020-01</t>
  </si>
  <si>
    <t>24/09/2020</t>
  </si>
  <si>
    <t>C-24.09.2020-03</t>
  </si>
  <si>
    <t>B- 21.08.2020-02</t>
  </si>
  <si>
    <t>B- 21.08.2020-03</t>
  </si>
  <si>
    <t>B- 21.08.2020-04</t>
  </si>
  <si>
    <t>B- 21.08.2020-05</t>
  </si>
  <si>
    <t>B-02.04.2020-01</t>
  </si>
  <si>
    <t>27/04/2020</t>
  </si>
  <si>
    <t>B-02.04.2020-02</t>
  </si>
  <si>
    <t>B-02.04.2020-04</t>
  </si>
  <si>
    <t>B-02.04.2020-05</t>
  </si>
  <si>
    <t>B-02.04.2020-06</t>
  </si>
  <si>
    <t>C-02.10.2020-07*</t>
  </si>
  <si>
    <t>D-02.10.2020-05</t>
  </si>
  <si>
    <t>C-01.05.2020-01</t>
  </si>
  <si>
    <t>B-10.03.2020-01</t>
  </si>
  <si>
    <t>B-10.03.2020-02</t>
  </si>
  <si>
    <t>B-10.03.2020-03</t>
  </si>
  <si>
    <t>B-10.03.2020-04</t>
  </si>
  <si>
    <t>C-01.05.2020-02</t>
  </si>
  <si>
    <t>C-28.04.2020-01</t>
  </si>
  <si>
    <t>B-10.03.2020-05</t>
  </si>
  <si>
    <t>B-11.05.2020-01</t>
  </si>
  <si>
    <t>???</t>
  </si>
  <si>
    <t>B-14.08.2020-01</t>
  </si>
  <si>
    <t>B-14.08.2020-02</t>
  </si>
  <si>
    <t>B-14.08.2020-03</t>
  </si>
  <si>
    <t>B-14.08.2020-04</t>
  </si>
  <si>
    <t>B-14.08.2020-05*</t>
  </si>
  <si>
    <t>*</t>
  </si>
  <si>
    <t>B-18.08.2020-01</t>
  </si>
  <si>
    <t>B-18.08.2020-02</t>
  </si>
  <si>
    <t>B-18.08.2020-03</t>
  </si>
  <si>
    <t>B-19.03.2020-02</t>
  </si>
  <si>
    <t>B-19.03.2020-05</t>
  </si>
  <si>
    <t>B-19.03.2020-08</t>
  </si>
  <si>
    <t>B-19.03.2020-09</t>
  </si>
  <si>
    <t>B-22.06.2020-01</t>
  </si>
  <si>
    <t>B-22.06.2020-02</t>
  </si>
  <si>
    <t>B-23.04.2020-01</t>
  </si>
  <si>
    <t>B-23.04.2020-02</t>
  </si>
  <si>
    <t>B-23.04.2020-03</t>
  </si>
  <si>
    <t>B-23.04.2020-05</t>
  </si>
  <si>
    <t>B-29.04.2020-01</t>
  </si>
  <si>
    <t>B-29.04.2020-02</t>
  </si>
  <si>
    <t>B-29.04.2020-03</t>
  </si>
  <si>
    <t>B-29.04.2020-05</t>
  </si>
  <si>
    <t>B-29.04.2020-06</t>
  </si>
  <si>
    <t>C- 21.08.2020-01</t>
  </si>
  <si>
    <t>18/09/2020</t>
  </si>
  <si>
    <t>23/09/2020</t>
  </si>
  <si>
    <t>C- 21.08.2020-02</t>
  </si>
  <si>
    <t>C- 21.08.2020-03</t>
  </si>
  <si>
    <t>C- 21.08.2020-04</t>
  </si>
  <si>
    <t>C- 21.08.2020-05</t>
  </si>
  <si>
    <t>C- 21.08.2020-06</t>
  </si>
  <si>
    <t>C-28.04.2020-02</t>
  </si>
  <si>
    <t>M-07.05.2020-01</t>
  </si>
  <si>
    <t>M-07.05.2020-02</t>
  </si>
  <si>
    <t>D-23.04.2020-01</t>
  </si>
  <si>
    <t>C-18.05.2020-01</t>
  </si>
  <si>
    <t>C-18.05.2020-02</t>
  </si>
  <si>
    <t>C-18.05.2020-03</t>
  </si>
  <si>
    <t>C-03.09.2020-01</t>
  </si>
  <si>
    <t>C-03.09.2020-02</t>
  </si>
  <si>
    <t>C-03.09.2020-03</t>
  </si>
  <si>
    <t>C-03.09.2020-04</t>
  </si>
  <si>
    <t>C-03.09.2020-05</t>
  </si>
  <si>
    <t>C-04.08.2020-01</t>
  </si>
  <si>
    <t>C-04.08.2020-02</t>
  </si>
  <si>
    <t>C-04.08.2020-03</t>
  </si>
  <si>
    <t>C-04.08.2020-04</t>
  </si>
  <si>
    <t>C-04.08.2020-05</t>
  </si>
  <si>
    <t>C-04.08.2020-06</t>
  </si>
  <si>
    <t>C-04.08.2020-07</t>
  </si>
  <si>
    <t>C-04.08.2020-08</t>
  </si>
  <si>
    <t>C-04.08.2020-09</t>
  </si>
  <si>
    <t>C-04.08.2020-10</t>
  </si>
  <si>
    <t>C-05.05.2020-01</t>
  </si>
  <si>
    <t>C-05.05.2020-02</t>
  </si>
  <si>
    <t>C-05.05.2020-03</t>
  </si>
  <si>
    <t>C-05.05.2020-04</t>
  </si>
  <si>
    <t>C-05.06.2020-01</t>
  </si>
  <si>
    <t>C-05.06.2020-04</t>
  </si>
  <si>
    <t>C-05.06.2020-06</t>
  </si>
  <si>
    <t>C-05.06.2020-07</t>
  </si>
  <si>
    <t>E-12.05.2020-01</t>
  </si>
  <si>
    <t>E-12.05.2020-02</t>
  </si>
  <si>
    <t>C-05.06.2020-08</t>
  </si>
  <si>
    <t>C-05.06.2020-09</t>
  </si>
  <si>
    <t>C-05.06.2020-10</t>
  </si>
  <si>
    <t>C-07.08.2020-01</t>
  </si>
  <si>
    <t>C-07.08.2020-03</t>
  </si>
  <si>
    <t>C-07.08.2020-04</t>
  </si>
  <si>
    <t>C-07.08.2020-05</t>
  </si>
  <si>
    <t>C-07.08.2020-06</t>
  </si>
  <si>
    <t>C-07.08.2020-07</t>
  </si>
  <si>
    <t>C-07.08.2020-08</t>
  </si>
  <si>
    <t>E-12.05.2020-03</t>
  </si>
  <si>
    <t>E-12.05.2020-04</t>
  </si>
  <si>
    <t>C-08.06.2020-*</t>
  </si>
  <si>
    <t>C-11.03.2020-03</t>
  </si>
  <si>
    <t>C-11.03.2020-05</t>
  </si>
  <si>
    <t>C-11.03.2020-10</t>
  </si>
  <si>
    <t>C-11.03.2020-11</t>
  </si>
  <si>
    <t>C-11.03.2020-16</t>
  </si>
  <si>
    <t>C-15.07.2020-01</t>
  </si>
  <si>
    <t>C-15.07.2020-02</t>
  </si>
  <si>
    <t>C-15.07.2020-03</t>
  </si>
  <si>
    <t>C-15.07.2020-04</t>
  </si>
  <si>
    <t>C-15.07.2020-05</t>
  </si>
  <si>
    <t>E-12.05.2020-05</t>
  </si>
  <si>
    <t>E-12.05.2020-06</t>
  </si>
  <si>
    <t>C-15.07.2020-06</t>
  </si>
  <si>
    <t>C-17.07.2020-01</t>
  </si>
  <si>
    <t>C-17.07.2020-02</t>
  </si>
  <si>
    <t>E-12.05.2020-07</t>
  </si>
  <si>
    <t>C-17.07.2020-03</t>
  </si>
  <si>
    <t>C-17.07.2020-04</t>
  </si>
  <si>
    <t>M-15.05.2020-04</t>
  </si>
  <si>
    <t>M-15.05.2020-05</t>
  </si>
  <si>
    <t>B-29.04.2020-04</t>
  </si>
  <si>
    <t>A-05.05.2020-01</t>
  </si>
  <si>
    <t>A-05.05.2020-03</t>
  </si>
  <si>
    <t>A-05.05.2020-04</t>
  </si>
  <si>
    <t>A-11.05.2020-01</t>
  </si>
  <si>
    <t>B-15.05.2020-01</t>
  </si>
  <si>
    <t>B-15.05.2020-02</t>
  </si>
  <si>
    <t>B-15.05.2020-03</t>
  </si>
  <si>
    <t>B-15.05.2020-04</t>
  </si>
  <si>
    <t>D-21.05.2020-01</t>
  </si>
  <si>
    <t>D-21.05.2020-02</t>
  </si>
  <si>
    <t>D-21.05.2020-03</t>
  </si>
  <si>
    <t>D-21.05.2020-04</t>
  </si>
  <si>
    <t>D-21.05.2020-05</t>
  </si>
  <si>
    <t>A-05.05.2020-02</t>
  </si>
  <si>
    <t>A-11.05.2020-03</t>
  </si>
  <si>
    <t>A-11.05.2020-04</t>
  </si>
  <si>
    <t>A-18.05.2020-01</t>
  </si>
  <si>
    <t>A-18.05.2020-02</t>
  </si>
  <si>
    <t>A-18.05.2020-03</t>
  </si>
  <si>
    <t>A-18.05.2020-04</t>
  </si>
  <si>
    <t>B-26.05.2020-01</t>
  </si>
  <si>
    <t>A-21.05.2020-05</t>
  </si>
  <si>
    <t>A-21.05.2020-06</t>
  </si>
  <si>
    <t>D-12.05.2020-01</t>
  </si>
  <si>
    <t>B-15.05.2020-05</t>
  </si>
  <si>
    <t>B-15.05.2020-06</t>
  </si>
  <si>
    <t>B-15.05.2020-07</t>
  </si>
  <si>
    <t>B-21.05.2020-01</t>
  </si>
  <si>
    <t>B-26.05.2020-02</t>
  </si>
  <si>
    <t>D-15.05.2020-01</t>
  </si>
  <si>
    <t>D-26.05.2020-01</t>
  </si>
  <si>
    <t>M-01.06.2020-01</t>
  </si>
  <si>
    <t>M-01.06.2020-02</t>
  </si>
  <si>
    <t>B-18.05.2020-01</t>
  </si>
  <si>
    <t>B-18.05.2020-02</t>
  </si>
  <si>
    <t>C-21.05.2020-06</t>
  </si>
  <si>
    <t>B-18.05.2020-03</t>
  </si>
  <si>
    <t>A-21.05.2020-01</t>
  </si>
  <si>
    <t>A-21.05.2020-02</t>
  </si>
  <si>
    <t>A-21.05.2020-03</t>
  </si>
  <si>
    <t>A-21.05.2020-04</t>
  </si>
  <si>
    <t>A-26.05.2020-02</t>
  </si>
  <si>
    <t>E-11.06.2020-01</t>
  </si>
  <si>
    <t>E-11.06.2020-02</t>
  </si>
  <si>
    <t>E-11.06.2020-03</t>
  </si>
  <si>
    <t>E-11.06.2020-04</t>
  </si>
  <si>
    <t>E-11.06.2020-05</t>
  </si>
  <si>
    <t>E-11.06.2020-07</t>
  </si>
  <si>
    <t>E-11.06.2020-09</t>
  </si>
  <si>
    <t>E-11.06.2020-10</t>
  </si>
  <si>
    <t>E-11.06.2020-11</t>
  </si>
  <si>
    <t>A-26.05.2020-01</t>
  </si>
  <si>
    <t>B-05.06.2020-01</t>
  </si>
  <si>
    <t>D-12.05.2020-02</t>
  </si>
  <si>
    <t>C-12.05.2020-01</t>
  </si>
  <si>
    <t>C-21.05.2020-07</t>
  </si>
  <si>
    <t>E-11.06.2020-06</t>
  </si>
  <si>
    <t>E-11.06.2020-08</t>
  </si>
  <si>
    <t>M-12.06.2020-01</t>
  </si>
  <si>
    <t>C-08.06.2020- 02</t>
  </si>
  <si>
    <t>C-17.07.2020-05</t>
  </si>
  <si>
    <t>C-08.06.2020-01</t>
  </si>
  <si>
    <t>B-11.06.2020-01</t>
  </si>
  <si>
    <t>B-11.06.2020-02</t>
  </si>
  <si>
    <t>B-11.06.2020-03</t>
  </si>
  <si>
    <t>C-19.03.2020-01</t>
  </si>
  <si>
    <t>C-19.03.2020-02</t>
  </si>
  <si>
    <t>C-19.03.2020-03</t>
  </si>
  <si>
    <t>C-19.03.2020-04</t>
  </si>
  <si>
    <t>C-21.05.2020-01</t>
  </si>
  <si>
    <t>C-21.05.2020-04</t>
  </si>
  <si>
    <t>C-21.05.2020-05</t>
  </si>
  <si>
    <t>C-24.07.2020-01</t>
  </si>
  <si>
    <t>C-21.05.2020-02</t>
  </si>
  <si>
    <t>C-24.07.2020-02</t>
  </si>
  <si>
    <t>C-24.07.2020-03</t>
  </si>
  <si>
    <t>C-21.05.2020-03</t>
  </si>
  <si>
    <t>C-12.05.2020-02</t>
  </si>
  <si>
    <t>C-12.05.2020-03</t>
  </si>
  <si>
    <t>C-26.05.2020-02</t>
  </si>
  <si>
    <t>E-05.06.2020-03</t>
  </si>
  <si>
    <t>B- 16.06.2020-01</t>
  </si>
  <si>
    <t>B- 16.06.2020-02</t>
  </si>
  <si>
    <t>B- 16.06.2020-03</t>
  </si>
  <si>
    <t>B- 16.06.2020-04</t>
  </si>
  <si>
    <t>C-23.06.2020-01</t>
  </si>
  <si>
    <t>C-23.06.2020-02</t>
  </si>
  <si>
    <t>C-23.06.2020-03</t>
  </si>
  <si>
    <t>C-12.05.2020-06</t>
  </si>
  <si>
    <t>C-26.05.2020-01</t>
  </si>
  <si>
    <t>E-17.06.2020-05</t>
  </si>
  <si>
    <t>E-17.06.2020-06</t>
  </si>
  <si>
    <t>C-27.07.2020-02</t>
  </si>
  <si>
    <t>C-27.07.2020-03</t>
  </si>
  <si>
    <t>C-12.05.2020-04</t>
  </si>
  <si>
    <t>C-12.05.2020-05</t>
  </si>
  <si>
    <t>C-27.07.2020-04</t>
  </si>
  <si>
    <t>C-05.06.2020-03</t>
  </si>
  <si>
    <t>C-27.08.2020-02</t>
  </si>
  <si>
    <t>C-27.08.2020-03</t>
  </si>
  <si>
    <t>C-29.07.2020-01</t>
  </si>
  <si>
    <t>C-29.07.2020-02</t>
  </si>
  <si>
    <t>C-29.07.2020-03</t>
  </si>
  <si>
    <t>C-29.07.2020-04</t>
  </si>
  <si>
    <t>C-29.07.2020-05</t>
  </si>
  <si>
    <t>D-26.01.2020-01</t>
  </si>
  <si>
    <t>D-26.01.2020-02</t>
  </si>
  <si>
    <t>D-26.01.2020-03</t>
  </si>
  <si>
    <t>D-26.01.2020-04</t>
  </si>
  <si>
    <t>D-26.01.2020-05</t>
  </si>
  <si>
    <t>D-26.01.2020-06</t>
  </si>
  <si>
    <t>E-26.06.2020-01</t>
  </si>
  <si>
    <t>E-26.06.2020-02</t>
  </si>
  <si>
    <t>E-26.06.2020-*</t>
  </si>
  <si>
    <t>C-29.07.2020-09</t>
  </si>
  <si>
    <t>C-05.06.2020-02</t>
  </si>
  <si>
    <t>C-05.06.2020-05</t>
  </si>
  <si>
    <t>C-31.08.2020-01</t>
  </si>
  <si>
    <t>C-07.08.2020-02</t>
  </si>
  <si>
    <t>C-31.08.2020-02</t>
  </si>
  <si>
    <t>C-31.08.2020-03</t>
  </si>
  <si>
    <t>C-31.08.2020-04</t>
  </si>
  <si>
    <t>C-31.08.2020-05</t>
  </si>
  <si>
    <t>C-31.08.2020-06</t>
  </si>
  <si>
    <t>C-22.07.2020-02</t>
  </si>
  <si>
    <t>C-27.07.2020-01</t>
  </si>
  <si>
    <t>C-04.08.2020-12</t>
  </si>
  <si>
    <t>C-04.08.2020-13</t>
  </si>
  <si>
    <t>C-18.08.2020-01</t>
  </si>
  <si>
    <t>C-29.07.2020-06</t>
  </si>
  <si>
    <t>C-29.07.2020-07</t>
  </si>
  <si>
    <t>C-29.07.2020-08</t>
  </si>
  <si>
    <t>C-29.07.2020-10</t>
  </si>
  <si>
    <t>C-18.08.2020-02</t>
  </si>
  <si>
    <t>D-09.09.2020-06</t>
  </si>
  <si>
    <t>D-09.09.2020-08</t>
  </si>
  <si>
    <t>D-09.09.2020-09</t>
  </si>
  <si>
    <t>D-09.09.2020-10</t>
  </si>
  <si>
    <t>D-09.09.2020-11</t>
  </si>
  <si>
    <t>A-11.06.2020-02</t>
  </si>
  <si>
    <t>A-19.06.2020-01</t>
  </si>
  <si>
    <t>A-19.06.2020-02</t>
  </si>
  <si>
    <t>A-19.06.2020-03</t>
  </si>
  <si>
    <t>A-19.06.2020-04</t>
  </si>
  <si>
    <t>A-19.06.2020-05</t>
  </si>
  <si>
    <t>D- 21.08.2020-01</t>
  </si>
  <si>
    <t>D- 21.08.2020-02</t>
  </si>
  <si>
    <t>A-29.06.2020-01</t>
  </si>
  <si>
    <t>A-29.06.2020-02</t>
  </si>
  <si>
    <t>B-19.06.2020-01</t>
  </si>
  <si>
    <t>B-19.06.2020-02</t>
  </si>
  <si>
    <t>B-26.06.2020-*</t>
  </si>
  <si>
    <t>?</t>
  </si>
  <si>
    <t>D-23.06.2020-01</t>
  </si>
  <si>
    <t>D-23.06.2020-02</t>
  </si>
  <si>
    <t>D-23.06.2020-03</t>
  </si>
  <si>
    <t>D-23.06.2020-04</t>
  </si>
  <si>
    <t>D-23.06.2020-05</t>
  </si>
  <si>
    <t>E-17.06.2020-01</t>
  </si>
  <si>
    <t>E-17.06.2020-02</t>
  </si>
  <si>
    <t>E-17.06.2020-03</t>
  </si>
  <si>
    <t>E-17.06.2020-04</t>
  </si>
  <si>
    <t>C-29.06.2020-02</t>
  </si>
  <si>
    <t>C-29.06.2020-01</t>
  </si>
  <si>
    <t>D-02.07.2020-04</t>
  </si>
  <si>
    <t>B-01.07.2020-01</t>
  </si>
  <si>
    <t>B-01.07.2020-02</t>
  </si>
  <si>
    <t>E-17.07.2020-11</t>
  </si>
  <si>
    <t>E-17.07.2020-01</t>
  </si>
  <si>
    <t>E-17.07.2020-02</t>
  </si>
  <si>
    <t>E-17.07.2020-05</t>
  </si>
  <si>
    <t>E-17.07.2020-08</t>
  </si>
  <si>
    <t>E-17.07.2020-09</t>
  </si>
  <si>
    <t>E-17.07.2020-10</t>
  </si>
  <si>
    <t>E-17.07.2020-12</t>
  </si>
  <si>
    <t>E-17.07.2020-13</t>
  </si>
  <si>
    <t>E-17.07.2020-14</t>
  </si>
  <si>
    <t>E-17.07.2020-15</t>
  </si>
  <si>
    <t>E-17.07.2020-16</t>
  </si>
  <si>
    <t>E-17.07.2020-17</t>
  </si>
  <si>
    <t>D-01.04.2020-03</t>
  </si>
  <si>
    <t>D-01.04.2020-05</t>
  </si>
  <si>
    <t>D-01.04.2020-06</t>
  </si>
  <si>
    <t>D-01.04.2020-07</t>
  </si>
  <si>
    <t>D-01.04.2020-08</t>
  </si>
  <si>
    <t>D-01.06.2020-01</t>
  </si>
  <si>
    <t>D-01.06.2020-02</t>
  </si>
  <si>
    <t>D-01.06.2020-03</t>
  </si>
  <si>
    <t>D-01.06.2020-04</t>
  </si>
  <si>
    <t>D-01.06.2020-05</t>
  </si>
  <si>
    <t>D-01.06.2020-06</t>
  </si>
  <si>
    <t>E-17.07.2020-18</t>
  </si>
  <si>
    <t>E-17.07.2020-19</t>
  </si>
  <si>
    <t>E-17.07.2020-20</t>
  </si>
  <si>
    <t>E-17.07.2020-22</t>
  </si>
  <si>
    <t>E-17.07.2020-23</t>
  </si>
  <si>
    <t>E-17.07.2020-24</t>
  </si>
  <si>
    <t>D-03.09.2020-01</t>
  </si>
  <si>
    <t>D-03.09.2020-02</t>
  </si>
  <si>
    <t>D-03.09.2020-03</t>
  </si>
  <si>
    <t>D-03.09.2020-10</t>
  </si>
  <si>
    <t>D-03.09.2020-11</t>
  </si>
  <si>
    <t>D-03.09.2020-12</t>
  </si>
  <si>
    <t>D-03.09.2020-4</t>
  </si>
  <si>
    <t>D-03.09.2020-5</t>
  </si>
  <si>
    <t>D-03.09.2020-6</t>
  </si>
  <si>
    <t>D-03.09.2020-7</t>
  </si>
  <si>
    <t>D-03.09.2020-8</t>
  </si>
  <si>
    <t>D-03.09.2020-9</t>
  </si>
  <si>
    <t>D-04.08.2020-01</t>
  </si>
  <si>
    <t>D-04.08.2020-02</t>
  </si>
  <si>
    <t>D-04.08.2020-03</t>
  </si>
  <si>
    <t>D-04.08.2020-04</t>
  </si>
  <si>
    <t>D-04.08.2020-05</t>
  </si>
  <si>
    <t>E-17.07.2020-25</t>
  </si>
  <si>
    <t>E-17.07.2020-03</t>
  </si>
  <si>
    <t>E-17.07.2020-04</t>
  </si>
  <si>
    <t>E-17.07.2020-06</t>
  </si>
  <si>
    <t>E-17.07.2020-07*</t>
  </si>
  <si>
    <t>E-17.07.2020-21</t>
  </si>
  <si>
    <t>C-17.07.2020-08</t>
  </si>
  <si>
    <t>D-22.07.2020-01</t>
  </si>
  <si>
    <t>D-22.07.2020-02</t>
  </si>
  <si>
    <t>D-22.07.2020-03</t>
  </si>
  <si>
    <t>D-22.07.2020-04</t>
  </si>
  <si>
    <t>D-04.08.2020-06</t>
  </si>
  <si>
    <t>D-04.08.2020-07</t>
  </si>
  <si>
    <t>D-04.08.2020-08</t>
  </si>
  <si>
    <t>D-04.08.2020-09</t>
  </si>
  <si>
    <t>D-22.07.2020-05</t>
  </si>
  <si>
    <t>D-22.07.2020-06</t>
  </si>
  <si>
    <t>D-22.07.2020-07</t>
  </si>
  <si>
    <t>D-22.07.2020-08</t>
  </si>
  <si>
    <t>D-24.07.2020-01</t>
  </si>
  <si>
    <t>D-24.07.2020-02</t>
  </si>
  <si>
    <t>D-24.07.2020-03</t>
  </si>
  <si>
    <t>D-24.07.2020-04</t>
  </si>
  <si>
    <t>D-24.07.2020-05</t>
  </si>
  <si>
    <t>D-24.07.2020-06</t>
  </si>
  <si>
    <t>D-24.07.2020-07</t>
  </si>
  <si>
    <t>D-24.07.2020-08</t>
  </si>
  <si>
    <t>D-24.07.2020-09</t>
  </si>
  <si>
    <t>D-24.07.2020-10</t>
  </si>
  <si>
    <t>D-24.07.2020-11</t>
  </si>
  <si>
    <t>D-24.07.2020-13</t>
  </si>
  <si>
    <t>D-24.07.2020-15</t>
  </si>
  <si>
    <t>D-24.07.2020-16</t>
  </si>
  <si>
    <t>D-24.07.2020-17</t>
  </si>
  <si>
    <t>B- 21.08.2020-06</t>
  </si>
  <si>
    <t>B-18.08.2020-06</t>
  </si>
  <si>
    <t>D- 21.08.2020-03</t>
  </si>
  <si>
    <t>D-27.08.2020-01</t>
  </si>
  <si>
    <t>D-27.08.2020-03</t>
  </si>
  <si>
    <t>D-30.09.2020-01</t>
  </si>
  <si>
    <t>30/09/2020</t>
  </si>
  <si>
    <t>D-30.09.2020-02</t>
  </si>
  <si>
    <t>D-30.09.2020-03</t>
  </si>
  <si>
    <t>C-02.10.2020-04</t>
  </si>
  <si>
    <t>C-09.09.2020-02</t>
  </si>
  <si>
    <t>C-14.09.2020-07</t>
  </si>
  <si>
    <t>14/9/2020</t>
  </si>
  <si>
    <t>C-17.09.2020-01</t>
  </si>
  <si>
    <t>17/9/2020</t>
  </si>
  <si>
    <t>D-11.09.2020-03</t>
  </si>
  <si>
    <t>C-21.09.2020-10</t>
  </si>
  <si>
    <t>21/9/2020</t>
  </si>
  <si>
    <t>21/09/2020</t>
  </si>
  <si>
    <t>C-21.09.2020-13</t>
  </si>
  <si>
    <t>A-06.10.2020-01</t>
  </si>
  <si>
    <t>A-06.10.2020-02</t>
  </si>
  <si>
    <t>A-06.10.2020-03</t>
  </si>
  <si>
    <t>A-06.10.2020-04</t>
  </si>
  <si>
    <t>A-06.10.2020-05</t>
  </si>
  <si>
    <t>A-06.10.2020-08</t>
  </si>
  <si>
    <t>A-06.10.2020-09</t>
  </si>
  <si>
    <t>D-04.08.2020-10</t>
  </si>
  <si>
    <t>D-04.08.2020-11</t>
  </si>
  <si>
    <t>D-05.06.2020-01</t>
  </si>
  <si>
    <t>D-05.06.2020-02</t>
  </si>
  <si>
    <t>E-02.10.2020-01</t>
  </si>
  <si>
    <t>E-02.10.2020-02</t>
  </si>
  <si>
    <t>E-02.10.2020-03</t>
  </si>
  <si>
    <t>E-02.10.2020-04</t>
  </si>
  <si>
    <t>E-02.10.2020-05</t>
  </si>
  <si>
    <t>E-30.09.2020-01</t>
  </si>
  <si>
    <t>E-30.09.2020-02</t>
  </si>
  <si>
    <t>E-30.09.2020-03</t>
  </si>
  <si>
    <t>E-30.09.2020-04</t>
  </si>
  <si>
    <t>B-09.10.2020-01</t>
  </si>
  <si>
    <t>B-09.10.2020-02</t>
  </si>
  <si>
    <t>D-05.06.2020-03</t>
  </si>
  <si>
    <t>B-09.10.2020-03</t>
  </si>
  <si>
    <t>D-05.06.2020-04</t>
  </si>
  <si>
    <t>B-09.10.2020-04</t>
  </si>
  <si>
    <t>B-09.10.2020-05</t>
  </si>
  <si>
    <t>B-09.10.2020-06</t>
  </si>
  <si>
    <t>D-05.06.2020-05</t>
  </si>
  <si>
    <t>D-05.06.2020-06</t>
  </si>
  <si>
    <t>D-05.06.2020-07</t>
  </si>
  <si>
    <t>B-09.10.2020-07</t>
  </si>
  <si>
    <t>B-09.10.2020-08</t>
  </si>
  <si>
    <t>D-07.08.2020-01</t>
  </si>
  <si>
    <t>B-09.10.2020-09</t>
  </si>
  <si>
    <t>D-07.08.2020-02</t>
  </si>
  <si>
    <t>D-07.08.2020-03</t>
  </si>
  <si>
    <t>D-07.08.2020-04</t>
  </si>
  <si>
    <t>D-07.08.2020-05</t>
  </si>
  <si>
    <t>D-07.08.2020-06</t>
  </si>
  <si>
    <t>D-07.08.2020-07</t>
  </si>
  <si>
    <t>D-07.08.2020-08</t>
  </si>
  <si>
    <t>D-07.08.2020-09</t>
  </si>
  <si>
    <t>B-09.10.2020-10</t>
  </si>
  <si>
    <t>A-06.10.2020-06</t>
  </si>
  <si>
    <t>D-07.08.2020-10</t>
  </si>
  <si>
    <t>D-11.03.2020-01</t>
  </si>
  <si>
    <t>D-11.03.2020-07</t>
  </si>
  <si>
    <t>D-11.03.2020-16</t>
  </si>
  <si>
    <t>D-11.03.2020-17</t>
  </si>
  <si>
    <t>C-02.10.2020-01</t>
  </si>
  <si>
    <t>C-02.10.2020-02</t>
  </si>
  <si>
    <t>C-02.10.2020-03</t>
  </si>
  <si>
    <t>D-11.03.2020-20</t>
  </si>
  <si>
    <t>D-11.05.2020-01</t>
  </si>
  <si>
    <t>D-15.07.2020-01</t>
  </si>
  <si>
    <t>D-15.07.2020-02</t>
  </si>
  <si>
    <t>D-15.07.2020-03</t>
  </si>
  <si>
    <t>D-15.07.2020-04</t>
  </si>
  <si>
    <t>D-15.07.2020-05</t>
  </si>
  <si>
    <t>D-15.07.2020-06</t>
  </si>
  <si>
    <t>C-02.10.2020-05</t>
  </si>
  <si>
    <t>C-02.10.2020-06</t>
  </si>
  <si>
    <t>D-23.04.2020-02</t>
  </si>
  <si>
    <t>A-01.10.2020-01</t>
  </si>
  <si>
    <t>D-15.07.2020-07</t>
  </si>
  <si>
    <t>A-01.10.2020-02</t>
  </si>
  <si>
    <t>A-01.10.2020-03</t>
  </si>
  <si>
    <t>A-01.10.2020-04</t>
  </si>
  <si>
    <t>D-15.07.2020-08</t>
  </si>
  <si>
    <t>D-15.07.2020-09</t>
  </si>
  <si>
    <t>D-15.07.2020-10</t>
  </si>
  <si>
    <t>D-15.07.2020-11</t>
  </si>
  <si>
    <t>D-15.07.2020-12</t>
  </si>
  <si>
    <t>B-01.05.2020-01</t>
  </si>
  <si>
    <t>B-01.05.2020-02</t>
  </si>
  <si>
    <t>B-01.05.2020-03</t>
  </si>
  <si>
    <t>B-01.05.2020-04</t>
  </si>
  <si>
    <t>C-23.04.2020-01</t>
  </si>
  <si>
    <t>M-23.04.2020-01</t>
  </si>
  <si>
    <t>D-15.07.2020-13</t>
  </si>
  <si>
    <t>D-15.07.2020-14</t>
  </si>
  <si>
    <t>D-15.07.2020-15</t>
  </si>
  <si>
    <t>D-15.07.2020-16</t>
  </si>
  <si>
    <t>D-15.07.2020-17</t>
  </si>
  <si>
    <t>D-18.03.2020-02</t>
  </si>
  <si>
    <t>A-11.06.2020-01</t>
  </si>
  <si>
    <t>D-18.03.2020-05</t>
  </si>
  <si>
    <t>D-18.03.2020-08</t>
  </si>
  <si>
    <t>D-18.03.2020-11</t>
  </si>
  <si>
    <t>D-18.03.2020-15</t>
  </si>
  <si>
    <t>D-18.08.2020-01</t>
  </si>
  <si>
    <t>D-18.08.2020-02</t>
  </si>
  <si>
    <t>A-22.06.2020-01</t>
  </si>
  <si>
    <t>D-23.04.2020-03</t>
  </si>
  <si>
    <t>D-26.03.2020-01</t>
  </si>
  <si>
    <t>D-26.03.2020-05</t>
  </si>
  <si>
    <t>A-22.06.2020-02</t>
  </si>
  <si>
    <t>D-26.03.2020-09</t>
  </si>
  <si>
    <t>D-26.03.2020-10</t>
  </si>
  <si>
    <t>D-26.03.2020-13</t>
  </si>
  <si>
    <t>A-22.06.2020-03</t>
  </si>
  <si>
    <t>D-27.03.2020-A01</t>
  </si>
  <si>
    <t>A-22.06.2020-04</t>
  </si>
  <si>
    <t>A- 16.06.2020-01</t>
  </si>
  <si>
    <t>D-27.03.2020-A02</t>
  </si>
  <si>
    <t>D-27.03.2020-A03</t>
  </si>
  <si>
    <t>D-27.03.2020-A04</t>
  </si>
  <si>
    <t>D-27.03.2020-A05</t>
  </si>
  <si>
    <t>D-27.03.2020-A06</t>
  </si>
  <si>
    <t>A- 16.06.2020-02</t>
  </si>
  <si>
    <t>D-27.03.2020-NA01</t>
  </si>
  <si>
    <t>D-27.03.2020-NA02</t>
  </si>
  <si>
    <t>D-27.03.2020-NA03</t>
  </si>
  <si>
    <t>D-27.03.2020-NA04</t>
  </si>
  <si>
    <t>D-27.07.2020-08</t>
  </si>
  <si>
    <t>A- 16.06.2020-03</t>
  </si>
  <si>
    <t>A- 16.06.2020-04</t>
  </si>
  <si>
    <t>A- 16.06.2020-05</t>
  </si>
  <si>
    <t>D-27.08.2020-04</t>
  </si>
  <si>
    <t>D-02.07.2020-01</t>
  </si>
  <si>
    <t>D-02.07.2020-02</t>
  </si>
  <si>
    <t>D-27.08.2020-05</t>
  </si>
  <si>
    <t>D-27.08.2020-06</t>
  </si>
  <si>
    <t>D-27.08.2020-07</t>
  </si>
  <si>
    <t>D-29.06.2020-01</t>
  </si>
  <si>
    <t>D-29.06.2020-02</t>
  </si>
  <si>
    <t>D-29.06.2020-03</t>
  </si>
  <si>
    <t>D-29.06.2020-04</t>
  </si>
  <si>
    <t>D-29.07.2020-1</t>
  </si>
  <si>
    <t>D-29.07.2020-10</t>
  </si>
  <si>
    <t>D-29.07.2020-11</t>
  </si>
  <si>
    <t>D-29.07.2020-3</t>
  </si>
  <si>
    <t>D-29.07.2020-5</t>
  </si>
  <si>
    <t>D-29.07.2020-6</t>
  </si>
  <si>
    <t>D-29.07.2020-7</t>
  </si>
  <si>
    <t>D-29.07.2020-8</t>
  </si>
  <si>
    <t>A-01.10.2020-05</t>
  </si>
  <si>
    <t>A-01.10.2020-06</t>
  </si>
  <si>
    <t>A-01.10.2020-07</t>
  </si>
  <si>
    <t>A-02.10.2020-01</t>
  </si>
  <si>
    <t>A-02.10.2020-02</t>
  </si>
  <si>
    <t>A-02.10.2020-03</t>
  </si>
  <si>
    <t>A-02.10.2020-04</t>
  </si>
  <si>
    <t>A-02.10.2020-05</t>
  </si>
  <si>
    <t>D-02.07.2020-03</t>
  </si>
  <si>
    <t>D-29.07.2020-9</t>
  </si>
  <si>
    <t>D-13.07.2020-01</t>
  </si>
  <si>
    <t>D-13.07.2020-02</t>
  </si>
  <si>
    <t>D-13.07.2020-03</t>
  </si>
  <si>
    <t>D-13.07.2020-04</t>
  </si>
  <si>
    <t>D-13.07.2020-05</t>
  </si>
  <si>
    <t>D-13.07.2020-06</t>
  </si>
  <si>
    <t>D-13.07.2020-07</t>
  </si>
  <si>
    <t>D-13.07.2020-08</t>
  </si>
  <si>
    <t>D-13.07.2020-09</t>
  </si>
  <si>
    <t>D-31.08.2020-01</t>
  </si>
  <si>
    <t>A-02.10.2020-06</t>
  </si>
  <si>
    <t>D-13.07.2020-10</t>
  </si>
  <si>
    <t>A-02.10.2020-07</t>
  </si>
  <si>
    <t>D-31.08.2020-02</t>
  </si>
  <si>
    <t>D-31.08.2020-03</t>
  </si>
  <si>
    <t>A-02.10.2020-08</t>
  </si>
  <si>
    <t>D-13.07.2020-11</t>
  </si>
  <si>
    <t>D-31.08.2020-04</t>
  </si>
  <si>
    <t>D-31.08.2020-05</t>
  </si>
  <si>
    <t>D-31.08.2020-06</t>
  </si>
  <si>
    <t>D-13.07.2020-12</t>
  </si>
  <si>
    <t>E-04.08.2020-01</t>
  </si>
  <si>
    <t>D-13.07.2020-13</t>
  </si>
  <si>
    <t>E-04.08.2020-02</t>
  </si>
  <si>
    <t>E-04.08.2020-03</t>
  </si>
  <si>
    <t>E-05.06.2020-01</t>
  </si>
  <si>
    <t>E-05.06.2020-02</t>
  </si>
  <si>
    <t>E-05.06.2020-04</t>
  </si>
  <si>
    <t>E-05.06.2020-05</t>
  </si>
  <si>
    <t>E-13.03.2020-02</t>
  </si>
  <si>
    <t>E-13.03.2020-03</t>
  </si>
  <si>
    <t>C-17.07.2020-06</t>
  </si>
  <si>
    <t>C-17.07.2020-07</t>
  </si>
  <si>
    <t>C-22.07.2020-01</t>
  </si>
  <si>
    <t>C-22.07.2020-03</t>
  </si>
  <si>
    <t>D-20.07.2020-01</t>
  </si>
  <si>
    <t>D-20.07.2020-02</t>
  </si>
  <si>
    <t>D-20.07.2020-03</t>
  </si>
  <si>
    <t>E-22.07.2020-01</t>
  </si>
  <si>
    <t>E-22.07.2020-02</t>
  </si>
  <si>
    <t>E-22.07.2020-03</t>
  </si>
  <si>
    <t>E-13.03.2020-07</t>
  </si>
  <si>
    <t>E-13.03.2020-15</t>
  </si>
  <si>
    <t>E-13.03.2020-16</t>
  </si>
  <si>
    <t>E-13.03.2020-18</t>
  </si>
  <si>
    <t>E-13.03.2020-20</t>
  </si>
  <si>
    <t>E-19.03.2020-01</t>
  </si>
  <si>
    <t>E-19.03.2020-09</t>
  </si>
  <si>
    <t>E-19.03.2020-10</t>
  </si>
  <si>
    <t>E-19.03.2020-11</t>
  </si>
  <si>
    <t>E-19.03.2020-17</t>
  </si>
  <si>
    <t>E-22.07.2020-04</t>
  </si>
  <si>
    <t>E-22.07.2020-05</t>
  </si>
  <si>
    <t>E-22.07.2020-06</t>
  </si>
  <si>
    <t>E-22.07.2020-07</t>
  </si>
  <si>
    <t>E-22.07.2020-08</t>
  </si>
  <si>
    <t>E-22.07.2020-09</t>
  </si>
  <si>
    <t>A-06.10.2020-07</t>
  </si>
  <si>
    <t>E-22.07.2020-10</t>
  </si>
  <si>
    <t>E-22.07.2020-11</t>
  </si>
  <si>
    <t>A-06.10.2020-10</t>
  </si>
  <si>
    <t>A-09.10.2020-01</t>
  </si>
  <si>
    <t>A-09.10.2020-02</t>
  </si>
  <si>
    <t>A-09.10.2020-03</t>
  </si>
  <si>
    <t>A-09.10.2020-04</t>
  </si>
  <si>
    <t>A-09.10.2020-05</t>
  </si>
  <si>
    <t>E-28.04.2020-01</t>
  </si>
  <si>
    <t>E-28.04.2020-02</t>
  </si>
  <si>
    <t>E-28.04.2020-03</t>
  </si>
  <si>
    <t>A-09.10.2020-06</t>
  </si>
  <si>
    <t>A-09.10.2020-07</t>
  </si>
  <si>
    <t>A-09.10.2020-08</t>
  </si>
  <si>
    <t>A-09.10.2020-09</t>
  </si>
  <si>
    <t>E-29.04.2020-01</t>
  </si>
  <si>
    <t>E-29.04.2020-02</t>
  </si>
  <si>
    <t>E-22.07.2020-12</t>
  </si>
  <si>
    <t>E-29.04.2020-03</t>
  </si>
  <si>
    <t>E-29.04.2020-04</t>
  </si>
  <si>
    <t>M-03.04.2020-06</t>
  </si>
  <si>
    <t>M-03.04.2020-08</t>
  </si>
  <si>
    <t>M-03.04.2020-12</t>
  </si>
  <si>
    <t>M-03.04.2020-14</t>
  </si>
  <si>
    <t>M-07.08.2020-01</t>
  </si>
  <si>
    <t>M-07.08.2020-02</t>
  </si>
  <si>
    <t>M-07.08.2020-03</t>
  </si>
  <si>
    <t>M-12.03.2020-01</t>
  </si>
  <si>
    <t>M-12.03.2020-02</t>
  </si>
  <si>
    <t>M-12.03.2020-10</t>
  </si>
  <si>
    <t>M-12.03.2020-13</t>
  </si>
  <si>
    <t>M-12.03.2020-16</t>
  </si>
  <si>
    <t>M-13.03.2020-02</t>
  </si>
  <si>
    <t>E-22.07.2020-13</t>
  </si>
  <si>
    <t>M-13.03.2020-03</t>
  </si>
  <si>
    <t>E-22.07.2020-14</t>
  </si>
  <si>
    <t>E-22.07.2020-15</t>
  </si>
  <si>
    <t>E-22.07.2020-16</t>
  </si>
  <si>
    <t>E-24.07.2020-03</t>
  </si>
  <si>
    <t>M-13.03.2020-06</t>
  </si>
  <si>
    <t>A-09.10.2020-10</t>
  </si>
  <si>
    <t>A-09.10.2020-11</t>
  </si>
  <si>
    <t>E-24.07.2020-04</t>
  </si>
  <si>
    <t>E-24.07.2020-06</t>
  </si>
  <si>
    <t>A-24.09.2020-01</t>
  </si>
  <si>
    <t>A-24.09.2020-02</t>
  </si>
  <si>
    <t>A-24.09.2020-03</t>
  </si>
  <si>
    <t>A-24.09.2020-04</t>
  </si>
  <si>
    <t>A-24.09.2020-05</t>
  </si>
  <si>
    <t>A-24.09.2020-06</t>
  </si>
  <si>
    <t>A-24.09.2020-07</t>
  </si>
  <si>
    <t>A-30.09.2020-01</t>
  </si>
  <si>
    <t>A-30.09.2020-02</t>
  </si>
  <si>
    <t>D-27.07.2020-04</t>
  </si>
  <si>
    <t>A-14.08.2020-01</t>
  </si>
  <si>
    <t>E-27.07.2020-03</t>
  </si>
  <si>
    <t>E-27.07.2020-05</t>
  </si>
  <si>
    <t>B-18.08.2020-04</t>
  </si>
  <si>
    <t>B-18.08.2020-05</t>
  </si>
  <si>
    <t>A-30.09.2020-03</t>
  </si>
  <si>
    <t>E-30.07.2020-01</t>
  </si>
  <si>
    <t>E-30.07.2020-02</t>
  </si>
  <si>
    <t>E-30.07.2020-03</t>
  </si>
  <si>
    <t>A-30.09.2020-04</t>
  </si>
  <si>
    <t>E-30.07.2020-04</t>
  </si>
  <si>
    <t>B-01.10.2020-01</t>
  </si>
  <si>
    <t>E-30.07.2020-05</t>
  </si>
  <si>
    <t>E-30.07.2020-06</t>
  </si>
  <si>
    <t>New method starts below</t>
  </si>
  <si>
    <t>C-11.09.2020-01</t>
  </si>
  <si>
    <t>C-11.09.2020-02</t>
  </si>
  <si>
    <t>C-11.09.2020-03</t>
  </si>
  <si>
    <t>C-11.09.2020-04</t>
  </si>
  <si>
    <t>C-11.09.2020-05</t>
  </si>
  <si>
    <t>C-14.09.2020-01</t>
  </si>
  <si>
    <t>M-13.03.2020-09</t>
  </si>
  <si>
    <t>M-13.03.2020-12</t>
  </si>
  <si>
    <t>C-14.09.2020-03</t>
  </si>
  <si>
    <t>C-14.09.2020-04</t>
  </si>
  <si>
    <t>C-14.09.2020-06</t>
  </si>
  <si>
    <t>C-04.08.2020-11</t>
  </si>
  <si>
    <t>C-14.09.2020-08</t>
  </si>
  <si>
    <t>M-19.03.2020-03</t>
  </si>
  <si>
    <t>M-19.03.2020-04</t>
  </si>
  <si>
    <t>M-19.03.2020-05</t>
  </si>
  <si>
    <t>M-19.03.2020-06</t>
  </si>
  <si>
    <t>M-19.03.2020-07</t>
  </si>
  <si>
    <t>M-26.03.2020-01</t>
  </si>
  <si>
    <t>M-26.03.2020-04</t>
  </si>
  <si>
    <t>M-26.03.2020-06</t>
  </si>
  <si>
    <t>M-26.03.2020-07</t>
  </si>
  <si>
    <t>M-26.03.2020-10</t>
  </si>
  <si>
    <t>D-24.07.2020-12</t>
  </si>
  <si>
    <t>B-06.10.2020-01</t>
  </si>
  <si>
    <t>C-21.09.2020-01</t>
  </si>
  <si>
    <t>C-21.09.2020-02</t>
  </si>
  <si>
    <t>C-21.09.2020-03</t>
  </si>
  <si>
    <t>C-21.09.2020-04</t>
  </si>
  <si>
    <t>C-21.09.2020-05</t>
  </si>
  <si>
    <t>D-24.07.2020-14</t>
  </si>
  <si>
    <t>C-21.09.2020-06</t>
  </si>
  <si>
    <t>D-24.07.2020-18</t>
  </si>
  <si>
    <t>C-21.09.2020-07</t>
  </si>
  <si>
    <t>C-21.09.2020-08</t>
  </si>
  <si>
    <t>C-21.09.2020-09</t>
  </si>
  <si>
    <t>D-27.07.2020-01</t>
  </si>
  <si>
    <t>C-21.09.2020-11</t>
  </si>
  <si>
    <t>C-21.09.2020-12</t>
  </si>
  <si>
    <t>D-27.07.2020-02</t>
  </si>
  <si>
    <t>B-13.10.2020-01</t>
  </si>
  <si>
    <t>C-27.08.2020-01</t>
  </si>
  <si>
    <t>B-13.10.2020-02</t>
  </si>
  <si>
    <t>B-13.10.2020-03</t>
  </si>
  <si>
    <t>B-13.10.2020-04</t>
  </si>
  <si>
    <t>B-13.10.2020-05</t>
  </si>
  <si>
    <t>B-13.10.2020-06</t>
  </si>
  <si>
    <t>B-13.10.2020-07</t>
  </si>
  <si>
    <t>B-13.10.2020-08</t>
  </si>
  <si>
    <t>B-13.10.2020-09</t>
  </si>
  <si>
    <t>B-13.10.2020-10</t>
  </si>
  <si>
    <t>B-13.10.2020-11</t>
  </si>
  <si>
    <t>B-13.10.2020-12</t>
  </si>
  <si>
    <t>B-13.10.2020-13</t>
  </si>
  <si>
    <t>B-13.10.2020-14</t>
  </si>
  <si>
    <t>B-13.10.2020-15</t>
  </si>
  <si>
    <t>D-27.07.2020-03</t>
  </si>
  <si>
    <t>D-27.07.2020-05</t>
  </si>
  <si>
    <t>D-27.07.2020-06</t>
  </si>
  <si>
    <t>B-13.10.2020-16</t>
  </si>
  <si>
    <t>B-13.10.2020-17</t>
  </si>
  <si>
    <t>B-21.09.2020-01</t>
  </si>
  <si>
    <t>B-21.09.2020-02</t>
  </si>
  <si>
    <t>B-21.09.2020-03</t>
  </si>
  <si>
    <t>D-11.09.2020-01</t>
  </si>
  <si>
    <t>D-11.09.2020-02</t>
  </si>
  <si>
    <t>D-27.07.2020-07</t>
  </si>
  <si>
    <t>D-11.09.2020-04</t>
  </si>
  <si>
    <t>D-11.09.2020-05</t>
  </si>
  <si>
    <t>D-11.09.2020-06</t>
  </si>
  <si>
    <t>D-11.09.2020-07</t>
  </si>
  <si>
    <t>D-11.09.2020-08</t>
  </si>
  <si>
    <t>D-11.09.2020-09</t>
  </si>
  <si>
    <t>B-21.09.2020-04</t>
  </si>
  <si>
    <t>C-01.10.2020-01</t>
  </si>
  <si>
    <t>C-01.10.2020-02</t>
  </si>
  <si>
    <t>C-01.10.2020-03</t>
  </si>
  <si>
    <t>C-02.10.2020-08*</t>
  </si>
  <si>
    <t>C-09.09.2020-01</t>
  </si>
  <si>
    <t>C-09.09.2020-03</t>
  </si>
  <si>
    <t>C-14.09.2020-02</t>
  </si>
  <si>
    <t>C-09.10.2020-01</t>
  </si>
  <si>
    <t>C-09.10.2020-02</t>
  </si>
  <si>
    <t>C-09.10.2020-03</t>
  </si>
  <si>
    <t>C-09.10.2020-04</t>
  </si>
  <si>
    <t>C-09.10.2020-05</t>
  </si>
  <si>
    <t>C-14.09.2020-05</t>
  </si>
  <si>
    <t>C-12.10.2020-01</t>
  </si>
  <si>
    <t>C-17.09.2020-03</t>
  </si>
  <si>
    <t>C-24.09.2020-02</t>
  </si>
  <si>
    <t>D-01.10.2020-01</t>
  </si>
  <si>
    <t>D-01.10.2020-02</t>
  </si>
  <si>
    <t>D-01.10.2020-03</t>
  </si>
  <si>
    <t>D-01.10.2020-04</t>
  </si>
  <si>
    <t>D-02.10.2020-01</t>
  </si>
  <si>
    <t>D-02.10.2020-02</t>
  </si>
  <si>
    <t>D-02.10.2020-03</t>
  </si>
  <si>
    <t>D-02.10.2020-04</t>
  </si>
  <si>
    <t>D-02.10.2020-06</t>
  </si>
  <si>
    <t>D-29.07.2020-2</t>
  </si>
  <si>
    <t>D-29.07.2020-4</t>
  </si>
  <si>
    <t>E-24.07.2020-01</t>
  </si>
  <si>
    <t>E-24.07.2020-02</t>
  </si>
  <si>
    <t>E-24.07.2020-05</t>
  </si>
  <si>
    <t>D-02.10.2020-07</t>
  </si>
  <si>
    <t>D-09.09.2020-01</t>
  </si>
  <si>
    <t>D-09.09.2020-02</t>
  </si>
  <si>
    <t>D-09.09.2020-03</t>
  </si>
  <si>
    <t>D-09.09.2020-04</t>
  </si>
  <si>
    <t>D-09.09.2020-05</t>
  </si>
  <si>
    <t>D-09.09.2020-07</t>
  </si>
  <si>
    <t>D-09.09.2020-12</t>
  </si>
  <si>
    <t>D-09.09.2020-13</t>
  </si>
  <si>
    <t>D-09.09.2020-14</t>
  </si>
  <si>
    <t>D-12.10.2020-01</t>
  </si>
  <si>
    <t>D-12.10.2020-02</t>
  </si>
  <si>
    <t>E-24.07.2020-07</t>
  </si>
  <si>
    <t>E-27.07.2020-01</t>
  </si>
  <si>
    <t>E-27.07.2020-02</t>
  </si>
  <si>
    <t>E-27.07.2020-04</t>
  </si>
  <si>
    <t>D-12.10.2020-03</t>
  </si>
  <si>
    <t>D-12.10.2020-04</t>
  </si>
  <si>
    <t>D-12.10.2020-05</t>
  </si>
  <si>
    <t>D-12.10.2020-06</t>
  </si>
  <si>
    <t>D-12.10.2020-07</t>
  </si>
  <si>
    <t>D-12.10.2020-08</t>
  </si>
  <si>
    <t>D-12.10.2020-09</t>
  </si>
  <si>
    <t>D-17.09.2020-01</t>
  </si>
  <si>
    <t>D-17.09.2020-02</t>
  </si>
  <si>
    <t>D-17.09.2020-03</t>
  </si>
  <si>
    <t>D-17.09.2020-06</t>
  </si>
  <si>
    <t>C-17.09.2020-02</t>
  </si>
  <si>
    <t>D-27.08.2020-02</t>
  </si>
  <si>
    <t>C-27.08.2020-04</t>
  </si>
  <si>
    <t>D-09.09.2020-15</t>
  </si>
  <si>
    <t>D-09.09.2020-16</t>
  </si>
  <si>
    <t>D-14.09.2020-01</t>
  </si>
  <si>
    <t>D-14.09.2020-02</t>
  </si>
  <si>
    <t>D-14.09.2020-03</t>
  </si>
  <si>
    <t>D-17.09.2020-04</t>
  </si>
  <si>
    <t>D-17.09.2020-05</t>
  </si>
  <si>
    <t>D-17.09.2020-07</t>
  </si>
  <si>
    <t>D-17.09.2020-08</t>
  </si>
  <si>
    <t>D-17.09.2020-09</t>
  </si>
  <si>
    <t>D-17.09.2020-10</t>
  </si>
  <si>
    <t>D-17.09.2020-11</t>
  </si>
  <si>
    <t>D-21.09.2020-01</t>
  </si>
  <si>
    <t>D-21.09.2020-02</t>
  </si>
  <si>
    <t>D-21.09.2020-03</t>
  </si>
  <si>
    <t>D-21.09.2020-04</t>
  </si>
  <si>
    <t>D-21.09.2020-05</t>
  </si>
  <si>
    <t>D-24.09.2020-01</t>
  </si>
  <si>
    <t>D-24.09.2020-02</t>
  </si>
  <si>
    <t>D-24.09.2020-03</t>
  </si>
  <si>
    <t>D-24.09.2020-04</t>
  </si>
  <si>
    <t>D-24.09.2020-05</t>
  </si>
  <si>
    <t>D-24.09.2020-06</t>
  </si>
  <si>
    <t>D-24.09.2020-07</t>
  </si>
  <si>
    <t>D-24.09.2020-08</t>
  </si>
  <si>
    <t>D-24.09.2020-09</t>
  </si>
  <si>
    <t>D-24.09.2020-10</t>
  </si>
  <si>
    <t>E-06.10.2020-01</t>
  </si>
  <si>
    <t>E-06.10.2020-02</t>
  </si>
  <si>
    <t>E-06.10.2020-03</t>
  </si>
  <si>
    <t>E-06.10.2020-04</t>
  </si>
  <si>
    <t>E-06.10.2020-05</t>
  </si>
  <si>
    <t>E-06.10.2020-06</t>
  </si>
  <si>
    <t>E-06.10.2020-07</t>
  </si>
  <si>
    <t>E-09.10.2020-01</t>
  </si>
  <si>
    <t>E-09.10.2020-02</t>
  </si>
  <si>
    <t>E-09.10.2020-03</t>
  </si>
  <si>
    <t>E-09.10.2020-04</t>
  </si>
  <si>
    <t>E-09.10.2020-05</t>
  </si>
  <si>
    <t>E-12.10.2020-01</t>
  </si>
  <si>
    <t>E-24.09.2020-01</t>
  </si>
  <si>
    <t>E-24.09.2020-02</t>
  </si>
  <si>
    <t>E-24.09.2020-03</t>
  </si>
  <si>
    <t>E-24.09.2020-04</t>
  </si>
  <si>
    <t>E-24.09.2020-05</t>
  </si>
  <si>
    <t>C-14.10.2020-01</t>
  </si>
  <si>
    <t>C-14.10.2020-02</t>
  </si>
  <si>
    <t>C-14.10.2020-03</t>
  </si>
  <si>
    <t>C-14.10.2020-04</t>
  </si>
  <si>
    <t>C-14.10.2020-05</t>
  </si>
  <si>
    <t>C-14.10.2020-06</t>
  </si>
  <si>
    <t>C-14.10.2020-07</t>
  </si>
  <si>
    <t>A-14.10.2020-01</t>
  </si>
  <si>
    <t>A-14.10.2020-02</t>
  </si>
  <si>
    <t>A-14.10.2020-03</t>
  </si>
  <si>
    <t>A-14.10.2020-04</t>
  </si>
  <si>
    <t>A-19.10.2020-01</t>
  </si>
  <si>
    <t>A-19.10.2020-02</t>
  </si>
  <si>
    <t>A-19.10.2020-03</t>
  </si>
  <si>
    <t>A-19.10.2020-04</t>
  </si>
  <si>
    <t>A-19.10.2020-05</t>
  </si>
  <si>
    <t>B-19.10.2020-01</t>
  </si>
  <si>
    <t>B-19.10.2020-02</t>
  </si>
  <si>
    <t>B-19.10.2020-03</t>
  </si>
  <si>
    <t>B-19.10.2020-04</t>
  </si>
  <si>
    <t>B-19.10.2020-05</t>
  </si>
  <si>
    <t>B-19.10.2020-06</t>
  </si>
  <si>
    <t>B-19.10.2020-07</t>
  </si>
  <si>
    <t>B-19.10.2020-08</t>
  </si>
  <si>
    <t>B-19.10.2020-09</t>
  </si>
  <si>
    <t>B-19.10.2020-10</t>
  </si>
  <si>
    <t>B-19.10.2020-11</t>
  </si>
  <si>
    <t>C-20.10.2020-01</t>
  </si>
  <si>
    <t>C-20.10.2020-02</t>
  </si>
  <si>
    <t>C-20.10.2020-03</t>
  </si>
  <si>
    <t>C-20.10.2020-04</t>
  </si>
  <si>
    <t>C-20.10.2020-05</t>
  </si>
  <si>
    <t>C-20.10.2020-06</t>
  </si>
  <si>
    <t>C-20.10.2020-07</t>
  </si>
  <si>
    <t>C-20.10.2020-08</t>
  </si>
  <si>
    <t>C-20.10.2020-09</t>
  </si>
  <si>
    <t>C-20.10.2020-10</t>
  </si>
  <si>
    <t>C-20.10.2020-11</t>
  </si>
  <si>
    <t>C-20.10.2020-12</t>
  </si>
  <si>
    <t>C-20.10.2020-13</t>
  </si>
  <si>
    <t>C-20.10.2020-14</t>
  </si>
  <si>
    <t>C-20.10.2020-15</t>
  </si>
  <si>
    <t>D-23102020-01</t>
  </si>
  <si>
    <t>D-23102020-02</t>
  </si>
  <si>
    <t>D-23102020-03</t>
  </si>
  <si>
    <t>D-23102020-04</t>
  </si>
  <si>
    <t>D-23102020-05</t>
  </si>
  <si>
    <t>D-23102020-06</t>
  </si>
  <si>
    <t>D-23102020-07</t>
  </si>
  <si>
    <t>D-23102020-08</t>
  </si>
  <si>
    <t>D-23102020-09</t>
  </si>
  <si>
    <t>D-23102020-10</t>
  </si>
  <si>
    <t>D-23102020-11</t>
  </si>
  <si>
    <t>B-23102020-01</t>
  </si>
  <si>
    <t>B-23102020-02</t>
  </si>
  <si>
    <t>B-23102020-03</t>
  </si>
  <si>
    <t>B-23102020-04</t>
  </si>
  <si>
    <t>B-23102020-05</t>
  </si>
  <si>
    <t>C-28102020-01</t>
  </si>
  <si>
    <t>C-28102020-02</t>
  </si>
  <si>
    <t>C-28102020-03</t>
  </si>
  <si>
    <t>C-28102020-04</t>
  </si>
  <si>
    <t>C-28102020-05</t>
  </si>
  <si>
    <t>C-28102020-06</t>
  </si>
  <si>
    <t>C-28102020-07</t>
  </si>
  <si>
    <t>C-28102020-08</t>
  </si>
  <si>
    <t>C-28102020-09</t>
  </si>
  <si>
    <t>C-28102020-10</t>
  </si>
  <si>
    <t>C-28102020-11</t>
  </si>
  <si>
    <t>C-28102020-12</t>
  </si>
  <si>
    <t>C-28102020-13</t>
  </si>
  <si>
    <t>C-28102020-14</t>
  </si>
  <si>
    <t>C-28102020-15</t>
  </si>
  <si>
    <t>C-28102020-16</t>
  </si>
  <si>
    <t>C-28102020-17</t>
  </si>
  <si>
    <t>C-28102020-18</t>
  </si>
  <si>
    <t>C-28102020-19</t>
  </si>
  <si>
    <t>C-28102020-20</t>
  </si>
  <si>
    <t>D-28102020-01</t>
  </si>
  <si>
    <t>D-28102020-02</t>
  </si>
  <si>
    <t>D-28102020-03</t>
  </si>
  <si>
    <t>D-28102020-04</t>
  </si>
  <si>
    <t>D-28102020-05</t>
  </si>
  <si>
    <t>D-28102020-06</t>
  </si>
  <si>
    <t>D-28102020-07</t>
  </si>
  <si>
    <t>D-28102020-08</t>
  </si>
  <si>
    <t>D-28102020-09</t>
  </si>
  <si>
    <t>D-28102020-10</t>
  </si>
  <si>
    <t>D-28102020-11</t>
  </si>
  <si>
    <t>B-29102020-01</t>
  </si>
  <si>
    <t>C-30012020-01</t>
  </si>
  <si>
    <t>C-30012020-02</t>
  </si>
  <si>
    <t>C-30012020-03</t>
  </si>
  <si>
    <t>C-30012020-04</t>
  </si>
  <si>
    <t>C-30012020-05</t>
  </si>
  <si>
    <t>D-30012020-01</t>
  </si>
  <si>
    <t>D-30012020-02</t>
  </si>
  <si>
    <t>D-30012020-03</t>
  </si>
  <si>
    <t>D-30012020-04</t>
  </si>
  <si>
    <t>D-30012020-05</t>
  </si>
  <si>
    <t>D-30012020-06</t>
  </si>
  <si>
    <t>D-30012020-07</t>
  </si>
  <si>
    <t>D-30012020-08</t>
  </si>
  <si>
    <t>D-04112020-01-263</t>
  </si>
  <si>
    <t>D-04112020-02-263</t>
  </si>
  <si>
    <t>D-04112020-03-263</t>
  </si>
  <si>
    <t>D-04112020-01-264</t>
  </si>
  <si>
    <t>D-04112020-02-264</t>
  </si>
  <si>
    <t>D-04112020-03-264</t>
  </si>
  <si>
    <t>D-04112020-04-264</t>
  </si>
  <si>
    <t>D-04112020-05-264</t>
  </si>
  <si>
    <t>D-04112020-06-264</t>
  </si>
  <si>
    <t>D-04112020-07-264</t>
  </si>
  <si>
    <t>D-04112020-08-264</t>
  </si>
  <si>
    <t>A-04112020-01</t>
  </si>
  <si>
    <t>A-04112020-02</t>
  </si>
  <si>
    <t>A-04112020-03</t>
  </si>
  <si>
    <t>A-04112020-04</t>
  </si>
  <si>
    <t>A-04112020-05</t>
  </si>
  <si>
    <t>A-04112020-06</t>
  </si>
  <si>
    <t>A-04112020-07</t>
  </si>
  <si>
    <t>A-04112020-08</t>
  </si>
  <si>
    <t>A-04112020-09</t>
  </si>
  <si>
    <t>A-04112020-10</t>
  </si>
  <si>
    <t>E-04112020-01-266</t>
  </si>
  <si>
    <t>E-04112020-02-266</t>
  </si>
  <si>
    <t>E-04112020-03-266</t>
  </si>
  <si>
    <t>E-04112020-04-266</t>
  </si>
  <si>
    <t>E-04112020-05-266</t>
  </si>
  <si>
    <t>E-04112020-01-267</t>
  </si>
  <si>
    <t>E-04112020-02-267</t>
  </si>
  <si>
    <t>E-04112020-03-267</t>
  </si>
  <si>
    <t>E-04112020-04-267</t>
  </si>
  <si>
    <t>E-04112020-05-267</t>
  </si>
  <si>
    <t>E-04112020-06-267</t>
  </si>
  <si>
    <t>E-04112020-07-267</t>
  </si>
  <si>
    <t>E-04112020-08-267</t>
  </si>
  <si>
    <t>E-04112020-09-267</t>
  </si>
  <si>
    <t>C-04112020-01-268</t>
  </si>
  <si>
    <t>C-04112020-02-268</t>
  </si>
  <si>
    <t>C-04112020-03-268</t>
  </si>
  <si>
    <t>C-04112020-04-268</t>
  </si>
  <si>
    <t>C-04112020-05-268</t>
  </si>
  <si>
    <t>C-04112020-06-269</t>
  </si>
  <si>
    <t>E-11112020-01-270</t>
  </si>
  <si>
    <t>E-11112020-02-271</t>
  </si>
  <si>
    <t>E-11112020-03-271</t>
  </si>
  <si>
    <t>E-11112020-04-271</t>
  </si>
  <si>
    <t>E-11112020-05-271</t>
  </si>
  <si>
    <t>E-11112020-06-271</t>
  </si>
  <si>
    <t>E-11112020-07-271</t>
  </si>
  <si>
    <t>E-11112020-08-271</t>
  </si>
  <si>
    <t>E-11112020-09-271</t>
  </si>
  <si>
    <t>E-11112020-10-271</t>
  </si>
  <si>
    <t>E-11112020-11-271</t>
  </si>
  <si>
    <t>D-11112020-01-272</t>
  </si>
  <si>
    <t>D-11112020-02-272</t>
  </si>
  <si>
    <t>D-11112020-03-273</t>
  </si>
  <si>
    <t>D-11112020-04-273</t>
  </si>
  <si>
    <t>D-11112020-05-273</t>
  </si>
  <si>
    <t>D-11112020-06-273</t>
  </si>
  <si>
    <t>D-11112020-07-273</t>
  </si>
  <si>
    <t>D-11112020-08-273</t>
  </si>
  <si>
    <t>D-11112020-09-273</t>
  </si>
  <si>
    <t>A-11112020-01-274</t>
  </si>
  <si>
    <t>A-11112020-02-274</t>
  </si>
  <si>
    <t>A-11112020-03-274</t>
  </si>
  <si>
    <t>A-11112020-04-274</t>
  </si>
  <si>
    <t>A-11112020-05-274</t>
  </si>
  <si>
    <t>A-11112020-06-274</t>
  </si>
  <si>
    <t>A-11112020-07-274</t>
  </si>
  <si>
    <t>A-11112020-08-274</t>
  </si>
  <si>
    <t>A-11112020-09-274</t>
  </si>
  <si>
    <t>A-11112020-10-274</t>
  </si>
  <si>
    <t>A-11112020-11-274</t>
  </si>
  <si>
    <t>A-11112020-12-274</t>
  </si>
  <si>
    <t>A-11112020-13-275</t>
  </si>
  <si>
    <t>A-11112020-14-276</t>
  </si>
  <si>
    <t>C-13112020-01-277</t>
  </si>
  <si>
    <t>C-13112020-02-277</t>
  </si>
  <si>
    <t>C-13112020-03-277</t>
  </si>
  <si>
    <t>E-13112020-01-278</t>
  </si>
  <si>
    <t>E-13112020-02-278</t>
  </si>
  <si>
    <t>E-13112020-03-279</t>
  </si>
  <si>
    <t>E-13112020-04-279</t>
  </si>
  <si>
    <t>E-13112020-05-279</t>
  </si>
  <si>
    <t>E-13112020-06-279</t>
  </si>
  <si>
    <t>E-13112020-07-279</t>
  </si>
  <si>
    <t>E-13112020-08-279</t>
  </si>
  <si>
    <t>E-13112020-09-279</t>
  </si>
  <si>
    <t>E-13112020-10-279</t>
  </si>
  <si>
    <t>E-13112020-11-279</t>
  </si>
  <si>
    <t>D-13112020-01-280</t>
  </si>
  <si>
    <t>D-13112020-02-280</t>
  </si>
  <si>
    <t>D-13112020-03-281</t>
  </si>
  <si>
    <t>D-13112020-04-281</t>
  </si>
  <si>
    <t>D-13112020-05-281</t>
  </si>
  <si>
    <t>D-13112020-06-281</t>
  </si>
  <si>
    <t>D-13112020-07-281</t>
  </si>
  <si>
    <t>D-13112020-08-281</t>
  </si>
  <si>
    <t>D-13112020-09-281</t>
  </si>
  <si>
    <t>A-181102020-01</t>
  </si>
  <si>
    <t>A-181102020-02</t>
  </si>
  <si>
    <t>A-181102020-03</t>
  </si>
  <si>
    <t>A-181102020-04</t>
  </si>
  <si>
    <t>A-181102020-05</t>
  </si>
  <si>
    <t>A-181102020-06</t>
  </si>
  <si>
    <t>A-181102020-07</t>
  </si>
  <si>
    <t>A-181102020-08</t>
  </si>
  <si>
    <t>A-181102020-09</t>
  </si>
  <si>
    <t>A-181102020-10</t>
  </si>
  <si>
    <t>E-18112020-01*</t>
  </si>
  <si>
    <t>E-18112020-02*</t>
  </si>
  <si>
    <t>E-18112020-03*</t>
  </si>
  <si>
    <t>E-18112020-04*</t>
  </si>
  <si>
    <t>E-18112020-05*</t>
  </si>
  <si>
    <t>D-18112020-01</t>
  </si>
  <si>
    <t>D-18112020-02</t>
  </si>
  <si>
    <t>D-18112020-03</t>
  </si>
  <si>
    <t>D-18112020-04</t>
  </si>
  <si>
    <t>D-18112020-05</t>
  </si>
  <si>
    <t>C-18112020-01</t>
  </si>
  <si>
    <t>B-19112020-01 (fermented)</t>
  </si>
  <si>
    <t>A-19112020-01 (fermented)</t>
  </si>
  <si>
    <t>A-19112020-02 (fermented)</t>
  </si>
  <si>
    <t>A-19112020-03 (not fermented)</t>
  </si>
  <si>
    <t>D-25112020-01</t>
  </si>
  <si>
    <t>D-25112020-02</t>
  </si>
  <si>
    <t>A-25112020-01</t>
  </si>
  <si>
    <t>A-25112020-02</t>
  </si>
  <si>
    <t>A-25112020-03</t>
  </si>
  <si>
    <t>A-25112020-04</t>
  </si>
  <si>
    <t>C-25112020-01</t>
  </si>
  <si>
    <t>C-25112020-02</t>
  </si>
  <si>
    <t>C-25112020-03</t>
  </si>
  <si>
    <t>D-01122020-01</t>
  </si>
  <si>
    <t>D-01122020-02</t>
  </si>
  <si>
    <t>D-01122020-03</t>
  </si>
  <si>
    <t>D-01122020-04</t>
  </si>
  <si>
    <t>D-01122020-05</t>
  </si>
  <si>
    <t>D-01122020-06</t>
  </si>
  <si>
    <t>D-01122020-07</t>
  </si>
  <si>
    <t>D-01122020-08</t>
  </si>
  <si>
    <t>C-04122020-01</t>
  </si>
  <si>
    <t>C-04122020-02</t>
  </si>
  <si>
    <t>C-04122020-03*</t>
  </si>
  <si>
    <t>B-04122020-01</t>
  </si>
  <si>
    <t>B-04122020-02</t>
  </si>
  <si>
    <t>B-04122020-03</t>
  </si>
  <si>
    <t>B-04122020-04</t>
  </si>
  <si>
    <t>B-04122020-05</t>
  </si>
  <si>
    <t>B-04122020-06</t>
  </si>
  <si>
    <t>B-04122020-07</t>
  </si>
  <si>
    <t>B-04122020-08</t>
  </si>
  <si>
    <t>B-04122020-09</t>
  </si>
  <si>
    <t>B-04122020-10</t>
  </si>
  <si>
    <t>A-04122020-01</t>
  </si>
  <si>
    <t>A-04122020-02*</t>
  </si>
  <si>
    <t>B-09122020-01</t>
  </si>
  <si>
    <t>B-09122020-02</t>
  </si>
  <si>
    <t>B-09122020-03</t>
  </si>
  <si>
    <t>B-09122020-04</t>
  </si>
  <si>
    <t>B-09122020-05</t>
  </si>
  <si>
    <t>B-09122020-06</t>
  </si>
  <si>
    <t>B-09122020-07</t>
  </si>
  <si>
    <t>B-09122020-08</t>
  </si>
  <si>
    <t>B-09122020-09</t>
  </si>
  <si>
    <t>B-09122020-10</t>
  </si>
  <si>
    <t>B-09122020-11</t>
  </si>
  <si>
    <t>B-09122020-12</t>
  </si>
  <si>
    <t>B-09122020-13</t>
  </si>
  <si>
    <t>C-09122020-01</t>
  </si>
  <si>
    <t>C-09122020-02</t>
  </si>
  <si>
    <t>D-09122020-01</t>
  </si>
  <si>
    <t>D-09122020-02</t>
  </si>
  <si>
    <t>D-09122020-03</t>
  </si>
  <si>
    <t>D-09122020-04</t>
  </si>
  <si>
    <t>E-09122020-01</t>
  </si>
  <si>
    <t>E-09122020-02</t>
  </si>
  <si>
    <t>E-09122020-03</t>
  </si>
  <si>
    <t>E-11122020-01</t>
  </si>
  <si>
    <t>E-11122020-02</t>
  </si>
  <si>
    <t>E-11122020-03</t>
  </si>
  <si>
    <t>E-11122020-04</t>
  </si>
  <si>
    <t>e</t>
  </si>
  <si>
    <t>E-11122020-05</t>
  </si>
  <si>
    <t>c</t>
  </si>
  <si>
    <t>E-11122020-06</t>
  </si>
  <si>
    <t>b</t>
  </si>
  <si>
    <t>C11122020-01</t>
  </si>
  <si>
    <t>C11122020-02</t>
  </si>
  <si>
    <t>C11122020-03</t>
  </si>
  <si>
    <t>C11122020-04</t>
  </si>
  <si>
    <t>C11122020-05</t>
  </si>
  <si>
    <t>C11122020-06</t>
  </si>
  <si>
    <t>B-11122020-01</t>
  </si>
  <si>
    <t>B-11122020-02</t>
  </si>
  <si>
    <t>B-11122020-03</t>
  </si>
  <si>
    <t>B-11122020-04</t>
  </si>
  <si>
    <t>B-11122020-05</t>
  </si>
  <si>
    <t>B-11122020-06</t>
  </si>
  <si>
    <t>B-11122020-07</t>
  </si>
  <si>
    <t>B-11122020-08</t>
  </si>
  <si>
    <t>B-11122020-09</t>
  </si>
  <si>
    <t>B-11122020-10</t>
  </si>
  <si>
    <t>B-11122020-11</t>
  </si>
  <si>
    <t>B-11122020-12</t>
  </si>
  <si>
    <t>B-11122020-13</t>
  </si>
  <si>
    <t>B-15122020-01</t>
  </si>
  <si>
    <t>B-15122020-02</t>
  </si>
  <si>
    <t>B-15122020-03</t>
  </si>
  <si>
    <t>B-15122020-04</t>
  </si>
  <si>
    <t>C-15122020-01</t>
  </si>
  <si>
    <t>C-15122020-02</t>
  </si>
  <si>
    <t>C-15122020-03</t>
  </si>
  <si>
    <t>C-15122020-04</t>
  </si>
  <si>
    <t>C-15122020-05</t>
  </si>
  <si>
    <t>C-15122020-06</t>
  </si>
  <si>
    <t>C-15122020-07</t>
  </si>
  <si>
    <t>C-15122020-08</t>
  </si>
  <si>
    <t>C-15122020-09</t>
  </si>
  <si>
    <t>C-15122020-10</t>
  </si>
  <si>
    <t>C-15122020-11</t>
  </si>
  <si>
    <t>C-15122020-12</t>
  </si>
  <si>
    <t>C-15122020-13</t>
  </si>
  <si>
    <t>C-15122020-14</t>
  </si>
  <si>
    <t>C-15122020-15</t>
  </si>
  <si>
    <t>C-15122020-16</t>
  </si>
  <si>
    <t>C-15122020-17</t>
  </si>
  <si>
    <t>D-15122020-01</t>
  </si>
  <si>
    <t>D-15122020-02</t>
  </si>
  <si>
    <t>24/12/2020</t>
  </si>
  <si>
    <t>D-15122020-03</t>
  </si>
  <si>
    <t>D-15122020-04</t>
  </si>
  <si>
    <t>D-15122020-05</t>
  </si>
  <si>
    <t>D-15122020-06</t>
  </si>
  <si>
    <t>D-15122020-07</t>
  </si>
  <si>
    <t>D-15122020-08</t>
  </si>
  <si>
    <t>D-15122020-09</t>
  </si>
  <si>
    <t>D-15122020-10</t>
  </si>
  <si>
    <t>D-15122020-11</t>
  </si>
  <si>
    <t>D-15122020-12</t>
  </si>
  <si>
    <t>D-15122020-13</t>
  </si>
  <si>
    <t>D-15122020-14</t>
  </si>
  <si>
    <t>D-15122020-15</t>
  </si>
  <si>
    <t>C-18122020-01</t>
  </si>
  <si>
    <t>C-18122020-02</t>
  </si>
  <si>
    <t>C-18122020-03</t>
  </si>
  <si>
    <t>C-18122020-04</t>
  </si>
  <si>
    <t>C-18122020-05</t>
  </si>
  <si>
    <t>C-18122020-06</t>
  </si>
  <si>
    <t>C-18122020-07</t>
  </si>
  <si>
    <t>C-18122020-08</t>
  </si>
  <si>
    <t>D-18122020-01</t>
  </si>
  <si>
    <t>D-18122020-02</t>
  </si>
  <si>
    <t>D-18122020-03</t>
  </si>
  <si>
    <t>D-18122020-04</t>
  </si>
  <si>
    <t>D-18122020-05</t>
  </si>
  <si>
    <t>D-18122020-06</t>
  </si>
  <si>
    <t>D-18122020-07</t>
  </si>
  <si>
    <t>D-18122020-08</t>
  </si>
  <si>
    <t>D-18122020-09</t>
  </si>
  <si>
    <t>D-18122020-10</t>
  </si>
  <si>
    <t>A-21122020-01</t>
  </si>
  <si>
    <t>A-21122020-02</t>
  </si>
  <si>
    <t>A-21122020-03</t>
  </si>
  <si>
    <t>A-21122020-04</t>
  </si>
  <si>
    <t>A-21122020-05</t>
  </si>
  <si>
    <t>A-21122020-06</t>
  </si>
  <si>
    <t>A-21122020-07</t>
  </si>
  <si>
    <t>C-21122020-01</t>
  </si>
  <si>
    <t>C-21122020-02</t>
  </si>
  <si>
    <t>C-21122020-03</t>
  </si>
  <si>
    <t>C-21122020-04</t>
  </si>
  <si>
    <t>C-21122020-05</t>
  </si>
  <si>
    <t>C-21122020-06</t>
  </si>
  <si>
    <t>C-21122020-07</t>
  </si>
  <si>
    <t>C-21122020-08</t>
  </si>
  <si>
    <t>A-22122020-01</t>
  </si>
  <si>
    <t>A-22122020-02</t>
  </si>
  <si>
    <t>A-22122020-03</t>
  </si>
  <si>
    <t>A-22122020-04</t>
  </si>
  <si>
    <t>A-22122020-05</t>
  </si>
  <si>
    <t>A-22122020-06</t>
  </si>
  <si>
    <t>A-22122020-07</t>
  </si>
  <si>
    <t>A-22122020-08</t>
  </si>
  <si>
    <t>E-22122020-01</t>
  </si>
  <si>
    <t>E-22122020-02</t>
  </si>
  <si>
    <t>E-22122020-03</t>
  </si>
  <si>
    <t>E-22122020-04</t>
  </si>
  <si>
    <t>E-22122020-05</t>
  </si>
  <si>
    <t>E-22122020-06</t>
  </si>
  <si>
    <t>E-22122020-07</t>
  </si>
  <si>
    <t>E-22122020-08</t>
  </si>
  <si>
    <t>E-22122020-09</t>
  </si>
  <si>
    <t>E-22122020-10</t>
  </si>
  <si>
    <t>E-22122020-11</t>
  </si>
  <si>
    <t>A-30122020-01</t>
  </si>
  <si>
    <t>Feeding</t>
  </si>
  <si>
    <t>A-30122020-02</t>
  </si>
  <si>
    <t>A-30122020-03</t>
  </si>
  <si>
    <t>A-30122020-04</t>
  </si>
  <si>
    <t>A-30122020-05</t>
  </si>
  <si>
    <t>A-30122020-06</t>
  </si>
  <si>
    <t>A-30122020-07</t>
  </si>
  <si>
    <t>A-30122020-08</t>
  </si>
  <si>
    <t>A-30122020-09</t>
  </si>
  <si>
    <t>A-30122020-10</t>
  </si>
  <si>
    <t>A-30122020-11</t>
  </si>
  <si>
    <t>A-30122020-12</t>
  </si>
  <si>
    <t>A-30122020-13</t>
  </si>
  <si>
    <t>A-30122020-14</t>
  </si>
  <si>
    <t>A-30122020-15</t>
  </si>
  <si>
    <t>A-30122020-16</t>
  </si>
  <si>
    <t>C-30122020-01</t>
  </si>
  <si>
    <t>C-30122020-02</t>
  </si>
  <si>
    <t>C-30122020-03</t>
  </si>
  <si>
    <t>C-30122020-04</t>
  </si>
  <si>
    <t>C-30122020-05</t>
  </si>
  <si>
    <t>C-30122020-06</t>
  </si>
  <si>
    <t>C-30122020-07</t>
  </si>
  <si>
    <t>C-30122020-08</t>
  </si>
  <si>
    <t>C-30122020-10</t>
  </si>
  <si>
    <t>E-30122020-01</t>
  </si>
  <si>
    <t>E-30122020-02</t>
  </si>
  <si>
    <t>E-30122020-03</t>
  </si>
  <si>
    <t>E-30122020-04</t>
  </si>
  <si>
    <t>E-30122020-05</t>
  </si>
  <si>
    <t>E-30122020-06</t>
  </si>
  <si>
    <t>E-30122020-07</t>
  </si>
  <si>
    <t>E-30122020-08</t>
  </si>
  <si>
    <t>E-30122020-09</t>
  </si>
  <si>
    <t>E-30122020-10</t>
  </si>
  <si>
    <t>E-30122020-11</t>
  </si>
  <si>
    <t>E-30122020-12</t>
  </si>
  <si>
    <t>E-30122020-13</t>
  </si>
  <si>
    <t>E-30122020-14</t>
  </si>
  <si>
    <t>E-30122020-15</t>
  </si>
  <si>
    <t>E-30122020-16</t>
  </si>
  <si>
    <t>E-30122020-17</t>
  </si>
  <si>
    <t>E-30122020-18</t>
  </si>
  <si>
    <t>Cumul. Trayed</t>
  </si>
  <si>
    <t>Cumul. Harvested</t>
  </si>
  <si>
    <t>Running Total</t>
  </si>
  <si>
    <t>Running extant:</t>
  </si>
  <si>
    <t>Trayed</t>
  </si>
  <si>
    <t>Harvested or culled</t>
  </si>
  <si>
    <t>Total trayed</t>
  </si>
  <si>
    <t>Total harvested</t>
  </si>
  <si>
    <t>Extant</t>
  </si>
  <si>
    <t>Feb</t>
  </si>
  <si>
    <t>balancing day</t>
  </si>
  <si>
    <t>date</t>
  </si>
  <si>
    <t>date_text</t>
  </si>
  <si>
    <t>line_id</t>
  </si>
  <si>
    <t>event</t>
  </si>
  <si>
    <t>cage_code</t>
  </si>
  <si>
    <t>light_days</t>
  </si>
  <si>
    <t>Dark</t>
  </si>
  <si>
    <t>Decomm date: Date cage is taken down.</t>
  </si>
  <si>
    <t>Light</t>
  </si>
  <si>
    <t>Dark date: Date which cage is put into dark room</t>
  </si>
  <si>
    <t>Light date: Date which cage is put into light.</t>
  </si>
  <si>
    <t>Tray 1/2: Tray Placed into cage</t>
  </si>
  <si>
    <t>Today's date</t>
  </si>
  <si>
    <t>(Multiple Items)</t>
  </si>
  <si>
    <t>Count of date</t>
  </si>
  <si>
    <t>Column Labels</t>
  </si>
  <si>
    <t>Row Labels</t>
  </si>
  <si>
    <t>Decomm</t>
  </si>
  <si>
    <t>Grand Total</t>
  </si>
  <si>
    <t>A1</t>
  </si>
  <si>
    <t>A10</t>
  </si>
  <si>
    <t>A11</t>
  </si>
  <si>
    <t>A12</t>
  </si>
  <si>
    <t>A2</t>
  </si>
  <si>
    <t>A3</t>
  </si>
  <si>
    <t>A4</t>
  </si>
  <si>
    <t>A5</t>
  </si>
  <si>
    <t>A6</t>
  </si>
  <si>
    <t>A7</t>
  </si>
  <si>
    <t>A8</t>
  </si>
  <si>
    <t>A9</t>
  </si>
  <si>
    <t>B1</t>
  </si>
  <si>
    <t>B2</t>
  </si>
  <si>
    <t>B3</t>
  </si>
  <si>
    <t>B4</t>
  </si>
  <si>
    <t>B5</t>
  </si>
  <si>
    <t>B6</t>
  </si>
  <si>
    <t>B7</t>
  </si>
  <si>
    <t>B8</t>
  </si>
  <si>
    <t>C1</t>
  </si>
  <si>
    <t>C10</t>
  </si>
  <si>
    <t>C11</t>
  </si>
  <si>
    <t>C12</t>
  </si>
  <si>
    <t>C13</t>
  </si>
  <si>
    <t>C14</t>
  </si>
  <si>
    <t>C15</t>
  </si>
  <si>
    <t>C16</t>
  </si>
  <si>
    <t>C17</t>
  </si>
  <si>
    <t>C18</t>
  </si>
  <si>
    <t>C19</t>
  </si>
  <si>
    <t>C2</t>
  </si>
  <si>
    <t>C20</t>
  </si>
  <si>
    <t>C21</t>
  </si>
  <si>
    <t>C22</t>
  </si>
  <si>
    <t>C23</t>
  </si>
  <si>
    <t>C24</t>
  </si>
  <si>
    <t>C25</t>
  </si>
  <si>
    <t>C26</t>
  </si>
  <si>
    <t>C27</t>
  </si>
  <si>
    <t>C28</t>
  </si>
  <si>
    <t>C29</t>
  </si>
  <si>
    <t>C3</t>
  </si>
  <si>
    <t>C30</t>
  </si>
  <si>
    <t>C31</t>
  </si>
  <si>
    <t>C32</t>
  </si>
  <si>
    <t>C33</t>
  </si>
  <si>
    <t>C4</t>
  </si>
  <si>
    <t>C5</t>
  </si>
  <si>
    <t>C6</t>
  </si>
  <si>
    <t>C7</t>
  </si>
  <si>
    <t>C8</t>
  </si>
  <si>
    <t>C9</t>
  </si>
  <si>
    <t>D1</t>
  </si>
  <si>
    <t>D10</t>
  </si>
  <si>
    <t>D11</t>
  </si>
  <si>
    <t>D12</t>
  </si>
  <si>
    <t>D13</t>
  </si>
  <si>
    <t>D14</t>
  </si>
  <si>
    <t>D15</t>
  </si>
  <si>
    <t>D16</t>
  </si>
  <si>
    <t>D17</t>
  </si>
  <si>
    <t>D18</t>
  </si>
  <si>
    <t>D19</t>
  </si>
  <si>
    <t>D2</t>
  </si>
  <si>
    <t>D20</t>
  </si>
  <si>
    <t>D21</t>
  </si>
  <si>
    <t>D22</t>
  </si>
  <si>
    <t>D23</t>
  </si>
  <si>
    <t>D24</t>
  </si>
  <si>
    <t>D25</t>
  </si>
  <si>
    <t>D26</t>
  </si>
  <si>
    <t>D27</t>
  </si>
  <si>
    <t>D28</t>
  </si>
  <si>
    <t>D29</t>
  </si>
  <si>
    <t>D3</t>
  </si>
  <si>
    <t>D30</t>
  </si>
  <si>
    <t>D31</t>
  </si>
  <si>
    <t>D32</t>
  </si>
  <si>
    <t>D33</t>
  </si>
  <si>
    <t>D34</t>
  </si>
  <si>
    <t>D35</t>
  </si>
  <si>
    <t>D36</t>
  </si>
  <si>
    <t>D37</t>
  </si>
  <si>
    <t>D38</t>
  </si>
  <si>
    <t>D39</t>
  </si>
  <si>
    <t>D4</t>
  </si>
  <si>
    <t>D40</t>
  </si>
  <si>
    <t>D41</t>
  </si>
  <si>
    <t>D42</t>
  </si>
  <si>
    <t>D43</t>
  </si>
  <si>
    <t>D44</t>
  </si>
  <si>
    <t>D45</t>
  </si>
  <si>
    <t>D46</t>
  </si>
  <si>
    <t>D47</t>
  </si>
  <si>
    <t>D5</t>
  </si>
  <si>
    <t>D6</t>
  </si>
  <si>
    <t>D7</t>
  </si>
  <si>
    <t>D8</t>
  </si>
  <si>
    <t>D9</t>
  </si>
  <si>
    <t>E1</t>
  </si>
  <si>
    <t>E2</t>
  </si>
  <si>
    <t>E3</t>
  </si>
  <si>
    <t>E4</t>
  </si>
  <si>
    <t>DARK</t>
  </si>
  <si>
    <t>Cages to dark</t>
  </si>
  <si>
    <t>LIGHT</t>
  </si>
  <si>
    <t>Cages to light</t>
  </si>
  <si>
    <t>Cages decomm.</t>
  </si>
  <si>
    <t>Tot</t>
  </si>
  <si>
    <t>Extant dark</t>
  </si>
  <si>
    <t>Extant light</t>
  </si>
  <si>
    <t>Collection date</t>
  </si>
  <si>
    <t>AD excess (CAPT)</t>
  </si>
  <si>
    <t>CAPT/RC4 D</t>
  </si>
  <si>
    <t>CAPT/RC4 B</t>
  </si>
  <si>
    <t>Cinna/Temb D</t>
  </si>
  <si>
    <t>Cinna/Temb B</t>
  </si>
  <si>
    <t>Eusoff D</t>
  </si>
  <si>
    <t>Eusoff B</t>
  </si>
  <si>
    <t>Kent Ridge D</t>
  </si>
  <si>
    <t>Kent Ridge B</t>
  </si>
  <si>
    <t>KEVII D</t>
  </si>
  <si>
    <t>KEVII B</t>
  </si>
  <si>
    <t>Raffles D</t>
  </si>
  <si>
    <t>Raffles B</t>
  </si>
  <si>
    <t>RVRC D</t>
  </si>
  <si>
    <t>RVRC B</t>
  </si>
  <si>
    <t>Sheares D</t>
  </si>
  <si>
    <t>Sheares B</t>
  </si>
  <si>
    <t>Temasek D</t>
  </si>
  <si>
    <t>Temasek B</t>
  </si>
  <si>
    <t>Yale-NUS D</t>
  </si>
  <si>
    <t>Yale-NUS B</t>
  </si>
  <si>
    <t>Total (kg)</t>
  </si>
  <si>
    <t>Kg/tray</t>
  </si>
  <si>
    <t>Total trays</t>
  </si>
  <si>
    <t>Larvae/tray</t>
  </si>
  <si>
    <t>02/10/2019</t>
  </si>
  <si>
    <t>15k</t>
  </si>
  <si>
    <t>10/10/2019</t>
  </si>
  <si>
    <t>10k</t>
  </si>
  <si>
    <t>24/10/2019</t>
  </si>
  <si>
    <t>25/10/2019</t>
  </si>
  <si>
    <t>01/11/2019</t>
  </si>
  <si>
    <t>12/11/2019</t>
  </si>
  <si>
    <t>19/11/2019</t>
  </si>
  <si>
    <t>28/11/2019</t>
  </si>
  <si>
    <t>05/12/2019</t>
  </si>
  <si>
    <t>13/01/2020</t>
  </si>
  <si>
    <t>14/01/2020</t>
  </si>
  <si>
    <t>15/01/2020</t>
  </si>
  <si>
    <t>17/01/2020</t>
  </si>
  <si>
    <t>21/01/2020</t>
  </si>
  <si>
    <t>22/01/2020</t>
  </si>
  <si>
    <t>23/01/2020</t>
  </si>
  <si>
    <t>29/01/2020</t>
  </si>
  <si>
    <t>31/01/2020</t>
  </si>
  <si>
    <t>04/02/2020</t>
  </si>
  <si>
    <t>05/02/2020</t>
  </si>
  <si>
    <t>07/02/2020</t>
  </si>
  <si>
    <t>11/02/2020</t>
  </si>
  <si>
    <t>12/02/2020</t>
  </si>
  <si>
    <t>13/02/2020</t>
  </si>
  <si>
    <t>14/02/2020</t>
  </si>
  <si>
    <t>18/02/2020</t>
  </si>
  <si>
    <t>19/02/2020</t>
  </si>
  <si>
    <t>25/02/2020</t>
  </si>
  <si>
    <t>03/03/2020</t>
  </si>
  <si>
    <t>04/03/2020</t>
  </si>
  <si>
    <t>05/03/2020</t>
  </si>
  <si>
    <t>10/03/2020</t>
  </si>
  <si>
    <t>11/03/2020</t>
  </si>
  <si>
    <t>12/03/2020</t>
  </si>
  <si>
    <t>13/03/2020</t>
  </si>
  <si>
    <t>17/03/2020</t>
  </si>
  <si>
    <t>18/03/2020</t>
  </si>
  <si>
    <t>19/03/2020</t>
  </si>
  <si>
    <t>20/03/2020</t>
  </si>
  <si>
    <t>24/03/2020</t>
  </si>
  <si>
    <t>25/03/2020</t>
  </si>
  <si>
    <t>26/03/2020</t>
  </si>
  <si>
    <t>27/03/2020</t>
  </si>
  <si>
    <t>31/03/2020</t>
  </si>
  <si>
    <t>01/04/2020</t>
  </si>
  <si>
    <t>02/04/2020</t>
  </si>
  <si>
    <t>03/04/2020</t>
  </si>
  <si>
    <t>10/04/2020</t>
  </si>
  <si>
    <t>14/04/2020</t>
  </si>
  <si>
    <t>16/04/2020</t>
  </si>
  <si>
    <t>21/04/2020</t>
  </si>
  <si>
    <t>23/04/2020</t>
  </si>
  <si>
    <t>30/04/2020</t>
  </si>
  <si>
    <t>05/05/2020</t>
  </si>
  <si>
    <t>08/05/2020</t>
  </si>
  <si>
    <t>07/08/2020</t>
  </si>
  <si>
    <t>12/08/2020</t>
  </si>
  <si>
    <t>13/08/2020</t>
  </si>
  <si>
    <t>14/08/2020</t>
  </si>
  <si>
    <t>18/08/2020</t>
  </si>
  <si>
    <t>21/08/2020</t>
  </si>
  <si>
    <t>26/08/2020</t>
  </si>
  <si>
    <t>28/08/2020</t>
  </si>
  <si>
    <t>16/09/2020</t>
  </si>
  <si>
    <t>30/9/2020</t>
  </si>
  <si>
    <t>29/10/2020</t>
  </si>
  <si>
    <t>TiongLam Okara</t>
  </si>
  <si>
    <t>Receipient</t>
  </si>
  <si>
    <t>Frass_kg</t>
  </si>
  <si>
    <t>Egg_g</t>
  </si>
  <si>
    <t>Larve_kg</t>
  </si>
  <si>
    <t>Botany</t>
  </si>
  <si>
    <t>1 red bin of frass ~23kg</t>
  </si>
  <si>
    <t>Otolith</t>
  </si>
  <si>
    <t>1 black bin of frass ~ 55 kg</t>
  </si>
  <si>
    <t>RVRC</t>
  </si>
  <si>
    <t>Tiong Lam</t>
  </si>
  <si>
    <t>Hi, welcome to a testing edition of the BSF record sheet. Compared to the previous sheet, I have tried to reduce the number of times we have to enter in some data. In general, use the tally sheets and the tracking sheet should automatically update. For EGGS: The date and amount of eggs per line should update based on the tally sheet. For FEEDING: FEED TALLY and YIELDare basically the same sheets with different filters. For FEED TALLY, it will only show trays that are actively feeding or sick. For YIELD, it will show trays which have been harvested or culled. The diseased percentage is automatically updated. To retain information onwhen we fed, i have added 20 columns to record the dates which they were given food. Just enter todays date after feeding (ctrl+;). Each square denotes 0.5 scoops. So for initial traying, just enter 3 squares for 1.5 scoops. More columns can added but we dont seem to go over 10scoops. TRAY TRACKING still has to be manually updated. I would like to settle the formulas for it one day. For NURSERIES: No change. For CAGE TALLY: the data is to be entered long form. I would like wide form but could not get the code to work with multiple columns of dates. For CAGE TRACKING: similar to EGG COLLECTION, the date and amounts should update based on the CAGE TALLY SHEET. A few drop down lists were used throughout the sheets to standardise some things.</t>
  </si>
  <si>
    <t>FOR THE SHEETS THAT AUTOMATICALLY UPDATE THE DATE, ENSURE THAT THE DATES ARE IN THE CORRECT ORDER. THE FORMULA READS THE LIST OF DATES ON THE TALLY SHEET AND ADDS IT TO THE TRACKING SHEET IF IT DOES NOT ALREADY APPEAR ABOVE. IT IS QUITE FINICKY AND MIGHT BREAK AT ANY TIME.  HAVE FUN AND LET ME KNOW IF ANYTHING BREAKS. I HATE DATES. Nicholas, 1 Aug 2020</t>
  </si>
  <si>
    <t>Stuff used in other parts of the sheets. or random functions</t>
  </si>
  <si>
    <t>Tray status</t>
  </si>
  <si>
    <t>Life stage</t>
  </si>
  <si>
    <t>Event</t>
  </si>
  <si>
    <t>larval density</t>
  </si>
  <si>
    <t>Sick</t>
  </si>
  <si>
    <t>Egg</t>
  </si>
  <si>
    <t>Prepupae</t>
  </si>
  <si>
    <t>Pupae</t>
  </si>
  <si>
    <t>Drying</t>
  </si>
  <si>
    <t>Adult</t>
  </si>
  <si>
    <t>Frass</t>
  </si>
  <si>
    <t>DATE(MID(B502,9,4),MID(B502,6,2), MID(B502,3,2))</t>
  </si>
  <si>
    <t>IF(ISBLANK('Feed Tally'!A2),"", 'Feed Tally'!A2)</t>
  </si>
  <si>
    <t>Mass per egg (mg)</t>
  </si>
  <si>
    <t>Mass per clutch (mg)</t>
  </si>
  <si>
    <t>Flutes</t>
  </si>
  <si>
    <t>Dates</t>
  </si>
  <si>
    <t>Kent Ridge</t>
  </si>
  <si>
    <t>KRSS</t>
  </si>
  <si>
    <t>MSIA</t>
  </si>
  <si>
    <t>USA 1</t>
  </si>
  <si>
    <t>USA 2</t>
  </si>
  <si>
    <t>USA 3</t>
  </si>
  <si>
    <t>USA 4</t>
  </si>
  <si>
    <t>Total (g)</t>
  </si>
  <si>
    <t>cardboard (otolith)</t>
  </si>
  <si>
    <t xml:space="preserve">before </t>
  </si>
  <si>
    <t>after</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</si>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</sst>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d\ mmmm\ yyyy"/>
    <numFmt numFmtId="165" formatCode="d\ mmm\ yyyy"/>
    <numFmt numFmtId="166" formatCode="d\ mmmm"/>
    <numFmt numFmtId="167" formatCode="d/m"/>
    <numFmt numFmtId="168" formatCode="d\ mmm"/>
    <numFmt numFmtId="169" formatCode="[$-14809]d\ mmm\ yyyy;@"/>
    <numFmt numFmtId="170" formatCode="yyyy\-mm\-dd;@"/>
    <numFmt numFmtId="171" formatCode="dd/mm/yyyy;@"/>
    <numFmt numFmtId="172" formatCode="[$-14809]d/m/yyyy;@"/>
    <numFmt numFmtId="173" formatCode="[$-809]dd\ mmmm\ yyyy;@"/>
  </numFmts>
  <fonts count="20">
    <font>
      <sz val="10"/>
      <color rgb="FF000000"/>
      <name val="Arial"/>
    </font>
    <font>
      <b/>
      <sz val="10"/>
      <color theme="1"/>
      <name val="Arial"/>
    </font>
    <font>
      <sz val="10"/>
      <color theme="1"/>
      <name val="Arial"/>
    </font>
    <font>
      <sz val="10"/>
      <name val="Arial"/>
    </font>
    <font>
      <sz val="11"/>
      <color rgb="FF000000"/>
      <name val="Calibri"/>
    </font>
    <font>
      <b/>
      <sz val="11"/>
      <color rgb="FF000000"/>
      <name val="Calibri"/>
    </font>
    <font>
      <sz val="10"/>
      <color rgb="FF000000"/>
      <name val="Arial"/>
    </font>
    <font>
      <sz val="11"/>
      <color rgb="FF000000"/>
      <name val="Inconsolata"/>
    </font>
    <font>
      <sz val="11"/>
      <color rgb="FF000000"/>
      <name val="Arial"/>
    </font>
    <font>
      <sz val="11"/>
      <color rgb="FF1155CC"/>
      <name val="Inconsolata"/>
    </font>
    <font>
      <b/>
      <sz val="10"/>
      <name val="Arial"/>
    </font>
    <font>
      <strike/>
      <sz val="10"/>
      <color theme="1"/>
      <name val="Arial"/>
    </font>
    <font>
      <b/>
      <sz val="10"/>
      <color rgb="FFFFFFFF"/>
      <name val="Arial"/>
    </font>
    <font>
      <sz val="8"/>
      <color rgb="FF000000"/>
      <name val="Arial"/>
    </font>
    <font>
      <b/>
      <sz val="10"/>
      <color rgb="FF000000"/>
      <name val="Arial"/>
    </font>
    <font>
      <sz val="10"/>
      <color rgb="FFFF0000"/>
      <name val="Arial"/>
    </font>
    <font>
      <sz val="10"/>
      <color rgb="FF70AD47"/>
      <name val="Arial"/>
    </font>
    <font>
      <sz val="11"/>
      <color rgb="FF444444"/>
      <name val="Calibri"/>
      <family val="2"/>
      <charset val="1"/>
    </font>
    <font>
      <sz val="10"/>
      <color rgb="FF444444"/>
      <name val="Calibri"/>
      <family val="2"/>
      <charset val="1"/>
    </font>
    <font>
      <sz val="11"/>
      <color rgb="FF000000"/>
      <name val="Calibri"/>
      <family val="2"/>
    </font>
  </fonts>
  <fills count="22">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6AA84F"/>
        <bgColor rgb="FF6AA84F"/>
      </patternFill>
    </fill>
    <fill>
      <patternFill patternType="solid">
        <fgColor rgb="FF000000"/>
        <bgColor rgb="FF000000"/>
      </patternFill>
    </fill>
    <fill>
      <patternFill patternType="solid">
        <fgColor rgb="FF93C47D"/>
        <bgColor rgb="FF93C47D"/>
      </patternFill>
    </fill>
    <fill>
      <patternFill patternType="solid">
        <fgColor rgb="FFB8F3B8"/>
        <bgColor rgb="FFB8F3B8"/>
      </patternFill>
    </fill>
    <fill>
      <patternFill patternType="solid">
        <fgColor rgb="FF70AD47"/>
        <bgColor rgb="FF70AD47"/>
      </patternFill>
    </fill>
    <fill>
      <patternFill patternType="solid">
        <fgColor rgb="FFF2F2F2"/>
        <bgColor indexed="64"/>
      </patternFill>
    </fill>
    <fill>
      <patternFill patternType="solid">
        <fgColor rgb="FFF3F3F3"/>
        <bgColor rgb="FFF3F3F3"/>
      </patternFill>
    </fill>
    <fill>
      <patternFill patternType="solid">
        <fgColor rgb="FFE2EFDA"/>
        <bgColor indexed="64"/>
      </patternFill>
    </fill>
    <fill>
      <patternFill patternType="solid">
        <fgColor rgb="FFD9E1F2"/>
        <bgColor indexed="64"/>
      </patternFill>
    </fill>
    <fill>
      <patternFill patternType="solid">
        <fgColor rgb="FFFCE4D6"/>
        <bgColor indexed="64"/>
      </patternFill>
    </fill>
    <fill>
      <patternFill patternType="solid">
        <fgColor rgb="FFFFE699"/>
        <bgColor indexed="64"/>
      </patternFill>
    </fill>
    <fill>
      <patternFill patternType="solid">
        <fgColor rgb="FFFFFF00"/>
        <bgColor indexed="64"/>
      </patternFill>
    </fill>
    <fill>
      <patternFill patternType="solid">
        <fgColor rgb="FFF8CBAD"/>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70AD47"/>
        <bgColor indexed="64"/>
      </patternFill>
    </fill>
    <fill>
      <patternFill patternType="solid">
        <fgColor rgb="FFED7D31"/>
        <bgColor indexed="64"/>
      </patternFill>
    </fill>
  </fills>
  <borders count="28">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ck">
        <color rgb="FF000000"/>
      </top>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top style="thick">
        <color rgb="FF000000"/>
      </top>
      <bottom/>
      <diagonal/>
    </border>
    <border>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83">
    <xf numFmtId="0" fontId="0" fillId="0" borderId="0" xfId="0" applyFont="1" applyAlignment="1"/>
    <xf numFmtId="0" fontId="1" fillId="0" borderId="1" xfId="0" applyFont="1" applyBorder="1" applyAlignment="1"/>
    <xf numFmtId="0" fontId="2" fillId="0" borderId="1" xfId="0" applyFont="1" applyBorder="1"/>
    <xf numFmtId="0" fontId="1" fillId="0" borderId="6" xfId="0" applyFont="1" applyBorder="1" applyAlignment="1">
      <alignment horizontal="center"/>
    </xf>
    <xf numFmtId="0" fontId="1" fillId="0" borderId="0" xfId="0" applyFont="1" applyAlignment="1">
      <alignment horizontal="left"/>
    </xf>
    <xf numFmtId="0" fontId="1" fillId="0" borderId="0" xfId="0" applyFont="1"/>
    <xf numFmtId="0" fontId="2" fillId="0" borderId="5" xfId="0" applyFont="1" applyBorder="1" applyAlignment="1"/>
    <xf numFmtId="164" fontId="2" fillId="0" borderId="1" xfId="0" applyNumberFormat="1" applyFont="1" applyBorder="1" applyAlignment="1"/>
    <xf numFmtId="0" fontId="2" fillId="0" borderId="7" xfId="0" applyFont="1" applyBorder="1" applyAlignment="1">
      <alignment horizontal="left"/>
    </xf>
    <xf numFmtId="0" fontId="2" fillId="0" borderId="5" xfId="0" applyFont="1" applyBorder="1"/>
    <xf numFmtId="0" fontId="2" fillId="0" borderId="0" xfId="0" applyFont="1" applyAlignment="1">
      <alignment horizontal="left"/>
    </xf>
    <xf numFmtId="0" fontId="4" fillId="0" borderId="0" xfId="0" applyFont="1" applyAlignment="1">
      <alignment horizontal="right"/>
    </xf>
    <xf numFmtId="0" fontId="5" fillId="0" borderId="0" xfId="0" applyFont="1" applyAlignment="1">
      <alignment horizontal="right"/>
    </xf>
    <xf numFmtId="0" fontId="6" fillId="2" borderId="0" xfId="0" applyFont="1" applyFill="1" applyAlignment="1">
      <alignment horizontal="left"/>
    </xf>
    <xf numFmtId="0" fontId="2" fillId="0" borderId="1" xfId="0" applyFont="1" applyBorder="1" applyAlignment="1"/>
    <xf numFmtId="0" fontId="6" fillId="0" borderId="0" xfId="0" applyFont="1"/>
    <xf numFmtId="0" fontId="6" fillId="0" borderId="0" xfId="0" applyFont="1" applyAlignment="1"/>
    <xf numFmtId="0" fontId="2" fillId="0" borderId="1" xfId="0" applyFont="1" applyBorder="1" applyAlignment="1">
      <alignment horizontal="left"/>
    </xf>
    <xf numFmtId="0" fontId="7" fillId="2" borderId="0" xfId="0" applyFont="1" applyFill="1"/>
    <xf numFmtId="0" fontId="8" fillId="2" borderId="0" xfId="0" applyFont="1" applyFill="1" applyAlignment="1"/>
    <xf numFmtId="0" fontId="9" fillId="2" borderId="0" xfId="0" applyFont="1" applyFill="1"/>
    <xf numFmtId="0" fontId="2" fillId="0" borderId="8" xfId="0" applyFont="1" applyBorder="1" applyAlignment="1">
      <alignment horizontal="left"/>
    </xf>
    <xf numFmtId="0" fontId="1" fillId="0" borderId="1" xfId="0" applyFont="1" applyBorder="1"/>
    <xf numFmtId="0" fontId="1" fillId="0" borderId="9" xfId="0" applyFont="1" applyBorder="1" applyAlignment="1"/>
    <xf numFmtId="0" fontId="1" fillId="0" borderId="10" xfId="0" applyFont="1" applyBorder="1" applyAlignment="1"/>
    <xf numFmtId="4" fontId="2" fillId="0" borderId="0" xfId="0" applyNumberFormat="1" applyFont="1" applyAlignment="1">
      <alignment horizontal="right"/>
    </xf>
    <xf numFmtId="165" fontId="2" fillId="0" borderId="0" xfId="0" applyNumberFormat="1" applyFont="1" applyAlignment="1"/>
    <xf numFmtId="164" fontId="2" fillId="0" borderId="0" xfId="0" applyNumberFormat="1" applyFont="1" applyAlignment="1"/>
    <xf numFmtId="0" fontId="1" fillId="3" borderId="11" xfId="0" applyFont="1" applyFill="1" applyBorder="1" applyAlignment="1">
      <alignment horizontal="center"/>
    </xf>
    <xf numFmtId="0" fontId="1" fillId="2" borderId="11" xfId="0" applyFont="1" applyFill="1" applyBorder="1" applyAlignment="1"/>
    <xf numFmtId="0" fontId="1" fillId="2" borderId="11" xfId="0" applyFont="1" applyFill="1" applyBorder="1"/>
    <xf numFmtId="0" fontId="2" fillId="2" borderId="0" xfId="0" applyFont="1" applyFill="1"/>
    <xf numFmtId="0" fontId="2" fillId="2" borderId="11" xfId="0" applyFont="1" applyFill="1" applyBorder="1"/>
    <xf numFmtId="0" fontId="1" fillId="0" borderId="11" xfId="0" applyFont="1" applyBorder="1" applyAlignment="1"/>
    <xf numFmtId="0" fontId="1" fillId="7" borderId="11" xfId="0" applyFont="1" applyFill="1" applyBorder="1"/>
    <xf numFmtId="0" fontId="2" fillId="0" borderId="0" xfId="0" applyFont="1"/>
    <xf numFmtId="0" fontId="1" fillId="0" borderId="0" xfId="0" applyFont="1" applyAlignment="1">
      <alignment horizontal="right"/>
    </xf>
    <xf numFmtId="0" fontId="1" fillId="0" borderId="6" xfId="0" applyFont="1" applyBorder="1" applyAlignment="1"/>
    <xf numFmtId="0" fontId="2" fillId="0" borderId="6" xfId="0" applyFont="1" applyBorder="1" applyAlignment="1"/>
    <xf numFmtId="0" fontId="2" fillId="0" borderId="6" xfId="0" applyFont="1" applyBorder="1"/>
    <xf numFmtId="0" fontId="4" fillId="0" borderId="0" xfId="0" applyFont="1" applyAlignment="1">
      <alignment horizontal="center"/>
    </xf>
    <xf numFmtId="16" fontId="4" fillId="0" borderId="0" xfId="0" applyNumberFormat="1" applyFont="1" applyAlignment="1">
      <alignment horizontal="center"/>
    </xf>
    <xf numFmtId="167" fontId="2" fillId="0" borderId="0" xfId="0" applyNumberFormat="1" applyFont="1" applyAlignment="1">
      <alignment horizontal="center"/>
    </xf>
    <xf numFmtId="168" fontId="2" fillId="0" borderId="0" xfId="0" applyNumberFormat="1" applyFon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16" xfId="0" applyFont="1" applyBorder="1"/>
    <xf numFmtId="0" fontId="2" fillId="0" borderId="11" xfId="0" applyFont="1" applyBorder="1" applyAlignment="1">
      <alignment horizontal="center"/>
    </xf>
    <xf numFmtId="0" fontId="2" fillId="0" borderId="0" xfId="0" applyFont="1" applyAlignment="1"/>
    <xf numFmtId="0" fontId="2" fillId="0" borderId="0" xfId="0" applyFont="1" applyAlignment="1">
      <alignment horizontal="right"/>
    </xf>
    <xf numFmtId="166" fontId="2" fillId="0" borderId="0" xfId="0" applyNumberFormat="1" applyFont="1" applyAlignment="1">
      <alignment horizontal="center"/>
    </xf>
    <xf numFmtId="15" fontId="0" fillId="0" borderId="0" xfId="0" applyNumberFormat="1" applyFont="1" applyAlignment="1"/>
    <xf numFmtId="0" fontId="0" fillId="0" borderId="0" xfId="0" applyFont="1" applyAlignment="1"/>
    <xf numFmtId="0" fontId="0" fillId="0" borderId="0" xfId="0" applyFont="1" applyAlignment="1">
      <alignment horizontal="center"/>
    </xf>
    <xf numFmtId="0" fontId="2" fillId="8" borderId="0" xfId="0" applyFont="1" applyFill="1" applyAlignment="1">
      <alignment horizontal="center"/>
    </xf>
    <xf numFmtId="2" fontId="2" fillId="0" borderId="0" xfId="0" applyNumberFormat="1" applyFont="1" applyAlignment="1">
      <alignment horizontal="center"/>
    </xf>
    <xf numFmtId="0" fontId="4" fillId="9" borderId="0" xfId="0" applyFont="1" applyFill="1" applyAlignment="1">
      <alignment horizontal="center"/>
    </xf>
    <xf numFmtId="0" fontId="2" fillId="9" borderId="0" xfId="0" applyFont="1" applyFill="1" applyAlignment="1">
      <alignment horizontal="center"/>
    </xf>
    <xf numFmtId="0" fontId="5" fillId="9" borderId="0" xfId="0" applyFont="1" applyFill="1" applyAlignment="1">
      <alignment horizontal="center"/>
    </xf>
    <xf numFmtId="0" fontId="5" fillId="0" borderId="0" xfId="0" applyFont="1" applyAlignment="1">
      <alignment horizontal="center"/>
    </xf>
    <xf numFmtId="0" fontId="4" fillId="0" borderId="11" xfId="0" applyFont="1" applyBorder="1" applyAlignment="1">
      <alignment horizontal="center"/>
    </xf>
    <xf numFmtId="0" fontId="5" fillId="8" borderId="0" xfId="0" applyFont="1" applyFill="1" applyAlignment="1">
      <alignment horizontal="center"/>
    </xf>
    <xf numFmtId="0" fontId="4" fillId="8" borderId="0" xfId="0" applyFont="1" applyFill="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2" fontId="2" fillId="0" borderId="16" xfId="0" applyNumberFormat="1" applyFont="1" applyBorder="1" applyAlignment="1">
      <alignment horizontal="center"/>
    </xf>
    <xf numFmtId="0" fontId="2" fillId="0" borderId="16" xfId="0" applyFont="1" applyBorder="1" applyAlignment="1">
      <alignment horizontal="center"/>
    </xf>
    <xf numFmtId="1" fontId="2" fillId="8" borderId="0" xfId="0" applyNumberFormat="1" applyFont="1" applyFill="1" applyAlignment="1">
      <alignment horizontal="center"/>
    </xf>
    <xf numFmtId="2" fontId="2" fillId="8" borderId="0" xfId="0" applyNumberFormat="1" applyFont="1" applyFill="1" applyAlignment="1">
      <alignment horizontal="center"/>
    </xf>
    <xf numFmtId="169" fontId="2" fillId="0" borderId="0" xfId="0" applyNumberFormat="1" applyFont="1" applyAlignment="1"/>
    <xf numFmtId="169" fontId="0" fillId="0" borderId="0" xfId="0" applyNumberFormat="1" applyFont="1" applyAlignment="1"/>
    <xf numFmtId="0" fontId="0" fillId="0" borderId="0" xfId="0" applyFont="1" applyBorder="1" applyAlignment="1"/>
    <xf numFmtId="0" fontId="0" fillId="0" borderId="0" xfId="0" applyFont="1" applyAlignment="1"/>
    <xf numFmtId="0" fontId="0" fillId="0" borderId="0" xfId="0" applyFont="1" applyAlignment="1"/>
    <xf numFmtId="14" fontId="0" fillId="0" borderId="0" xfId="0" applyNumberFormat="1" applyFont="1" applyAlignment="1"/>
    <xf numFmtId="0" fontId="0" fillId="0" borderId="0" xfId="0" applyFont="1" applyAlignment="1"/>
    <xf numFmtId="0" fontId="0" fillId="0" borderId="0" xfId="0" applyFont="1" applyAlignment="1"/>
    <xf numFmtId="167" fontId="0" fillId="0" borderId="0" xfId="0" applyNumberFormat="1" applyFont="1" applyAlignment="1">
      <alignment horizontal="center"/>
    </xf>
    <xf numFmtId="0" fontId="0" fillId="0" borderId="0" xfId="0" applyFont="1" applyFill="1" applyAlignment="1"/>
    <xf numFmtId="167" fontId="2" fillId="0" borderId="0" xfId="0" applyNumberFormat="1" applyFont="1" applyFill="1" applyAlignment="1">
      <alignment horizontal="center"/>
    </xf>
    <xf numFmtId="0" fontId="0" fillId="0" borderId="0" xfId="0" applyFont="1" applyFill="1" applyAlignment="1">
      <alignment horizontal="center"/>
    </xf>
    <xf numFmtId="167" fontId="0" fillId="0" borderId="0" xfId="0" applyNumberFormat="1" applyFont="1" applyFill="1" applyAlignment="1">
      <alignment horizontal="center"/>
    </xf>
    <xf numFmtId="2" fontId="2" fillId="0" borderId="0" xfId="0" applyNumberFormat="1" applyFont="1" applyFill="1" applyAlignment="1">
      <alignment horizontal="center"/>
    </xf>
    <xf numFmtId="0" fontId="0" fillId="10" borderId="0" xfId="0" applyFont="1" applyFill="1" applyAlignment="1">
      <alignment horizontal="center"/>
    </xf>
    <xf numFmtId="0" fontId="0" fillId="0" borderId="0" xfId="0" applyFont="1" applyAlignment="1"/>
    <xf numFmtId="0" fontId="14"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2" fillId="0" borderId="0" xfId="0" applyFont="1" applyFill="1" applyAlignment="1">
      <alignment horizontal="center"/>
    </xf>
    <xf numFmtId="0" fontId="4" fillId="0" borderId="0" xfId="0" applyFont="1" applyFill="1" applyAlignment="1">
      <alignment horizontal="center"/>
    </xf>
    <xf numFmtId="0" fontId="2" fillId="0" borderId="16" xfId="0" applyFont="1" applyFill="1" applyBorder="1" applyAlignment="1">
      <alignment horizontal="center"/>
    </xf>
    <xf numFmtId="0" fontId="3" fillId="0" borderId="0" xfId="0" applyFont="1" applyFill="1" applyBorder="1" applyAlignment="1">
      <alignment horizontal="center"/>
    </xf>
    <xf numFmtId="0" fontId="1" fillId="4" borderId="11" xfId="0" applyFont="1" applyFill="1" applyBorder="1" applyAlignment="1">
      <alignment horizontal="center"/>
    </xf>
    <xf numFmtId="0" fontId="1" fillId="2" borderId="11" xfId="0" applyFont="1" applyFill="1" applyBorder="1" applyAlignment="1">
      <alignment horizontal="center"/>
    </xf>
    <xf numFmtId="0" fontId="1" fillId="0" borderId="11" xfId="0" applyFont="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16" fontId="0" fillId="0" borderId="0" xfId="0" applyNumberFormat="1" applyFont="1" applyAlignment="1"/>
    <xf numFmtId="0" fontId="15" fillId="0" borderId="0" xfId="0" applyFont="1" applyAlignment="1"/>
    <xf numFmtId="0" fontId="16"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NumberFormat="1" applyFont="1" applyBorder="1" applyAlignment="1">
      <alignment horizontal="left"/>
    </xf>
    <xf numFmtId="14" fontId="0" fillId="0" borderId="0" xfId="0" applyNumberFormat="1" applyFont="1" applyAlignment="1">
      <alignment horizontal="left"/>
    </xf>
    <xf numFmtId="2" fontId="0" fillId="0" borderId="0" xfId="0" applyNumberFormat="1" applyFont="1" applyAlignment="1"/>
    <xf numFmtId="0" fontId="0" fillId="0" borderId="0" xfId="0" applyFont="1" applyAlignment="1"/>
    <xf numFmtId="0" fontId="0" fillId="0" borderId="0" xfId="0" applyFont="1" applyAlignment="1"/>
    <xf numFmtId="14" fontId="12" fillId="6" borderId="0" xfId="0" applyNumberFormat="1" applyFont="1" applyFill="1" applyAlignment="1"/>
    <xf numFmtId="14" fontId="2" fillId="2" borderId="11" xfId="0" applyNumberFormat="1" applyFont="1" applyFill="1" applyBorder="1"/>
    <xf numFmtId="14" fontId="1" fillId="0" borderId="11" xfId="0" applyNumberFormat="1" applyFont="1" applyBorder="1" applyAlignment="1"/>
    <xf numFmtId="14" fontId="1" fillId="0" borderId="0" xfId="0" applyNumberFormat="1" applyFont="1" applyAlignment="1"/>
    <xf numFmtId="171" fontId="1" fillId="0" borderId="9" xfId="0" applyNumberFormat="1" applyFont="1" applyBorder="1" applyAlignment="1">
      <alignment horizontal="right"/>
    </xf>
    <xf numFmtId="171" fontId="0" fillId="0" borderId="0" xfId="0" applyNumberFormat="1" applyFont="1" applyAlignment="1">
      <alignment horizontal="right"/>
    </xf>
    <xf numFmtId="14" fontId="14" fillId="0" borderId="0" xfId="0" applyNumberFormat="1" applyFont="1" applyAlignment="1"/>
    <xf numFmtId="172" fontId="0" fillId="0" borderId="0" xfId="0" applyNumberFormat="1" applyFont="1" applyAlignment="1"/>
    <xf numFmtId="14" fontId="2" fillId="2" borderId="0" xfId="0" applyNumberFormat="1" applyFont="1" applyFill="1" applyAlignment="1"/>
    <xf numFmtId="0" fontId="2" fillId="2" borderId="0" xfId="0" applyFont="1" applyFill="1" applyBorder="1" applyAlignment="1"/>
    <xf numFmtId="0" fontId="0" fillId="2" borderId="5" xfId="0" applyFont="1" applyFill="1" applyBorder="1" applyAlignment="1"/>
    <xf numFmtId="0" fontId="2" fillId="2" borderId="0" xfId="0" applyFont="1" applyFill="1" applyBorder="1"/>
    <xf numFmtId="0" fontId="2" fillId="2" borderId="5" xfId="0" applyFont="1" applyFill="1" applyBorder="1"/>
    <xf numFmtId="14" fontId="2" fillId="11" borderId="0" xfId="0" applyNumberFormat="1" applyFont="1" applyFill="1" applyAlignment="1"/>
    <xf numFmtId="0" fontId="2" fillId="11" borderId="0" xfId="0" applyFont="1" applyFill="1"/>
    <xf numFmtId="0" fontId="2" fillId="11" borderId="0" xfId="0" applyFont="1" applyFill="1" applyBorder="1" applyAlignment="1"/>
    <xf numFmtId="0" fontId="0" fillId="11" borderId="5" xfId="0" applyFont="1" applyFill="1" applyBorder="1" applyAlignment="1"/>
    <xf numFmtId="0" fontId="2" fillId="11" borderId="0" xfId="0" applyFont="1" applyFill="1" applyBorder="1"/>
    <xf numFmtId="0" fontId="2" fillId="11" borderId="5" xfId="0" applyFont="1" applyFill="1" applyBorder="1"/>
    <xf numFmtId="0" fontId="0" fillId="2" borderId="0" xfId="0" applyFont="1" applyFill="1" applyAlignment="1"/>
    <xf numFmtId="14" fontId="2" fillId="2" borderId="0" xfId="0" applyNumberFormat="1" applyFont="1" applyFill="1"/>
    <xf numFmtId="14" fontId="2" fillId="11" borderId="0" xfId="0" applyNumberFormat="1" applyFont="1" applyFill="1"/>
    <xf numFmtId="0" fontId="2" fillId="2" borderId="6" xfId="0" applyFont="1" applyFill="1" applyBorder="1"/>
    <xf numFmtId="0" fontId="1" fillId="0" borderId="6" xfId="0" applyFont="1" applyBorder="1" applyAlignment="1">
      <alignment horizontal="right"/>
    </xf>
    <xf numFmtId="0" fontId="2" fillId="11" borderId="6" xfId="0" applyFont="1" applyFill="1" applyBorder="1"/>
    <xf numFmtId="0" fontId="0" fillId="0" borderId="6" xfId="0" applyFont="1" applyBorder="1" applyAlignment="1"/>
    <xf numFmtId="0" fontId="0" fillId="0" borderId="0" xfId="0" applyFont="1" applyAlignment="1"/>
    <xf numFmtId="0" fontId="2" fillId="0" borderId="0" xfId="0" applyFont="1" applyBorder="1"/>
    <xf numFmtId="0" fontId="2" fillId="0" borderId="0" xfId="0" applyFont="1" applyBorder="1" applyAlignment="1"/>
    <xf numFmtId="0" fontId="5" fillId="0" borderId="0" xfId="0" applyFont="1" applyBorder="1" applyAlignment="1">
      <alignment horizontal="right"/>
    </xf>
    <xf numFmtId="0" fontId="2" fillId="0" borderId="0" xfId="0" applyFont="1" applyFill="1" applyAlignment="1"/>
    <xf numFmtId="0" fontId="0"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5" xfId="0" applyFont="1" applyFill="1" applyBorder="1" applyAlignment="1"/>
    <xf numFmtId="0" fontId="2" fillId="3" borderId="0" xfId="0" applyFont="1" applyFill="1" applyAlignment="1"/>
    <xf numFmtId="171" fontId="0" fillId="0" borderId="0" xfId="0" applyNumberFormat="1" applyFont="1" applyAlignment="1">
      <alignment horizontal="center"/>
    </xf>
    <xf numFmtId="0" fontId="3" fillId="0" borderId="3" xfId="0" applyFont="1" applyBorder="1" applyAlignment="1"/>
    <xf numFmtId="0" fontId="3" fillId="0" borderId="4" xfId="0" applyFont="1" applyBorder="1" applyAlignment="1"/>
    <xf numFmtId="0" fontId="1" fillId="0" borderId="5" xfId="0" applyFont="1" applyBorder="1" applyAlignment="1"/>
    <xf numFmtId="0" fontId="1" fillId="0" borderId="2" xfId="0" applyFont="1" applyBorder="1" applyAlignment="1"/>
    <xf numFmtId="171" fontId="1" fillId="0" borderId="1" xfId="0" applyNumberFormat="1" applyFont="1" applyBorder="1" applyAlignment="1"/>
    <xf numFmtId="171" fontId="2" fillId="0" borderId="1" xfId="0" applyNumberFormat="1" applyFont="1" applyBorder="1"/>
    <xf numFmtId="171" fontId="2" fillId="0" borderId="1" xfId="0" applyNumberFormat="1" applyFont="1" applyBorder="1" applyAlignment="1"/>
    <xf numFmtId="171" fontId="2" fillId="0" borderId="0" xfId="0" applyNumberFormat="1" applyFont="1" applyAlignment="1"/>
    <xf numFmtId="171" fontId="3" fillId="0" borderId="1" xfId="0" applyNumberFormat="1" applyFont="1" applyBorder="1" applyAlignment="1"/>
    <xf numFmtId="171" fontId="3" fillId="0" borderId="1" xfId="0" applyNumberFormat="1" applyFont="1" applyBorder="1"/>
    <xf numFmtId="171" fontId="0" fillId="0" borderId="0" xfId="0" applyNumberFormat="1" applyFont="1" applyAlignment="1"/>
    <xf numFmtId="171" fontId="0" fillId="0" borderId="0" xfId="0" applyNumberFormat="1" applyFont="1" applyAlignment="1">
      <alignment horizontal="left"/>
    </xf>
    <xf numFmtId="171" fontId="2" fillId="0" borderId="0" xfId="0" applyNumberFormat="1" applyFont="1" applyAlignment="1">
      <alignment horizontal="left"/>
    </xf>
    <xf numFmtId="171" fontId="0" fillId="0" borderId="0" xfId="0" applyNumberFormat="1" applyFont="1" applyFill="1" applyBorder="1" applyAlignment="1">
      <alignment horizontal="left"/>
    </xf>
    <xf numFmtId="171" fontId="0" fillId="0" borderId="0" xfId="0" applyNumberFormat="1" applyFont="1" applyBorder="1" applyAlignment="1">
      <alignment horizontal="left"/>
    </xf>
    <xf numFmtId="171" fontId="1" fillId="4" borderId="0" xfId="0" applyNumberFormat="1" applyFont="1" applyFill="1" applyAlignment="1">
      <alignment horizontal="center"/>
    </xf>
    <xf numFmtId="171" fontId="1" fillId="4" borderId="11" xfId="0" applyNumberFormat="1" applyFont="1" applyFill="1" applyBorder="1" applyAlignment="1">
      <alignment horizontal="center"/>
    </xf>
    <xf numFmtId="171" fontId="1" fillId="0" borderId="0" xfId="0" applyNumberFormat="1" applyFont="1" applyAlignment="1">
      <alignment horizontal="center"/>
    </xf>
    <xf numFmtId="171" fontId="2" fillId="0" borderId="0" xfId="0" applyNumberFormat="1" applyFont="1" applyAlignment="1">
      <alignment horizontal="center"/>
    </xf>
    <xf numFmtId="0" fontId="0" fillId="0" borderId="0" xfId="0" applyFont="1" applyAlignment="1"/>
    <xf numFmtId="0" fontId="2" fillId="8" borderId="12" xfId="0" applyFont="1" applyFill="1" applyBorder="1" applyAlignment="1">
      <alignment horizontal="center"/>
    </xf>
    <xf numFmtId="0" fontId="2" fillId="0" borderId="12" xfId="0" applyFont="1" applyBorder="1" applyAlignment="1">
      <alignment horizontal="center"/>
    </xf>
    <xf numFmtId="14" fontId="13" fillId="0" borderId="0" xfId="0" applyNumberFormat="1" applyFont="1" applyAlignment="1">
      <alignment horizontal="left"/>
    </xf>
    <xf numFmtId="171" fontId="13" fillId="0" borderId="0" xfId="0" applyNumberFormat="1" applyFont="1" applyAlignment="1">
      <alignment horizontal="left"/>
    </xf>
    <xf numFmtId="0" fontId="13" fillId="0" borderId="0" xfId="0" applyFont="1" applyAlignment="1">
      <alignment horizontal="left"/>
    </xf>
    <xf numFmtId="0" fontId="17" fillId="0" borderId="0" xfId="0" applyFont="1" applyAlignment="1"/>
    <xf numFmtId="0" fontId="0" fillId="0" borderId="0" xfId="0" applyFont="1" applyAlignment="1"/>
    <xf numFmtId="0" fontId="0" fillId="0" borderId="17" xfId="0" applyNumberFormat="1" applyFont="1" applyBorder="1" applyAlignment="1"/>
    <xf numFmtId="0" fontId="0" fillId="0" borderId="18" xfId="0" pivotButton="1" applyFont="1" applyBorder="1" applyAlignment="1"/>
    <xf numFmtId="0" fontId="0" fillId="0" borderId="19" xfId="0" applyFont="1" applyBorder="1" applyAlignment="1"/>
    <xf numFmtId="0" fontId="0" fillId="0" borderId="20" xfId="0" applyFont="1" applyBorder="1" applyAlignment="1"/>
    <xf numFmtId="0" fontId="0" fillId="0" borderId="18" xfId="0" applyFont="1" applyBorder="1" applyAlignment="1"/>
    <xf numFmtId="0" fontId="0" fillId="0" borderId="21" xfId="0" applyFont="1" applyBorder="1" applyAlignment="1"/>
    <xf numFmtId="0" fontId="0" fillId="0" borderId="22" xfId="0" applyFont="1" applyBorder="1" applyAlignment="1"/>
    <xf numFmtId="0" fontId="0" fillId="0" borderId="18" xfId="0" applyFont="1" applyBorder="1" applyAlignment="1">
      <alignment horizontal="left"/>
    </xf>
    <xf numFmtId="0" fontId="0" fillId="0" borderId="18" xfId="0" applyNumberFormat="1" applyFont="1" applyBorder="1" applyAlignment="1"/>
    <xf numFmtId="0" fontId="0" fillId="0" borderId="21" xfId="0" applyNumberFormat="1" applyFont="1" applyBorder="1" applyAlignment="1"/>
    <xf numFmtId="0" fontId="0" fillId="0" borderId="22" xfId="0" applyNumberFormat="1" applyFont="1" applyBorder="1" applyAlignment="1"/>
    <xf numFmtId="0" fontId="0" fillId="0" borderId="23" xfId="0" applyFont="1" applyBorder="1" applyAlignment="1">
      <alignment horizontal="left"/>
    </xf>
    <xf numFmtId="0" fontId="0" fillId="0" borderId="23" xfId="0" applyNumberFormat="1" applyFont="1" applyBorder="1" applyAlignment="1"/>
    <xf numFmtId="0" fontId="0" fillId="0" borderId="24" xfId="0" applyNumberFormat="1" applyFont="1" applyBorder="1" applyAlignment="1"/>
    <xf numFmtId="0" fontId="0" fillId="0" borderId="25" xfId="0" applyFont="1" applyBorder="1" applyAlignment="1">
      <alignment horizontal="left"/>
    </xf>
    <xf numFmtId="0" fontId="0" fillId="0" borderId="25" xfId="0" applyNumberFormat="1" applyFont="1" applyBorder="1" applyAlignment="1"/>
    <xf numFmtId="0" fontId="0" fillId="0" borderId="26" xfId="0" applyNumberFormat="1" applyFont="1" applyBorder="1" applyAlignment="1"/>
    <xf numFmtId="0" fontId="0" fillId="0" borderId="27" xfId="0" applyNumberFormat="1" applyFont="1" applyBorder="1" applyAlignment="1"/>
    <xf numFmtId="0" fontId="0" fillId="0" borderId="27" xfId="0" pivotButton="1" applyFont="1" applyBorder="1" applyAlignment="1"/>
    <xf numFmtId="0" fontId="0" fillId="0" borderId="27" xfId="0" applyFont="1" applyBorder="1" applyAlignment="1"/>
    <xf numFmtId="49" fontId="0" fillId="12" borderId="0" xfId="0" applyNumberFormat="1" applyFont="1" applyFill="1" applyAlignment="1">
      <alignment horizontal="left"/>
    </xf>
    <xf numFmtId="0" fontId="0" fillId="12" borderId="0" xfId="0" applyFont="1" applyFill="1" applyAlignment="1">
      <alignment horizontal="left"/>
    </xf>
    <xf numFmtId="0" fontId="2" fillId="2" borderId="0" xfId="0" applyFont="1" applyFill="1" applyAlignment="1"/>
    <xf numFmtId="0" fontId="2" fillId="2" borderId="5" xfId="0" applyFont="1" applyFill="1" applyBorder="1" applyAlignment="1"/>
    <xf numFmtId="0" fontId="2" fillId="11" borderId="0" xfId="0" applyFont="1" applyFill="1" applyAlignment="1"/>
    <xf numFmtId="0" fontId="2" fillId="11" borderId="6" xfId="0" applyFont="1" applyFill="1" applyBorder="1" applyAlignment="1"/>
    <xf numFmtId="0" fontId="0" fillId="12" borderId="0" xfId="0" applyNumberFormat="1" applyFont="1" applyFill="1" applyAlignment="1">
      <alignment horizontal="left"/>
    </xf>
    <xf numFmtId="0" fontId="0" fillId="0" borderId="0" xfId="0" applyNumberFormat="1" applyFont="1" applyAlignment="1">
      <alignment horizontal="left"/>
    </xf>
    <xf numFmtId="0" fontId="0" fillId="15" borderId="0" xfId="0" applyFont="1" applyFill="1" applyAlignment="1">
      <alignment horizontal="left"/>
    </xf>
    <xf numFmtId="171" fontId="13" fillId="15" borderId="0" xfId="0" applyNumberFormat="1" applyFont="1" applyFill="1" applyAlignment="1">
      <alignment horizontal="left"/>
    </xf>
    <xf numFmtId="2" fontId="0" fillId="15" borderId="0" xfId="0" applyNumberFormat="1" applyFont="1" applyFill="1" applyAlignment="1">
      <alignment horizontal="left"/>
    </xf>
    <xf numFmtId="171" fontId="0" fillId="15" borderId="0" xfId="0" applyNumberFormat="1" applyFont="1" applyFill="1" applyAlignment="1">
      <alignment horizontal="left"/>
    </xf>
    <xf numFmtId="49" fontId="0" fillId="15" borderId="0" xfId="0" applyNumberFormat="1" applyFont="1" applyFill="1" applyAlignment="1">
      <alignment horizontal="left"/>
    </xf>
    <xf numFmtId="4" fontId="2" fillId="14" borderId="0" xfId="0" applyNumberFormat="1" applyFont="1" applyFill="1" applyAlignment="1">
      <alignment horizontal="left"/>
    </xf>
    <xf numFmtId="0" fontId="0" fillId="0" borderId="0" xfId="0" applyFont="1" applyAlignment="1"/>
    <xf numFmtId="0" fontId="0" fillId="0" borderId="0" xfId="0" applyFont="1" applyAlignment="1"/>
    <xf numFmtId="0" fontId="0" fillId="0" borderId="0" xfId="0" applyFont="1" applyAlignment="1"/>
    <xf numFmtId="2" fontId="0" fillId="0" borderId="0" xfId="0" applyNumberFormat="1" applyFont="1" applyAlignment="1">
      <alignment horizontal="left"/>
    </xf>
    <xf numFmtId="0" fontId="1" fillId="3" borderId="11" xfId="0" applyFont="1" applyFill="1" applyBorder="1" applyAlignment="1">
      <alignment horizontal="left"/>
    </xf>
    <xf numFmtId="172" fontId="1" fillId="3" borderId="11" xfId="0" applyNumberFormat="1" applyFont="1" applyFill="1" applyBorder="1" applyAlignment="1">
      <alignment horizontal="left"/>
    </xf>
    <xf numFmtId="1" fontId="10" fillId="3" borderId="11" xfId="0" applyNumberFormat="1" applyFont="1" applyFill="1" applyBorder="1" applyAlignment="1">
      <alignment horizontal="left"/>
    </xf>
    <xf numFmtId="172" fontId="2" fillId="0" borderId="0" xfId="0" applyNumberFormat="1" applyFont="1" applyAlignment="1">
      <alignment horizontal="left"/>
    </xf>
    <xf numFmtId="1" fontId="2" fillId="0" borderId="0" xfId="0" applyNumberFormat="1" applyFont="1" applyAlignment="1">
      <alignment horizontal="left"/>
    </xf>
    <xf numFmtId="172" fontId="13" fillId="0" borderId="0" xfId="0" applyNumberFormat="1" applyFont="1" applyAlignment="1">
      <alignment horizontal="left"/>
    </xf>
    <xf numFmtId="172" fontId="0" fillId="0" borderId="0" xfId="0" applyNumberFormat="1" applyFont="1" applyAlignment="1">
      <alignment horizontal="left"/>
    </xf>
    <xf numFmtId="0" fontId="0" fillId="13" borderId="0" xfId="0" applyFont="1" applyFill="1" applyAlignment="1">
      <alignment horizontal="left"/>
    </xf>
    <xf numFmtId="0" fontId="18" fillId="13" borderId="0" xfId="0" applyFont="1" applyFill="1" applyAlignment="1">
      <alignment horizontal="left"/>
    </xf>
    <xf numFmtId="14" fontId="2" fillId="0" borderId="0" xfId="0" applyNumberFormat="1" applyFont="1" applyAlignment="1">
      <alignment horizontal="left"/>
    </xf>
    <xf numFmtId="1" fontId="0" fillId="0" borderId="0" xfId="0" applyNumberFormat="1" applyFont="1" applyAlignment="1">
      <alignment horizontal="left"/>
    </xf>
    <xf numFmtId="1" fontId="2" fillId="0" borderId="0" xfId="0" applyNumberFormat="1" applyFont="1" applyFill="1" applyAlignment="1">
      <alignment horizontal="left"/>
    </xf>
    <xf numFmtId="0" fontId="11" fillId="0" borderId="0" xfId="0" applyFont="1" applyAlignment="1">
      <alignment horizontal="left"/>
    </xf>
    <xf numFmtId="14" fontId="11" fillId="0" borderId="0" xfId="0" applyNumberFormat="1" applyFont="1" applyAlignment="1">
      <alignment horizontal="left"/>
    </xf>
    <xf numFmtId="14" fontId="0" fillId="0" borderId="0" xfId="0" applyNumberFormat="1" applyFont="1" applyFill="1" applyBorder="1" applyAlignment="1">
      <alignment horizontal="left"/>
    </xf>
    <xf numFmtId="14" fontId="0" fillId="0" borderId="0" xfId="0" applyNumberFormat="1" applyFont="1" applyBorder="1" applyAlignment="1">
      <alignment horizontal="left"/>
    </xf>
    <xf numFmtId="0" fontId="3" fillId="0" borderId="0" xfId="0" applyNumberFormat="1" applyFont="1" applyAlignment="1">
      <alignment horizontal="left"/>
    </xf>
    <xf numFmtId="2" fontId="2" fillId="0" borderId="0" xfId="0" applyNumberFormat="1" applyFont="1" applyAlignment="1">
      <alignment horizontal="left"/>
    </xf>
    <xf numFmtId="170" fontId="0" fillId="0" borderId="0" xfId="0" applyNumberFormat="1" applyFont="1" applyAlignment="1">
      <alignment horizontal="left"/>
    </xf>
    <xf numFmtId="170" fontId="13" fillId="0" borderId="0" xfId="0" applyNumberFormat="1" applyFont="1" applyAlignment="1">
      <alignment horizontal="left"/>
    </xf>
    <xf numFmtId="0" fontId="19" fillId="0" borderId="0" xfId="0" applyFont="1" applyAlignment="1">
      <alignment horizontal="left"/>
    </xf>
    <xf numFmtId="0" fontId="19" fillId="0" borderId="0" xfId="0" applyFont="1" applyAlignment="1"/>
    <xf numFmtId="4" fontId="2" fillId="0" borderId="0" xfId="0" applyNumberFormat="1" applyFont="1" applyAlignment="1"/>
    <xf numFmtId="0" fontId="0" fillId="0" borderId="0" xfId="0" applyFont="1" applyAlignment="1"/>
    <xf numFmtId="0" fontId="19" fillId="0" borderId="0" xfId="0" applyFont="1" applyFill="1" applyBorder="1" applyAlignment="1"/>
    <xf numFmtId="173" fontId="0" fillId="0" borderId="0" xfId="0" applyNumberFormat="1" applyFont="1" applyAlignment="1"/>
    <xf numFmtId="173" fontId="15" fillId="0" borderId="0" xfId="0" applyNumberFormat="1" applyFont="1" applyAlignment="1"/>
    <xf numFmtId="1" fontId="0" fillId="0" borderId="0" xfId="0" applyNumberFormat="1" applyFont="1" applyAlignment="1">
      <alignment horizontal="left" wrapText="1"/>
    </xf>
    <xf numFmtId="0" fontId="0" fillId="16" borderId="0" xfId="0" applyFont="1" applyFill="1" applyAlignment="1"/>
    <xf numFmtId="0" fontId="0" fillId="0" borderId="0" xfId="0" applyFont="1" applyAlignment="1"/>
    <xf numFmtId="171" fontId="13" fillId="0" borderId="0" xfId="0" applyNumberFormat="1" applyFont="1" applyFill="1" applyAlignment="1">
      <alignment horizontal="left"/>
    </xf>
    <xf numFmtId="172" fontId="0" fillId="0" borderId="0" xfId="0" applyNumberFormat="1" applyFont="1" applyFill="1" applyAlignment="1">
      <alignment horizontal="left"/>
    </xf>
    <xf numFmtId="0" fontId="0" fillId="0" borderId="0" xfId="0" applyFont="1" applyFill="1" applyAlignment="1">
      <alignment horizontal="left"/>
    </xf>
    <xf numFmtId="14" fontId="0" fillId="0" borderId="0" xfId="0" applyNumberFormat="1" applyFont="1" applyAlignment="1">
      <alignment horizontal="center"/>
    </xf>
    <xf numFmtId="171" fontId="0" fillId="0" borderId="0" xfId="0" applyNumberFormat="1" applyFont="1" applyFill="1" applyAlignment="1">
      <alignment horizontal="left"/>
    </xf>
    <xf numFmtId="0" fontId="13" fillId="0" borderId="0" xfId="0" applyFont="1" applyFill="1" applyAlignment="1">
      <alignment horizontal="left"/>
    </xf>
    <xf numFmtId="49" fontId="0" fillId="0" borderId="0" xfId="0" applyNumberFormat="1" applyFont="1" applyFill="1" applyAlignment="1">
      <alignment horizontal="left"/>
    </xf>
    <xf numFmtId="0" fontId="0" fillId="0" borderId="0" xfId="0" applyNumberFormat="1" applyFont="1" applyFill="1" applyAlignment="1">
      <alignment horizontal="left"/>
    </xf>
    <xf numFmtId="0" fontId="19" fillId="0" borderId="0" xfId="0" applyFont="1" applyFill="1" applyBorder="1" applyAlignment="1">
      <alignment wrapText="1"/>
    </xf>
    <xf numFmtId="0" fontId="0" fillId="0" borderId="0" xfId="0" applyFont="1" applyFill="1" applyBorder="1" applyAlignment="1">
      <alignment wrapText="1"/>
    </xf>
    <xf numFmtId="0" fontId="13" fillId="0" borderId="0" xfId="0" applyNumberFormat="1" applyFont="1" applyAlignment="1">
      <alignment horizontal="left"/>
    </xf>
    <xf numFmtId="0" fontId="19" fillId="0" borderId="0" xfId="0" applyFont="1" applyAlignment="1">
      <alignment wrapText="1"/>
    </xf>
    <xf numFmtId="0" fontId="0" fillId="0" borderId="0" xfId="0" applyFont="1" applyAlignment="1"/>
    <xf numFmtId="173" fontId="14" fillId="0" borderId="0" xfId="0" applyNumberFormat="1" applyFont="1" applyAlignment="1"/>
    <xf numFmtId="0" fontId="17" fillId="0" borderId="0" xfId="0" applyFont="1" applyAlignment="1">
      <alignment wrapText="1"/>
    </xf>
    <xf numFmtId="0" fontId="0" fillId="17" borderId="0" xfId="0" applyFont="1" applyFill="1" applyAlignment="1"/>
    <xf numFmtId="0" fontId="0" fillId="14" borderId="0" xfId="0" applyFont="1" applyFill="1" applyAlignment="1"/>
    <xf numFmtId="0" fontId="0" fillId="0" borderId="0" xfId="0" applyAlignment="1">
      <alignment wrapText="1"/>
    </xf>
    <xf numFmtId="0" fontId="0" fillId="18" borderId="0" xfId="0" applyFill="1" applyAlignment="1">
      <alignment wrapText="1"/>
    </xf>
    <xf numFmtId="0" fontId="0" fillId="19" borderId="0" xfId="0" applyFill="1" applyAlignment="1">
      <alignment wrapText="1"/>
    </xf>
    <xf numFmtId="0" fontId="0" fillId="20" borderId="0" xfId="0" applyFont="1" applyFill="1" applyAlignment="1"/>
    <xf numFmtId="0" fontId="0" fillId="21" borderId="0" xfId="0" applyFont="1" applyFill="1" applyAlignment="1"/>
    <xf numFmtId="0" fontId="1" fillId="0" borderId="0" xfId="0" applyFont="1" applyAlignment="1">
      <alignment horizontal="center"/>
    </xf>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center"/>
    </xf>
    <xf numFmtId="0" fontId="0" fillId="0" borderId="0" xfId="0" applyFont="1" applyAlignment="1"/>
    <xf numFmtId="0" fontId="2"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0" xfId="0" applyFont="1" applyAlignment="1"/>
    <xf numFmtId="0" fontId="0" fillId="0" borderId="0" xfId="0" applyFont="1" applyAlignment="1">
      <alignment horizontal="center" vertical="top" wrapText="1"/>
    </xf>
  </cellXfs>
  <cellStyles count="1">
    <cellStyle name="Normal" xfId="0" builtinId="0"/>
  </cellStyles>
  <dxfs count="33">
    <dxf>
      <border>
        <right style="thin">
          <color rgb="FF000000"/>
        </right>
      </border>
    </dxf>
    <dxf>
      <numFmt numFmtId="174" formatCode="m/d/yyyy"/>
    </dxf>
    <dxf>
      <fill>
        <patternFill patternType="solid">
          <fgColor rgb="FF8E7CC3"/>
          <bgColor rgb="FF8E7CC3"/>
        </patternFill>
      </fill>
    </dxf>
    <dxf>
      <fill>
        <patternFill patternType="solid">
          <fgColor rgb="FF6D9EEB"/>
          <bgColor rgb="FF6D9EEB"/>
        </patternFill>
      </fill>
    </dxf>
    <dxf>
      <fill>
        <patternFill patternType="solid">
          <fgColor rgb="FF76A5AF"/>
          <bgColor rgb="FF76A5AF"/>
        </patternFill>
      </fill>
    </dxf>
    <dxf>
      <fill>
        <patternFill patternType="solid">
          <fgColor rgb="FF93C47D"/>
          <bgColor rgb="FF93C47D"/>
        </patternFill>
      </fill>
    </dxf>
    <dxf>
      <fill>
        <patternFill patternType="solid">
          <fgColor rgb="FFFFD966"/>
          <bgColor rgb="FFFFD966"/>
        </patternFill>
      </fill>
    </dxf>
    <dxf>
      <fill>
        <patternFill patternType="solid">
          <fgColor rgb="FFF6B26B"/>
          <bgColor rgb="FFF6B26B"/>
        </patternFill>
      </fill>
    </dxf>
    <dxf>
      <fill>
        <patternFill patternType="solid">
          <fgColor rgb="FFF4C7C3"/>
          <bgColor rgb="FFF4C7C3"/>
        </patternFill>
      </fill>
    </dxf>
    <dxf>
      <fill>
        <patternFill patternType="solid">
          <fgColor rgb="FF0000FF"/>
          <bgColor rgb="FF0000FF"/>
        </patternFill>
      </fill>
    </dxf>
    <dxf>
      <fill>
        <patternFill patternType="solid">
          <fgColor rgb="FF0000FF"/>
          <bgColor rgb="FF0000FF"/>
        </patternFill>
      </fill>
    </dxf>
    <dxf>
      <fill>
        <patternFill patternType="solid">
          <fgColor rgb="FF0000FF"/>
          <bgColor rgb="FF0000FF"/>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CC0000"/>
          <bgColor rgb="FFCC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s>
  <tableStyles count="2">
    <tableStyle name="Cage tracking-style" pivot="0" count="2" xr9:uid="{00000000-0011-0000-FFFF-FFFF00000000}">
      <tableStyleElement type="firstRowStripe" dxfId="32"/>
      <tableStyleElement type="secondRowStripe" dxfId="31"/>
    </tableStyle>
    <tableStyle name="Cage tracking-style 2" pivot="0" count="3" xr9:uid="{00000000-0011-0000-FFFF-FFFF01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m Weishou Nicholas" id="{B1AC893D-3112-4E09-B36D-CCFC32E30C5C}" userId="S::dbslwn@nus.edu.sg::c14589ee-8a83-4153-ae8a-b7b97f6c3a1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124.883702893516" createdVersion="6" refreshedVersion="6" minRefreshableVersion="3" recordCount="390" xr:uid="{F5CAE6DB-737A-42CE-98C0-1AF666F9CE10}">
  <cacheSource type="worksheet">
    <worksheetSource ref="A1:H1048576" sheet="Cage Tally"/>
  </cacheSource>
  <cacheFields count="8">
    <cacheField name="date" numFmtId="0">
      <sharedItems containsNonDate="0" containsDate="1" containsString="0" containsBlank="1" minDate="2020-06-29T00:00:00" maxDate="2020-10-22T00:00:00"/>
    </cacheField>
    <cacheField name="date_text" numFmtId="0">
      <sharedItems containsBlank="1" count="49">
        <s v="20200629"/>
        <s v="20200630"/>
        <s v="20200703"/>
        <s v="20200706"/>
        <s v="20200707"/>
        <s v="20200708"/>
        <s v="20200709"/>
        <s v="20200713"/>
        <s v="20200714"/>
        <s v="20200717"/>
        <s v="20200721"/>
        <s v="20200727"/>
        <s v="20200803"/>
        <s v="20200811"/>
        <s v="20200814"/>
        <s v="20200817"/>
        <s v="20200819"/>
        <s v="20200820"/>
        <s v="20200824"/>
        <s v="20200826"/>
        <s v="20200901"/>
        <s v="20200902"/>
        <s v="20200903"/>
        <s v="20200904"/>
        <s v="20200907"/>
        <s v="20200908"/>
        <s v="20200909"/>
        <s v="20200911"/>
        <s v="20200914"/>
        <s v="20200918"/>
        <s v="20200921"/>
        <s v="20200922"/>
        <s v="20200923"/>
        <s v="20200925"/>
        <s v="20200928"/>
        <s v="20200930"/>
        <s v="20201001"/>
        <s v="20201002"/>
        <s v="20201005"/>
        <s v="20201007"/>
        <s v="20201008"/>
        <s v="20201009"/>
        <s v="20201013"/>
        <s v="20201014"/>
        <s v="20201016"/>
        <s v="20201019"/>
        <s v="20201021"/>
        <s v="19000100"/>
        <m/>
      </sharedItems>
    </cacheField>
    <cacheField name="line" numFmtId="0">
      <sharedItems containsBlank="1" count="6">
        <s v="C"/>
        <s v="D"/>
        <s v="E"/>
        <s v="A"/>
        <s v="B"/>
        <m/>
      </sharedItems>
    </cacheField>
    <cacheField name="line_id" numFmtId="0">
      <sharedItems containsString="0" containsBlank="1" containsNumber="1" containsInteger="1" minValue="1" maxValue="47"/>
    </cacheField>
    <cacheField name="event" numFmtId="0">
      <sharedItems containsBlank="1" count="4">
        <s v="Dark"/>
        <s v="Light"/>
        <s v="Decomm"/>
        <m/>
      </sharedItems>
    </cacheField>
    <cacheField name="cage_code" numFmtId="0">
      <sharedItems containsBlank="1" containsMixedTypes="1" containsNumber="1" containsInteger="1" minValue="31" maxValue="33" count="113">
        <s v="C"/>
        <s v="D"/>
        <s v="E"/>
        <s v="A"/>
        <s v="B1"/>
        <s v="C1"/>
        <s v="D1"/>
        <s v="D2"/>
        <s v="D3"/>
        <s v="C2"/>
        <s v="C3"/>
        <s v="C4"/>
        <s v="D4"/>
        <s v="D5"/>
        <s v="D6"/>
        <s v="D7"/>
        <s v="D8"/>
        <s v="D9"/>
        <s v="D10"/>
        <s v="D11"/>
        <s v="C5"/>
        <s v="C6"/>
        <s v="C7"/>
        <s v="D12"/>
        <s v="D13"/>
        <s v="D14"/>
        <s v="D15"/>
        <s v="D16"/>
        <s v="C8"/>
        <s v="C9"/>
        <s v="C10"/>
        <s v="C11"/>
        <s v="C12"/>
        <s v="B2"/>
        <s v="B3"/>
        <s v="C13"/>
        <s v="E1"/>
        <s v="E2"/>
        <s v="A1"/>
        <s v="A2"/>
        <s v="A3"/>
        <s v="A4"/>
        <s v="A5"/>
        <s v="C14"/>
        <s v="C15"/>
        <s v="C16"/>
        <s v="C17"/>
        <s v="C18"/>
        <s v="A6"/>
        <s v="A7"/>
        <s v="A8"/>
        <s v="A9"/>
        <s v="A10"/>
        <s v="D17"/>
        <s v="D18"/>
        <s v="D19"/>
        <s v="D20"/>
        <s v="D21"/>
        <s v="D22"/>
        <s v="D23"/>
        <s v="D24"/>
        <s v="D25"/>
        <s v="D26"/>
        <s v="D27"/>
        <s v="C19"/>
        <s v="C20"/>
        <s v="C21"/>
        <s v="B4"/>
        <s v="B5"/>
        <s v="B6"/>
        <s v="B7"/>
        <s v="C22"/>
        <s v="D29"/>
        <s v="D30"/>
        <s v="D31"/>
        <s v="D32"/>
        <s v="C23"/>
        <s v="B8"/>
        <s v="D28"/>
        <s v="D33"/>
        <s v="D34"/>
        <s v="C24"/>
        <s v="C25"/>
        <s v="C26"/>
        <s v="C27"/>
        <s v="C28"/>
        <s v="D35"/>
        <s v="D36"/>
        <s v="D37"/>
        <s v="D38"/>
        <s v="D39"/>
        <s v="D40"/>
        <s v="C29"/>
        <s v="C30"/>
        <s v="C31"/>
        <s v="C32"/>
        <s v="C33"/>
        <s v="D41"/>
        <s v="D42"/>
        <s v="D43"/>
        <s v="A11"/>
        <s v="A12"/>
        <s v="E3"/>
        <s v="E4"/>
        <s v="D44"/>
        <s v="D45"/>
        <s v="D46"/>
        <s v="D47"/>
        <s v=""/>
        <m/>
        <n v="33" u="1"/>
        <n v="31" u="1"/>
        <n v="32" u="1"/>
      </sharedItems>
    </cacheField>
    <cacheField name="light_days" numFmtId="0">
      <sharedItems containsBlank="1" containsMixedTypes="1" containsNumber="1" containsInteger="1" minValue="2" maxValue="113"/>
    </cacheField>
    <cacheField name="flies_count" numFmtId="0">
      <sharedItems containsString="0" containsBlank="1" containsNumber="1" minValue="11581.911166527874" maxValue="23187.5617442178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
  <r>
    <d v="2020-06-29T00:00:00"/>
    <x v="0"/>
    <x v="0"/>
    <m/>
    <x v="0"/>
    <x v="0"/>
    <s v=""/>
    <m/>
  </r>
  <r>
    <d v="2020-06-29T00:00:00"/>
    <x v="0"/>
    <x v="1"/>
    <m/>
    <x v="0"/>
    <x v="1"/>
    <s v=""/>
    <m/>
  </r>
  <r>
    <d v="2020-06-29T00:00:00"/>
    <x v="0"/>
    <x v="1"/>
    <m/>
    <x v="0"/>
    <x v="1"/>
    <s v=""/>
    <m/>
  </r>
  <r>
    <d v="2020-06-30T00:00:00"/>
    <x v="1"/>
    <x v="0"/>
    <m/>
    <x v="1"/>
    <x v="0"/>
    <n v="113"/>
    <m/>
  </r>
  <r>
    <d v="2020-06-30T00:00:00"/>
    <x v="1"/>
    <x v="2"/>
    <m/>
    <x v="0"/>
    <x v="2"/>
    <s v=""/>
    <m/>
  </r>
  <r>
    <d v="2020-06-30T00:00:00"/>
    <x v="1"/>
    <x v="2"/>
    <m/>
    <x v="0"/>
    <x v="2"/>
    <s v=""/>
    <m/>
  </r>
  <r>
    <d v="2020-06-30T00:00:00"/>
    <x v="1"/>
    <x v="2"/>
    <m/>
    <x v="0"/>
    <x v="2"/>
    <s v=""/>
    <m/>
  </r>
  <r>
    <d v="2020-07-03T00:00:00"/>
    <x v="2"/>
    <x v="0"/>
    <m/>
    <x v="0"/>
    <x v="0"/>
    <s v=""/>
    <m/>
  </r>
  <r>
    <d v="2020-07-03T00:00:00"/>
    <x v="2"/>
    <x v="1"/>
    <m/>
    <x v="1"/>
    <x v="1"/>
    <n v="110"/>
    <m/>
  </r>
  <r>
    <d v="2020-07-03T00:00:00"/>
    <x v="2"/>
    <x v="1"/>
    <m/>
    <x v="1"/>
    <x v="1"/>
    <n v="110"/>
    <m/>
  </r>
  <r>
    <d v="2020-07-06T00:00:00"/>
    <x v="3"/>
    <x v="1"/>
    <m/>
    <x v="0"/>
    <x v="1"/>
    <s v=""/>
    <m/>
  </r>
  <r>
    <d v="2020-07-06T00:00:00"/>
    <x v="3"/>
    <x v="1"/>
    <m/>
    <x v="0"/>
    <x v="1"/>
    <s v=""/>
    <m/>
  </r>
  <r>
    <d v="2020-07-06T00:00:00"/>
    <x v="3"/>
    <x v="2"/>
    <m/>
    <x v="1"/>
    <x v="2"/>
    <n v="107"/>
    <m/>
  </r>
  <r>
    <d v="2020-07-06T00:00:00"/>
    <x v="3"/>
    <x v="2"/>
    <m/>
    <x v="1"/>
    <x v="2"/>
    <n v="107"/>
    <m/>
  </r>
  <r>
    <d v="2020-07-06T00:00:00"/>
    <x v="3"/>
    <x v="2"/>
    <m/>
    <x v="1"/>
    <x v="2"/>
    <n v="107"/>
    <m/>
  </r>
  <r>
    <d v="2020-07-07T00:00:00"/>
    <x v="4"/>
    <x v="0"/>
    <m/>
    <x v="0"/>
    <x v="0"/>
    <s v=""/>
    <m/>
  </r>
  <r>
    <d v="2020-07-08T00:00:00"/>
    <x v="5"/>
    <x v="0"/>
    <m/>
    <x v="0"/>
    <x v="0"/>
    <s v=""/>
    <m/>
  </r>
  <r>
    <d v="2020-07-08T00:00:00"/>
    <x v="5"/>
    <x v="0"/>
    <m/>
    <x v="0"/>
    <x v="0"/>
    <s v=""/>
    <m/>
  </r>
  <r>
    <d v="2020-07-08T00:00:00"/>
    <x v="5"/>
    <x v="0"/>
    <m/>
    <x v="0"/>
    <x v="0"/>
    <s v=""/>
    <m/>
  </r>
  <r>
    <d v="2020-07-08T00:00:00"/>
    <x v="5"/>
    <x v="0"/>
    <m/>
    <x v="0"/>
    <x v="0"/>
    <s v=""/>
    <m/>
  </r>
  <r>
    <d v="2020-07-08T00:00:00"/>
    <x v="5"/>
    <x v="0"/>
    <m/>
    <x v="1"/>
    <x v="0"/>
    <n v="105"/>
    <m/>
  </r>
  <r>
    <d v="2020-07-08T00:00:00"/>
    <x v="5"/>
    <x v="1"/>
    <m/>
    <x v="1"/>
    <x v="1"/>
    <n v="105"/>
    <m/>
  </r>
  <r>
    <d v="2020-07-08T00:00:00"/>
    <x v="5"/>
    <x v="1"/>
    <m/>
    <x v="1"/>
    <x v="1"/>
    <n v="105"/>
    <m/>
  </r>
  <r>
    <d v="2020-07-09T00:00:00"/>
    <x v="6"/>
    <x v="3"/>
    <m/>
    <x v="0"/>
    <x v="3"/>
    <s v=""/>
    <m/>
  </r>
  <r>
    <d v="2020-07-13T00:00:00"/>
    <x v="7"/>
    <x v="0"/>
    <m/>
    <x v="1"/>
    <x v="0"/>
    <n v="100"/>
    <m/>
  </r>
  <r>
    <d v="2020-07-13T00:00:00"/>
    <x v="7"/>
    <x v="0"/>
    <m/>
    <x v="1"/>
    <x v="0"/>
    <n v="100"/>
    <m/>
  </r>
  <r>
    <d v="2020-07-14T00:00:00"/>
    <x v="8"/>
    <x v="0"/>
    <m/>
    <x v="1"/>
    <x v="0"/>
    <n v="99"/>
    <m/>
  </r>
  <r>
    <d v="2020-07-14T00:00:00"/>
    <x v="8"/>
    <x v="0"/>
    <m/>
    <x v="1"/>
    <x v="0"/>
    <n v="99"/>
    <m/>
  </r>
  <r>
    <d v="2020-07-17T00:00:00"/>
    <x v="9"/>
    <x v="3"/>
    <m/>
    <x v="1"/>
    <x v="3"/>
    <n v="96"/>
    <m/>
  </r>
  <r>
    <d v="2020-07-17T00:00:00"/>
    <x v="9"/>
    <x v="0"/>
    <m/>
    <x v="1"/>
    <x v="0"/>
    <n v="96"/>
    <m/>
  </r>
  <r>
    <d v="2020-07-21T00:00:00"/>
    <x v="10"/>
    <x v="4"/>
    <n v="1"/>
    <x v="0"/>
    <x v="4"/>
    <s v=""/>
    <m/>
  </r>
  <r>
    <d v="2020-07-21T00:00:00"/>
    <x v="10"/>
    <x v="0"/>
    <m/>
    <x v="2"/>
    <x v="0"/>
    <s v=""/>
    <m/>
  </r>
  <r>
    <d v="2020-07-21T00:00:00"/>
    <x v="10"/>
    <x v="2"/>
    <m/>
    <x v="2"/>
    <x v="2"/>
    <s v=""/>
    <m/>
  </r>
  <r>
    <d v="2020-07-27T00:00:00"/>
    <x v="11"/>
    <x v="4"/>
    <n v="1"/>
    <x v="1"/>
    <x v="4"/>
    <n v="86"/>
    <m/>
  </r>
  <r>
    <d v="2020-07-27T00:00:00"/>
    <x v="11"/>
    <x v="0"/>
    <n v="1"/>
    <x v="0"/>
    <x v="5"/>
    <s v=""/>
    <m/>
  </r>
  <r>
    <d v="2020-07-27T00:00:00"/>
    <x v="11"/>
    <x v="1"/>
    <n v="1"/>
    <x v="0"/>
    <x v="6"/>
    <s v=""/>
    <m/>
  </r>
  <r>
    <d v="2020-08-03T00:00:00"/>
    <x v="12"/>
    <x v="0"/>
    <n v="1"/>
    <x v="1"/>
    <x v="5"/>
    <n v="79"/>
    <m/>
  </r>
  <r>
    <d v="2020-08-03T00:00:00"/>
    <x v="12"/>
    <x v="1"/>
    <n v="1"/>
    <x v="1"/>
    <x v="6"/>
    <n v="79"/>
    <m/>
  </r>
  <r>
    <d v="2020-08-03T00:00:00"/>
    <x v="12"/>
    <x v="1"/>
    <n v="2"/>
    <x v="0"/>
    <x v="7"/>
    <s v=""/>
    <m/>
  </r>
  <r>
    <d v="2020-08-03T00:00:00"/>
    <x v="12"/>
    <x v="1"/>
    <n v="3"/>
    <x v="0"/>
    <x v="8"/>
    <s v=""/>
    <m/>
  </r>
  <r>
    <d v="2020-08-11T00:00:00"/>
    <x v="13"/>
    <x v="0"/>
    <n v="2"/>
    <x v="0"/>
    <x v="9"/>
    <s v=""/>
    <m/>
  </r>
  <r>
    <d v="2020-08-11T00:00:00"/>
    <x v="13"/>
    <x v="0"/>
    <n v="3"/>
    <x v="0"/>
    <x v="10"/>
    <s v=""/>
    <m/>
  </r>
  <r>
    <d v="2020-08-11T00:00:00"/>
    <x v="13"/>
    <x v="0"/>
    <n v="4"/>
    <x v="0"/>
    <x v="11"/>
    <s v=""/>
    <m/>
  </r>
  <r>
    <d v="2020-08-11T00:00:00"/>
    <x v="13"/>
    <x v="1"/>
    <n v="2"/>
    <x v="1"/>
    <x v="7"/>
    <n v="71"/>
    <m/>
  </r>
  <r>
    <d v="2020-08-11T00:00:00"/>
    <x v="13"/>
    <x v="1"/>
    <n v="3"/>
    <x v="1"/>
    <x v="8"/>
    <n v="71"/>
    <m/>
  </r>
  <r>
    <d v="2020-08-11T00:00:00"/>
    <x v="13"/>
    <x v="1"/>
    <n v="4"/>
    <x v="0"/>
    <x v="12"/>
    <s v=""/>
    <m/>
  </r>
  <r>
    <d v="2020-08-11T00:00:00"/>
    <x v="13"/>
    <x v="1"/>
    <n v="5"/>
    <x v="0"/>
    <x v="13"/>
    <s v=""/>
    <m/>
  </r>
  <r>
    <d v="2020-08-11T00:00:00"/>
    <x v="13"/>
    <x v="1"/>
    <n v="6"/>
    <x v="0"/>
    <x v="14"/>
    <s v=""/>
    <m/>
  </r>
  <r>
    <d v="2020-08-11T00:00:00"/>
    <x v="13"/>
    <x v="1"/>
    <n v="7"/>
    <x v="0"/>
    <x v="15"/>
    <s v=""/>
    <m/>
  </r>
  <r>
    <d v="2020-08-11T00:00:00"/>
    <x v="13"/>
    <x v="1"/>
    <n v="8"/>
    <x v="0"/>
    <x v="16"/>
    <s v=""/>
    <m/>
  </r>
  <r>
    <d v="2020-08-11T00:00:00"/>
    <x v="13"/>
    <x v="1"/>
    <n v="9"/>
    <x v="0"/>
    <x v="17"/>
    <s v=""/>
    <m/>
  </r>
  <r>
    <d v="2020-08-11T00:00:00"/>
    <x v="13"/>
    <x v="1"/>
    <n v="10"/>
    <x v="0"/>
    <x v="18"/>
    <s v=""/>
    <m/>
  </r>
  <r>
    <d v="2020-08-11T00:00:00"/>
    <x v="13"/>
    <x v="1"/>
    <n v="11"/>
    <x v="0"/>
    <x v="19"/>
    <s v=""/>
    <m/>
  </r>
  <r>
    <d v="2020-08-14T00:00:00"/>
    <x v="14"/>
    <x v="0"/>
    <n v="2"/>
    <x v="1"/>
    <x v="9"/>
    <n v="68"/>
    <m/>
  </r>
  <r>
    <d v="2020-08-14T00:00:00"/>
    <x v="14"/>
    <x v="0"/>
    <n v="3"/>
    <x v="1"/>
    <x v="10"/>
    <n v="68"/>
    <m/>
  </r>
  <r>
    <d v="2020-08-14T00:00:00"/>
    <x v="14"/>
    <x v="0"/>
    <n v="4"/>
    <x v="1"/>
    <x v="11"/>
    <n v="68"/>
    <m/>
  </r>
  <r>
    <d v="2020-08-14T00:00:00"/>
    <x v="14"/>
    <x v="2"/>
    <m/>
    <x v="2"/>
    <x v="2"/>
    <s v=""/>
    <m/>
  </r>
  <r>
    <d v="2020-08-14T00:00:00"/>
    <x v="14"/>
    <x v="2"/>
    <m/>
    <x v="2"/>
    <x v="2"/>
    <s v=""/>
    <m/>
  </r>
  <r>
    <d v="2020-08-17T00:00:00"/>
    <x v="15"/>
    <x v="0"/>
    <m/>
    <x v="2"/>
    <x v="0"/>
    <s v=""/>
    <m/>
  </r>
  <r>
    <d v="2020-08-17T00:00:00"/>
    <x v="15"/>
    <x v="0"/>
    <m/>
    <x v="2"/>
    <x v="0"/>
    <s v=""/>
    <m/>
  </r>
  <r>
    <d v="2020-08-17T00:00:00"/>
    <x v="15"/>
    <x v="1"/>
    <n v="4"/>
    <x v="1"/>
    <x v="12"/>
    <n v="65"/>
    <m/>
  </r>
  <r>
    <d v="2020-08-17T00:00:00"/>
    <x v="15"/>
    <x v="1"/>
    <n v="6"/>
    <x v="1"/>
    <x v="14"/>
    <n v="65"/>
    <m/>
  </r>
  <r>
    <d v="2020-08-17T00:00:00"/>
    <x v="15"/>
    <x v="1"/>
    <n v="7"/>
    <x v="1"/>
    <x v="15"/>
    <n v="65"/>
    <m/>
  </r>
  <r>
    <d v="2020-08-17T00:00:00"/>
    <x v="15"/>
    <x v="1"/>
    <n v="10"/>
    <x v="1"/>
    <x v="18"/>
    <n v="65"/>
    <m/>
  </r>
  <r>
    <d v="2020-08-17T00:00:00"/>
    <x v="15"/>
    <x v="1"/>
    <n v="11"/>
    <x v="1"/>
    <x v="19"/>
    <n v="65"/>
    <m/>
  </r>
  <r>
    <d v="2020-08-17T00:00:00"/>
    <x v="15"/>
    <x v="1"/>
    <m/>
    <x v="2"/>
    <x v="1"/>
    <s v=""/>
    <m/>
  </r>
  <r>
    <d v="2020-08-19T00:00:00"/>
    <x v="16"/>
    <x v="3"/>
    <m/>
    <x v="2"/>
    <x v="3"/>
    <s v=""/>
    <m/>
  </r>
  <r>
    <d v="2020-08-19T00:00:00"/>
    <x v="16"/>
    <x v="0"/>
    <n v="1"/>
    <x v="2"/>
    <x v="5"/>
    <s v=""/>
    <m/>
  </r>
  <r>
    <d v="2020-08-19T00:00:00"/>
    <x v="16"/>
    <x v="0"/>
    <m/>
    <x v="2"/>
    <x v="0"/>
    <s v=""/>
    <m/>
  </r>
  <r>
    <d v="2020-08-19T00:00:00"/>
    <x v="16"/>
    <x v="0"/>
    <m/>
    <x v="2"/>
    <x v="0"/>
    <s v=""/>
    <m/>
  </r>
  <r>
    <d v="2020-08-19T00:00:00"/>
    <x v="16"/>
    <x v="0"/>
    <m/>
    <x v="2"/>
    <x v="0"/>
    <s v=""/>
    <m/>
  </r>
  <r>
    <d v="2020-08-19T00:00:00"/>
    <x v="16"/>
    <x v="0"/>
    <m/>
    <x v="2"/>
    <x v="0"/>
    <s v=""/>
    <m/>
  </r>
  <r>
    <d v="2020-08-19T00:00:00"/>
    <x v="16"/>
    <x v="1"/>
    <n v="1"/>
    <x v="2"/>
    <x v="6"/>
    <s v=""/>
    <m/>
  </r>
  <r>
    <d v="2020-08-19T00:00:00"/>
    <x v="16"/>
    <x v="1"/>
    <n v="5"/>
    <x v="1"/>
    <x v="13"/>
    <n v="63"/>
    <m/>
  </r>
  <r>
    <d v="2020-08-19T00:00:00"/>
    <x v="16"/>
    <x v="1"/>
    <n v="8"/>
    <x v="1"/>
    <x v="16"/>
    <n v="63"/>
    <m/>
  </r>
  <r>
    <d v="2020-08-19T00:00:00"/>
    <x v="16"/>
    <x v="1"/>
    <n v="9"/>
    <x v="1"/>
    <x v="17"/>
    <n v="63"/>
    <m/>
  </r>
  <r>
    <d v="2020-08-19T00:00:00"/>
    <x v="16"/>
    <x v="1"/>
    <m/>
    <x v="2"/>
    <x v="1"/>
    <s v=""/>
    <m/>
  </r>
  <r>
    <d v="2020-08-19T00:00:00"/>
    <x v="16"/>
    <x v="1"/>
    <m/>
    <x v="2"/>
    <x v="1"/>
    <s v=""/>
    <m/>
  </r>
  <r>
    <d v="2020-08-19T00:00:00"/>
    <x v="16"/>
    <x v="1"/>
    <m/>
    <x v="2"/>
    <x v="1"/>
    <s v=""/>
    <m/>
  </r>
  <r>
    <d v="2020-08-20T00:00:00"/>
    <x v="17"/>
    <x v="0"/>
    <n v="5"/>
    <x v="0"/>
    <x v="20"/>
    <s v=""/>
    <m/>
  </r>
  <r>
    <d v="2020-08-20T00:00:00"/>
    <x v="17"/>
    <x v="0"/>
    <n v="6"/>
    <x v="0"/>
    <x v="21"/>
    <s v=""/>
    <m/>
  </r>
  <r>
    <d v="2020-08-20T00:00:00"/>
    <x v="17"/>
    <x v="0"/>
    <n v="7"/>
    <x v="0"/>
    <x v="22"/>
    <s v=""/>
    <m/>
  </r>
  <r>
    <d v="2020-08-24T00:00:00"/>
    <x v="18"/>
    <x v="0"/>
    <n v="6"/>
    <x v="1"/>
    <x v="21"/>
    <n v="58"/>
    <m/>
  </r>
  <r>
    <d v="2020-08-24T00:00:00"/>
    <x v="18"/>
    <x v="0"/>
    <n v="5"/>
    <x v="1"/>
    <x v="20"/>
    <n v="58"/>
    <m/>
  </r>
  <r>
    <d v="2020-08-26T00:00:00"/>
    <x v="19"/>
    <x v="0"/>
    <n v="7"/>
    <x v="1"/>
    <x v="22"/>
    <n v="56"/>
    <m/>
  </r>
  <r>
    <d v="2020-09-01T00:00:00"/>
    <x v="20"/>
    <x v="1"/>
    <n v="12"/>
    <x v="0"/>
    <x v="23"/>
    <s v=""/>
    <m/>
  </r>
  <r>
    <d v="2020-09-01T00:00:00"/>
    <x v="20"/>
    <x v="1"/>
    <n v="13"/>
    <x v="0"/>
    <x v="24"/>
    <s v=""/>
    <m/>
  </r>
  <r>
    <d v="2020-09-01T00:00:00"/>
    <x v="20"/>
    <x v="1"/>
    <n v="14"/>
    <x v="0"/>
    <x v="25"/>
    <s v=""/>
    <m/>
  </r>
  <r>
    <d v="2020-09-01T00:00:00"/>
    <x v="20"/>
    <x v="1"/>
    <n v="15"/>
    <x v="0"/>
    <x v="26"/>
    <s v=""/>
    <m/>
  </r>
  <r>
    <d v="2020-09-01T00:00:00"/>
    <x v="20"/>
    <x v="1"/>
    <n v="16"/>
    <x v="0"/>
    <x v="27"/>
    <m/>
    <m/>
  </r>
  <r>
    <d v="2020-09-01T00:00:00"/>
    <x v="20"/>
    <x v="0"/>
    <n v="8"/>
    <x v="0"/>
    <x v="28"/>
    <s v=""/>
    <m/>
  </r>
  <r>
    <d v="2020-09-01T00:00:00"/>
    <x v="20"/>
    <x v="0"/>
    <n v="9"/>
    <x v="0"/>
    <x v="29"/>
    <s v=""/>
    <m/>
  </r>
  <r>
    <d v="2020-09-02T00:00:00"/>
    <x v="21"/>
    <x v="0"/>
    <n v="10"/>
    <x v="0"/>
    <x v="30"/>
    <s v=""/>
    <m/>
  </r>
  <r>
    <d v="2020-09-02T00:00:00"/>
    <x v="21"/>
    <x v="0"/>
    <n v="11"/>
    <x v="0"/>
    <x v="31"/>
    <s v=""/>
    <m/>
  </r>
  <r>
    <d v="2020-09-02T00:00:00"/>
    <x v="21"/>
    <x v="0"/>
    <n v="12"/>
    <x v="0"/>
    <x v="32"/>
    <s v=""/>
    <m/>
  </r>
  <r>
    <d v="2020-09-03T00:00:00"/>
    <x v="22"/>
    <x v="4"/>
    <n v="2"/>
    <x v="0"/>
    <x v="33"/>
    <s v=""/>
    <n v="23187.561744217852"/>
  </r>
  <r>
    <d v="2020-09-03T00:00:00"/>
    <x v="22"/>
    <x v="4"/>
    <n v="3"/>
    <x v="0"/>
    <x v="34"/>
    <s v=""/>
    <n v="23187.561744217852"/>
  </r>
  <r>
    <d v="2020-09-03T00:00:00"/>
    <x v="22"/>
    <x v="0"/>
    <n v="13"/>
    <x v="0"/>
    <x v="35"/>
    <s v=""/>
    <n v="23171.897772480632"/>
  </r>
  <r>
    <d v="2020-09-04T00:00:00"/>
    <x v="23"/>
    <x v="2"/>
    <n v="1"/>
    <x v="0"/>
    <x v="36"/>
    <s v=""/>
    <n v="23163.822333055748"/>
  </r>
  <r>
    <d v="2020-09-04T00:00:00"/>
    <x v="23"/>
    <x v="2"/>
    <n v="2"/>
    <x v="0"/>
    <x v="37"/>
    <s v=""/>
    <n v="11581.911166527874"/>
  </r>
  <r>
    <d v="2020-09-04T00:00:00"/>
    <x v="23"/>
    <x v="3"/>
    <n v="1"/>
    <x v="0"/>
    <x v="38"/>
    <s v=""/>
    <m/>
  </r>
  <r>
    <d v="2020-09-04T00:00:00"/>
    <x v="23"/>
    <x v="3"/>
    <n v="2"/>
    <x v="0"/>
    <x v="39"/>
    <s v=""/>
    <m/>
  </r>
  <r>
    <d v="2020-09-04T00:00:00"/>
    <x v="23"/>
    <x v="3"/>
    <n v="3"/>
    <x v="0"/>
    <x v="40"/>
    <s v=""/>
    <m/>
  </r>
  <r>
    <d v="2020-09-04T00:00:00"/>
    <x v="23"/>
    <x v="3"/>
    <n v="4"/>
    <x v="0"/>
    <x v="41"/>
    <s v=""/>
    <m/>
  </r>
  <r>
    <d v="2020-09-04T00:00:00"/>
    <x v="23"/>
    <x v="3"/>
    <n v="5"/>
    <x v="0"/>
    <x v="42"/>
    <s v=""/>
    <m/>
  </r>
  <r>
    <d v="2020-09-07T00:00:00"/>
    <x v="24"/>
    <x v="0"/>
    <n v="14"/>
    <x v="0"/>
    <x v="43"/>
    <s v=""/>
    <m/>
  </r>
  <r>
    <d v="2020-09-07T00:00:00"/>
    <x v="24"/>
    <x v="0"/>
    <n v="15"/>
    <x v="0"/>
    <x v="44"/>
    <s v=""/>
    <m/>
  </r>
  <r>
    <d v="2020-09-07T00:00:00"/>
    <x v="24"/>
    <x v="0"/>
    <n v="16"/>
    <x v="0"/>
    <x v="45"/>
    <s v=""/>
    <m/>
  </r>
  <r>
    <d v="2020-09-07T00:00:00"/>
    <x v="24"/>
    <x v="0"/>
    <n v="17"/>
    <x v="0"/>
    <x v="46"/>
    <s v=""/>
    <m/>
  </r>
  <r>
    <d v="2020-09-07T00:00:00"/>
    <x v="24"/>
    <x v="0"/>
    <n v="18"/>
    <x v="0"/>
    <x v="47"/>
    <s v=""/>
    <m/>
  </r>
  <r>
    <d v="2020-09-07T00:00:00"/>
    <x v="24"/>
    <x v="3"/>
    <n v="6"/>
    <x v="0"/>
    <x v="48"/>
    <s v=""/>
    <m/>
  </r>
  <r>
    <d v="2020-09-07T00:00:00"/>
    <x v="24"/>
    <x v="3"/>
    <n v="7"/>
    <x v="0"/>
    <x v="49"/>
    <s v=""/>
    <m/>
  </r>
  <r>
    <d v="2020-09-07T00:00:00"/>
    <x v="24"/>
    <x v="3"/>
    <n v="8"/>
    <x v="0"/>
    <x v="50"/>
    <s v=""/>
    <m/>
  </r>
  <r>
    <d v="2020-09-07T00:00:00"/>
    <x v="24"/>
    <x v="3"/>
    <n v="9"/>
    <x v="0"/>
    <x v="51"/>
    <s v=""/>
    <m/>
  </r>
  <r>
    <d v="2020-09-07T00:00:00"/>
    <x v="24"/>
    <x v="3"/>
    <n v="10"/>
    <x v="0"/>
    <x v="52"/>
    <s v=""/>
    <m/>
  </r>
  <r>
    <d v="2020-09-07T00:00:00"/>
    <x v="24"/>
    <x v="0"/>
    <n v="9"/>
    <x v="1"/>
    <x v="29"/>
    <n v="44"/>
    <m/>
  </r>
  <r>
    <d v="2020-09-07T00:00:00"/>
    <x v="24"/>
    <x v="0"/>
    <n v="10"/>
    <x v="1"/>
    <x v="30"/>
    <n v="44"/>
    <m/>
  </r>
  <r>
    <d v="2020-09-07T00:00:00"/>
    <x v="24"/>
    <x v="0"/>
    <n v="11"/>
    <x v="1"/>
    <x v="31"/>
    <n v="44"/>
    <m/>
  </r>
  <r>
    <d v="2020-09-07T00:00:00"/>
    <x v="24"/>
    <x v="0"/>
    <n v="12"/>
    <x v="1"/>
    <x v="32"/>
    <n v="44"/>
    <m/>
  </r>
  <r>
    <d v="2020-09-07T00:00:00"/>
    <x v="24"/>
    <x v="0"/>
    <n v="13"/>
    <x v="1"/>
    <x v="35"/>
    <n v="44"/>
    <m/>
  </r>
  <r>
    <d v="2020-09-07T00:00:00"/>
    <x v="24"/>
    <x v="1"/>
    <n v="13"/>
    <x v="1"/>
    <x v="24"/>
    <n v="44"/>
    <m/>
  </r>
  <r>
    <d v="2020-09-07T00:00:00"/>
    <x v="24"/>
    <x v="1"/>
    <n v="16"/>
    <x v="1"/>
    <x v="27"/>
    <n v="44"/>
    <m/>
  </r>
  <r>
    <d v="2020-09-07T00:00:00"/>
    <x v="24"/>
    <x v="3"/>
    <n v="5"/>
    <x v="1"/>
    <x v="42"/>
    <n v="44"/>
    <m/>
  </r>
  <r>
    <d v="2020-09-07T00:00:00"/>
    <x v="24"/>
    <x v="4"/>
    <n v="2"/>
    <x v="1"/>
    <x v="33"/>
    <n v="44"/>
    <m/>
  </r>
  <r>
    <d v="2020-09-07T00:00:00"/>
    <x v="24"/>
    <x v="4"/>
    <n v="3"/>
    <x v="1"/>
    <x v="34"/>
    <n v="44"/>
    <m/>
  </r>
  <r>
    <d v="2020-09-07T00:00:00"/>
    <x v="24"/>
    <x v="0"/>
    <n v="2"/>
    <x v="2"/>
    <x v="9"/>
    <s v=""/>
    <m/>
  </r>
  <r>
    <d v="2020-09-07T00:00:00"/>
    <x v="24"/>
    <x v="0"/>
    <n v="3"/>
    <x v="2"/>
    <x v="10"/>
    <s v=""/>
    <m/>
  </r>
  <r>
    <d v="2020-09-07T00:00:00"/>
    <x v="24"/>
    <x v="0"/>
    <n v="4"/>
    <x v="2"/>
    <x v="11"/>
    <s v=""/>
    <m/>
  </r>
  <r>
    <d v="2020-09-07T00:00:00"/>
    <x v="24"/>
    <x v="0"/>
    <n v="7"/>
    <x v="2"/>
    <x v="22"/>
    <s v=""/>
    <m/>
  </r>
  <r>
    <d v="2020-09-07T00:00:00"/>
    <x v="24"/>
    <x v="1"/>
    <n v="2"/>
    <x v="2"/>
    <x v="7"/>
    <s v=""/>
    <m/>
  </r>
  <r>
    <d v="2020-09-07T00:00:00"/>
    <x v="24"/>
    <x v="1"/>
    <n v="8"/>
    <x v="2"/>
    <x v="16"/>
    <s v=""/>
    <m/>
  </r>
  <r>
    <d v="2020-09-08T00:00:00"/>
    <x v="25"/>
    <x v="1"/>
    <n v="17"/>
    <x v="0"/>
    <x v="53"/>
    <s v=""/>
    <m/>
  </r>
  <r>
    <d v="2020-09-08T00:00:00"/>
    <x v="25"/>
    <x v="1"/>
    <n v="18"/>
    <x v="0"/>
    <x v="54"/>
    <s v=""/>
    <m/>
  </r>
  <r>
    <d v="2020-09-08T00:00:00"/>
    <x v="25"/>
    <x v="1"/>
    <n v="19"/>
    <x v="0"/>
    <x v="55"/>
    <s v=""/>
    <m/>
  </r>
  <r>
    <d v="2020-09-08T00:00:00"/>
    <x v="25"/>
    <x v="1"/>
    <n v="20"/>
    <x v="0"/>
    <x v="56"/>
    <s v=""/>
    <m/>
  </r>
  <r>
    <d v="2020-09-08T00:00:00"/>
    <x v="25"/>
    <x v="1"/>
    <n v="21"/>
    <x v="0"/>
    <x v="57"/>
    <s v=""/>
    <m/>
  </r>
  <r>
    <d v="2020-09-08T00:00:00"/>
    <x v="25"/>
    <x v="1"/>
    <n v="22"/>
    <x v="0"/>
    <x v="58"/>
    <s v=""/>
    <m/>
  </r>
  <r>
    <d v="2020-09-08T00:00:00"/>
    <x v="25"/>
    <x v="1"/>
    <n v="17"/>
    <x v="1"/>
    <x v="53"/>
    <n v="43"/>
    <m/>
  </r>
  <r>
    <d v="2020-09-08T00:00:00"/>
    <x v="25"/>
    <x v="1"/>
    <n v="23"/>
    <x v="0"/>
    <x v="59"/>
    <s v=""/>
    <m/>
  </r>
  <r>
    <d v="2020-09-08T00:00:00"/>
    <x v="25"/>
    <x v="1"/>
    <n v="24"/>
    <x v="0"/>
    <x v="60"/>
    <s v=""/>
    <m/>
  </r>
  <r>
    <d v="2020-09-08T00:00:00"/>
    <x v="25"/>
    <x v="1"/>
    <n v="25"/>
    <x v="0"/>
    <x v="61"/>
    <s v=""/>
    <m/>
  </r>
  <r>
    <d v="2020-09-08T00:00:00"/>
    <x v="25"/>
    <x v="1"/>
    <n v="26"/>
    <x v="0"/>
    <x v="62"/>
    <s v=""/>
    <m/>
  </r>
  <r>
    <d v="2020-09-08T00:00:00"/>
    <x v="25"/>
    <x v="1"/>
    <n v="27"/>
    <x v="0"/>
    <x v="63"/>
    <s v=""/>
    <m/>
  </r>
  <r>
    <d v="2020-09-08T00:00:00"/>
    <x v="25"/>
    <x v="1"/>
    <n v="27"/>
    <x v="1"/>
    <x v="63"/>
    <n v="43"/>
    <m/>
  </r>
  <r>
    <d v="2020-09-08T00:00:00"/>
    <x v="25"/>
    <x v="0"/>
    <n v="19"/>
    <x v="0"/>
    <x v="64"/>
    <s v=""/>
    <m/>
  </r>
  <r>
    <d v="2020-09-08T00:00:00"/>
    <x v="25"/>
    <x v="0"/>
    <n v="20"/>
    <x v="0"/>
    <x v="65"/>
    <s v=""/>
    <m/>
  </r>
  <r>
    <d v="2020-09-08T00:00:00"/>
    <x v="25"/>
    <x v="0"/>
    <n v="21"/>
    <x v="0"/>
    <x v="66"/>
    <s v=""/>
    <m/>
  </r>
  <r>
    <d v="2020-09-08T00:00:00"/>
    <x v="25"/>
    <x v="0"/>
    <n v="21"/>
    <x v="1"/>
    <x v="66"/>
    <n v="43"/>
    <m/>
  </r>
  <r>
    <d v="2020-09-09T00:00:00"/>
    <x v="26"/>
    <x v="3"/>
    <n v="1"/>
    <x v="1"/>
    <x v="38"/>
    <n v="42"/>
    <m/>
  </r>
  <r>
    <d v="2020-09-09T00:00:00"/>
    <x v="26"/>
    <x v="3"/>
    <n v="2"/>
    <x v="1"/>
    <x v="39"/>
    <n v="42"/>
    <m/>
  </r>
  <r>
    <d v="2020-09-09T00:00:00"/>
    <x v="26"/>
    <x v="3"/>
    <n v="3"/>
    <x v="1"/>
    <x v="40"/>
    <n v="42"/>
    <m/>
  </r>
  <r>
    <d v="2020-09-09T00:00:00"/>
    <x v="26"/>
    <x v="3"/>
    <n v="10"/>
    <x v="1"/>
    <x v="52"/>
    <n v="42"/>
    <m/>
  </r>
  <r>
    <d v="2020-09-09T00:00:00"/>
    <x v="26"/>
    <x v="0"/>
    <n v="18"/>
    <x v="1"/>
    <x v="47"/>
    <n v="42"/>
    <m/>
  </r>
  <r>
    <d v="2020-09-09T00:00:00"/>
    <x v="26"/>
    <x v="2"/>
    <n v="1"/>
    <x v="1"/>
    <x v="36"/>
    <n v="42"/>
    <m/>
  </r>
  <r>
    <d v="2020-09-09T00:00:00"/>
    <x v="26"/>
    <x v="1"/>
    <n v="4"/>
    <x v="2"/>
    <x v="12"/>
    <s v=""/>
    <m/>
  </r>
  <r>
    <d v="2020-09-09T00:00:00"/>
    <x v="26"/>
    <x v="1"/>
    <n v="5"/>
    <x v="2"/>
    <x v="13"/>
    <s v=""/>
    <m/>
  </r>
  <r>
    <d v="2020-09-09T00:00:00"/>
    <x v="26"/>
    <x v="1"/>
    <n v="10"/>
    <x v="2"/>
    <x v="18"/>
    <s v=""/>
    <m/>
  </r>
  <r>
    <d v="2020-09-11T00:00:00"/>
    <x v="27"/>
    <x v="0"/>
    <n v="5"/>
    <x v="2"/>
    <x v="20"/>
    <s v=""/>
    <m/>
  </r>
  <r>
    <d v="2020-09-11T00:00:00"/>
    <x v="27"/>
    <x v="0"/>
    <n v="6"/>
    <x v="2"/>
    <x v="21"/>
    <s v=""/>
    <m/>
  </r>
  <r>
    <d v="2020-09-11T00:00:00"/>
    <x v="27"/>
    <x v="1"/>
    <n v="20"/>
    <x v="1"/>
    <x v="56"/>
    <n v="40"/>
    <m/>
  </r>
  <r>
    <d v="2020-09-11T00:00:00"/>
    <x v="27"/>
    <x v="3"/>
    <n v="4"/>
    <x v="1"/>
    <x v="41"/>
    <n v="40"/>
    <m/>
  </r>
  <r>
    <d v="2020-09-11T00:00:00"/>
    <x v="27"/>
    <x v="3"/>
    <n v="9"/>
    <x v="1"/>
    <x v="51"/>
    <n v="40"/>
    <m/>
  </r>
  <r>
    <d v="2020-09-11T00:00:00"/>
    <x v="27"/>
    <x v="0"/>
    <n v="15"/>
    <x v="1"/>
    <x v="44"/>
    <n v="40"/>
    <m/>
  </r>
  <r>
    <d v="2020-09-11T00:00:00"/>
    <x v="27"/>
    <x v="0"/>
    <n v="16"/>
    <x v="1"/>
    <x v="45"/>
    <n v="40"/>
    <m/>
  </r>
  <r>
    <d v="2020-09-11T00:00:00"/>
    <x v="27"/>
    <x v="2"/>
    <n v="2"/>
    <x v="1"/>
    <x v="37"/>
    <n v="40"/>
    <m/>
  </r>
  <r>
    <d v="2020-09-14T00:00:00"/>
    <x v="28"/>
    <x v="1"/>
    <n v="15"/>
    <x v="1"/>
    <x v="26"/>
    <n v="37"/>
    <m/>
  </r>
  <r>
    <d v="2020-09-14T00:00:00"/>
    <x v="28"/>
    <x v="3"/>
    <n v="6"/>
    <x v="1"/>
    <x v="48"/>
    <n v="37"/>
    <m/>
  </r>
  <r>
    <d v="2020-09-14T00:00:00"/>
    <x v="28"/>
    <x v="3"/>
    <n v="7"/>
    <x v="1"/>
    <x v="49"/>
    <n v="37"/>
    <m/>
  </r>
  <r>
    <d v="2020-09-14T00:00:00"/>
    <x v="28"/>
    <x v="0"/>
    <n v="14"/>
    <x v="1"/>
    <x v="43"/>
    <n v="37"/>
    <m/>
  </r>
  <r>
    <d v="2020-09-14T00:00:00"/>
    <x v="28"/>
    <x v="0"/>
    <n v="17"/>
    <x v="1"/>
    <x v="46"/>
    <n v="37"/>
    <m/>
  </r>
  <r>
    <d v="2020-09-14T00:00:00"/>
    <x v="28"/>
    <x v="1"/>
    <n v="25"/>
    <x v="1"/>
    <x v="61"/>
    <n v="37"/>
    <m/>
  </r>
  <r>
    <d v="2020-09-14T00:00:00"/>
    <x v="28"/>
    <x v="1"/>
    <n v="26"/>
    <x v="1"/>
    <x v="62"/>
    <n v="37"/>
    <m/>
  </r>
  <r>
    <d v="2020-09-18T00:00:00"/>
    <x v="29"/>
    <x v="3"/>
    <n v="8"/>
    <x v="1"/>
    <x v="50"/>
    <n v="33"/>
    <m/>
  </r>
  <r>
    <d v="2020-09-18T00:00:00"/>
    <x v="29"/>
    <x v="0"/>
    <n v="8"/>
    <x v="1"/>
    <x v="28"/>
    <n v="33"/>
    <m/>
  </r>
  <r>
    <d v="2020-09-18T00:00:00"/>
    <x v="29"/>
    <x v="0"/>
    <n v="20"/>
    <x v="1"/>
    <x v="65"/>
    <n v="33"/>
    <m/>
  </r>
  <r>
    <d v="2020-09-18T00:00:00"/>
    <x v="29"/>
    <x v="0"/>
    <n v="19"/>
    <x v="1"/>
    <x v="64"/>
    <n v="33"/>
    <m/>
  </r>
  <r>
    <d v="2020-09-18T00:00:00"/>
    <x v="29"/>
    <x v="1"/>
    <n v="12"/>
    <x v="1"/>
    <x v="23"/>
    <n v="33"/>
    <m/>
  </r>
  <r>
    <d v="2020-09-18T00:00:00"/>
    <x v="29"/>
    <x v="1"/>
    <n v="14"/>
    <x v="1"/>
    <x v="25"/>
    <n v="33"/>
    <m/>
  </r>
  <r>
    <d v="2020-09-18T00:00:00"/>
    <x v="29"/>
    <x v="1"/>
    <n v="18"/>
    <x v="1"/>
    <x v="54"/>
    <n v="33"/>
    <m/>
  </r>
  <r>
    <d v="2020-09-18T00:00:00"/>
    <x v="29"/>
    <x v="1"/>
    <n v="19"/>
    <x v="1"/>
    <x v="55"/>
    <n v="33"/>
    <m/>
  </r>
  <r>
    <d v="2020-09-18T00:00:00"/>
    <x v="29"/>
    <x v="1"/>
    <n v="21"/>
    <x v="1"/>
    <x v="57"/>
    <n v="33"/>
    <m/>
  </r>
  <r>
    <d v="2020-09-18T00:00:00"/>
    <x v="29"/>
    <x v="1"/>
    <n v="22"/>
    <x v="1"/>
    <x v="58"/>
    <n v="33"/>
    <m/>
  </r>
  <r>
    <d v="2020-09-18T00:00:00"/>
    <x v="29"/>
    <x v="1"/>
    <n v="23"/>
    <x v="1"/>
    <x v="59"/>
    <n v="33"/>
    <m/>
  </r>
  <r>
    <d v="2020-09-18T00:00:00"/>
    <x v="29"/>
    <x v="1"/>
    <n v="24"/>
    <x v="1"/>
    <x v="60"/>
    <n v="33"/>
    <m/>
  </r>
  <r>
    <d v="2020-09-21T00:00:00"/>
    <x v="30"/>
    <x v="0"/>
    <n v="9"/>
    <x v="2"/>
    <x v="29"/>
    <s v=""/>
    <m/>
  </r>
  <r>
    <d v="2020-09-21T00:00:00"/>
    <x v="30"/>
    <x v="3"/>
    <n v="5"/>
    <x v="2"/>
    <x v="42"/>
    <s v=""/>
    <m/>
  </r>
  <r>
    <d v="2020-09-21T00:00:00"/>
    <x v="30"/>
    <x v="4"/>
    <n v="2"/>
    <x v="2"/>
    <x v="33"/>
    <s v=""/>
    <m/>
  </r>
  <r>
    <d v="2020-09-21T00:00:00"/>
    <x v="30"/>
    <x v="4"/>
    <n v="4"/>
    <x v="0"/>
    <x v="67"/>
    <s v=""/>
    <m/>
  </r>
  <r>
    <d v="2020-09-21T00:00:00"/>
    <x v="30"/>
    <x v="4"/>
    <n v="5"/>
    <x v="0"/>
    <x v="68"/>
    <s v=""/>
    <m/>
  </r>
  <r>
    <d v="2020-09-21T00:00:00"/>
    <x v="30"/>
    <x v="4"/>
    <n v="6"/>
    <x v="0"/>
    <x v="69"/>
    <s v=""/>
    <m/>
  </r>
  <r>
    <d v="2020-09-18T00:00:00"/>
    <x v="29"/>
    <x v="4"/>
    <n v="7"/>
    <x v="0"/>
    <x v="70"/>
    <s v=""/>
    <m/>
  </r>
  <r>
    <d v="2020-09-21T00:00:00"/>
    <x v="30"/>
    <x v="4"/>
    <n v="7"/>
    <x v="1"/>
    <x v="70"/>
    <n v="30"/>
    <m/>
  </r>
  <r>
    <d v="2020-09-18T00:00:00"/>
    <x v="29"/>
    <x v="0"/>
    <n v="22"/>
    <x v="0"/>
    <x v="71"/>
    <s v=""/>
    <m/>
  </r>
  <r>
    <d v="2020-09-22T00:00:00"/>
    <x v="31"/>
    <x v="0"/>
    <n v="22"/>
    <x v="1"/>
    <x v="71"/>
    <n v="29"/>
    <m/>
  </r>
  <r>
    <d v="2020-09-23T00:00:00"/>
    <x v="32"/>
    <x v="4"/>
    <n v="5"/>
    <x v="1"/>
    <x v="68"/>
    <n v="28"/>
    <m/>
  </r>
  <r>
    <d v="2020-09-23T00:00:00"/>
    <x v="32"/>
    <x v="4"/>
    <n v="6"/>
    <x v="1"/>
    <x v="69"/>
    <n v="28"/>
    <m/>
  </r>
  <r>
    <d v="2020-09-25T00:00:00"/>
    <x v="33"/>
    <x v="4"/>
    <n v="4"/>
    <x v="1"/>
    <x v="67"/>
    <n v="26"/>
    <m/>
  </r>
  <r>
    <d v="2020-09-25T00:00:00"/>
    <x v="33"/>
    <x v="1"/>
    <n v="29"/>
    <x v="0"/>
    <x v="72"/>
    <s v=""/>
    <m/>
  </r>
  <r>
    <d v="2020-09-25T00:00:00"/>
    <x v="33"/>
    <x v="1"/>
    <n v="30"/>
    <x v="1"/>
    <x v="73"/>
    <m/>
    <m/>
  </r>
  <r>
    <d v="2020-09-25T00:00:00"/>
    <x v="33"/>
    <x v="1"/>
    <n v="30"/>
    <x v="0"/>
    <x v="73"/>
    <s v=""/>
    <m/>
  </r>
  <r>
    <d v="2020-09-25T00:00:00"/>
    <x v="33"/>
    <x v="1"/>
    <n v="31"/>
    <x v="0"/>
    <x v="74"/>
    <s v=""/>
    <m/>
  </r>
  <r>
    <d v="2020-09-25T00:00:00"/>
    <x v="33"/>
    <x v="1"/>
    <n v="32"/>
    <x v="0"/>
    <x v="75"/>
    <s v=""/>
    <m/>
  </r>
  <r>
    <d v="2020-09-25T00:00:00"/>
    <x v="33"/>
    <x v="0"/>
    <n v="23"/>
    <x v="0"/>
    <x v="76"/>
    <s v=""/>
    <m/>
  </r>
  <r>
    <d v="2020-09-28T00:00:00"/>
    <x v="34"/>
    <x v="4"/>
    <n v="3"/>
    <x v="2"/>
    <x v="34"/>
    <s v=""/>
    <m/>
  </r>
  <r>
    <d v="2020-09-28T00:00:00"/>
    <x v="34"/>
    <x v="0"/>
    <n v="14"/>
    <x v="2"/>
    <x v="43"/>
    <s v=""/>
    <m/>
  </r>
  <r>
    <d v="2020-09-28T00:00:00"/>
    <x v="34"/>
    <x v="0"/>
    <n v="18"/>
    <x v="2"/>
    <x v="47"/>
    <s v=""/>
    <m/>
  </r>
  <r>
    <d v="2020-09-28T00:00:00"/>
    <x v="34"/>
    <x v="0"/>
    <n v="17"/>
    <x v="2"/>
    <x v="46"/>
    <s v=""/>
    <m/>
  </r>
  <r>
    <d v="2020-09-28T00:00:00"/>
    <x v="34"/>
    <x v="1"/>
    <n v="26"/>
    <x v="2"/>
    <x v="62"/>
    <s v=""/>
    <m/>
  </r>
  <r>
    <d v="2020-09-28T00:00:00"/>
    <x v="34"/>
    <x v="1"/>
    <n v="25"/>
    <x v="2"/>
    <x v="61"/>
    <s v=""/>
    <m/>
  </r>
  <r>
    <d v="2020-09-28T00:00:00"/>
    <x v="34"/>
    <x v="1"/>
    <n v="16"/>
    <x v="2"/>
    <x v="27"/>
    <s v=""/>
    <m/>
  </r>
  <r>
    <d v="2020-09-28T00:00:00"/>
    <x v="34"/>
    <x v="1"/>
    <n v="17"/>
    <x v="2"/>
    <x v="53"/>
    <s v=""/>
    <m/>
  </r>
  <r>
    <d v="2020-09-28T00:00:00"/>
    <x v="34"/>
    <x v="1"/>
    <n v="21"/>
    <x v="2"/>
    <x v="57"/>
    <s v=""/>
    <m/>
  </r>
  <r>
    <d v="2020-09-28T00:00:00"/>
    <x v="34"/>
    <x v="4"/>
    <n v="8"/>
    <x v="1"/>
    <x v="77"/>
    <n v="23"/>
    <m/>
  </r>
  <r>
    <d v="2020-09-28T00:00:00"/>
    <x v="34"/>
    <x v="1"/>
    <n v="28"/>
    <x v="1"/>
    <x v="78"/>
    <n v="23"/>
    <m/>
  </r>
  <r>
    <d v="2020-09-30T00:00:00"/>
    <x v="35"/>
    <x v="1"/>
    <n v="29"/>
    <x v="1"/>
    <x v="72"/>
    <n v="21"/>
    <m/>
  </r>
  <r>
    <d v="2020-09-30T00:00:00"/>
    <x v="35"/>
    <x v="1"/>
    <n v="31"/>
    <x v="1"/>
    <x v="74"/>
    <n v="21"/>
    <m/>
  </r>
  <r>
    <d v="2020-09-30T00:00:00"/>
    <x v="35"/>
    <x v="0"/>
    <n v="23"/>
    <x v="1"/>
    <x v="76"/>
    <n v="21"/>
    <m/>
  </r>
  <r>
    <d v="2020-09-30T00:00:00"/>
    <x v="35"/>
    <x v="2"/>
    <n v="1"/>
    <x v="2"/>
    <x v="36"/>
    <s v=""/>
    <m/>
  </r>
  <r>
    <d v="2020-09-21T00:00:00"/>
    <x v="30"/>
    <x v="4"/>
    <n v="8"/>
    <x v="0"/>
    <x v="77"/>
    <s v=""/>
    <m/>
  </r>
  <r>
    <d v="2020-09-22T00:00:00"/>
    <x v="31"/>
    <x v="1"/>
    <n v="28"/>
    <x v="0"/>
    <x v="78"/>
    <s v=""/>
    <m/>
  </r>
  <r>
    <d v="2020-09-30T00:00:00"/>
    <x v="35"/>
    <x v="1"/>
    <n v="33"/>
    <x v="0"/>
    <x v="79"/>
    <s v=""/>
    <m/>
  </r>
  <r>
    <d v="2020-09-30T00:00:00"/>
    <x v="35"/>
    <x v="1"/>
    <n v="34"/>
    <x v="0"/>
    <x v="80"/>
    <s v=""/>
    <m/>
  </r>
  <r>
    <d v="2020-10-01T00:00:00"/>
    <x v="36"/>
    <x v="0"/>
    <n v="24"/>
    <x v="0"/>
    <x v="81"/>
    <s v=""/>
    <m/>
  </r>
  <r>
    <d v="2020-10-01T00:00:00"/>
    <x v="36"/>
    <x v="0"/>
    <n v="25"/>
    <x v="0"/>
    <x v="82"/>
    <s v=""/>
    <m/>
  </r>
  <r>
    <d v="2020-10-01T00:00:00"/>
    <x v="36"/>
    <x v="0"/>
    <n v="26"/>
    <x v="0"/>
    <x v="83"/>
    <s v=""/>
    <m/>
  </r>
  <r>
    <d v="2020-10-02T00:00:00"/>
    <x v="37"/>
    <x v="1"/>
    <n v="12"/>
    <x v="2"/>
    <x v="23"/>
    <s v=""/>
    <m/>
  </r>
  <r>
    <d v="2020-10-02T00:00:00"/>
    <x v="37"/>
    <x v="1"/>
    <n v="15"/>
    <x v="2"/>
    <x v="26"/>
    <s v=""/>
    <m/>
  </r>
  <r>
    <d v="2020-10-02T00:00:00"/>
    <x v="37"/>
    <x v="1"/>
    <n v="13"/>
    <x v="2"/>
    <x v="24"/>
    <s v=""/>
    <m/>
  </r>
  <r>
    <d v="2020-10-02T00:00:00"/>
    <x v="37"/>
    <x v="0"/>
    <n v="16"/>
    <x v="2"/>
    <x v="45"/>
    <s v=""/>
    <m/>
  </r>
  <r>
    <d v="2020-10-02T00:00:00"/>
    <x v="37"/>
    <x v="0"/>
    <n v="21"/>
    <x v="2"/>
    <x v="66"/>
    <s v=""/>
    <m/>
  </r>
  <r>
    <d v="2020-10-02T00:00:00"/>
    <x v="37"/>
    <x v="0"/>
    <n v="19"/>
    <x v="2"/>
    <x v="64"/>
    <s v=""/>
    <m/>
  </r>
  <r>
    <d v="2020-10-02T00:00:00"/>
    <x v="37"/>
    <x v="0"/>
    <n v="12"/>
    <x v="2"/>
    <x v="32"/>
    <s v=""/>
    <m/>
  </r>
  <r>
    <d v="2020-10-02T00:00:00"/>
    <x v="37"/>
    <x v="0"/>
    <n v="15"/>
    <x v="2"/>
    <x v="44"/>
    <s v=""/>
    <m/>
  </r>
  <r>
    <d v="2020-10-02T00:00:00"/>
    <x v="37"/>
    <x v="0"/>
    <n v="11"/>
    <x v="2"/>
    <x v="31"/>
    <s v=""/>
    <m/>
  </r>
  <r>
    <d v="2020-10-02T00:00:00"/>
    <x v="37"/>
    <x v="0"/>
    <n v="13"/>
    <x v="2"/>
    <x v="35"/>
    <s v=""/>
    <m/>
  </r>
  <r>
    <d v="2020-10-02T00:00:00"/>
    <x v="37"/>
    <x v="3"/>
    <n v="2"/>
    <x v="2"/>
    <x v="39"/>
    <s v=""/>
    <m/>
  </r>
  <r>
    <d v="2020-10-02T00:00:00"/>
    <x v="37"/>
    <x v="1"/>
    <n v="18"/>
    <x v="2"/>
    <x v="54"/>
    <s v=""/>
    <m/>
  </r>
  <r>
    <d v="2020-10-02T00:00:00"/>
    <x v="37"/>
    <x v="3"/>
    <n v="1"/>
    <x v="2"/>
    <x v="38"/>
    <s v=""/>
    <m/>
  </r>
  <r>
    <d v="2020-10-02T00:00:00"/>
    <x v="37"/>
    <x v="1"/>
    <n v="27"/>
    <x v="2"/>
    <x v="63"/>
    <s v=""/>
    <m/>
  </r>
  <r>
    <d v="2020-10-02T00:00:00"/>
    <x v="37"/>
    <x v="1"/>
    <n v="23"/>
    <x v="2"/>
    <x v="59"/>
    <s v=""/>
    <m/>
  </r>
  <r>
    <d v="2020-10-02T00:00:00"/>
    <x v="37"/>
    <x v="3"/>
    <n v="10"/>
    <x v="2"/>
    <x v="52"/>
    <s v=""/>
    <m/>
  </r>
  <r>
    <d v="2020-10-02T00:00:00"/>
    <x v="37"/>
    <x v="3"/>
    <n v="4"/>
    <x v="2"/>
    <x v="41"/>
    <s v=""/>
    <m/>
  </r>
  <r>
    <d v="2020-10-02T00:00:00"/>
    <x v="37"/>
    <x v="1"/>
    <n v="20"/>
    <x v="2"/>
    <x v="56"/>
    <s v=""/>
    <m/>
  </r>
  <r>
    <d v="2020-10-05T00:00:00"/>
    <x v="38"/>
    <x v="3"/>
    <n v="3"/>
    <x v="2"/>
    <x v="40"/>
    <s v=""/>
    <m/>
  </r>
  <r>
    <d v="2020-10-05T00:00:00"/>
    <x v="38"/>
    <x v="3"/>
    <n v="6"/>
    <x v="2"/>
    <x v="48"/>
    <s v=""/>
    <m/>
  </r>
  <r>
    <d v="2020-10-05T00:00:00"/>
    <x v="38"/>
    <x v="3"/>
    <n v="9"/>
    <x v="2"/>
    <x v="51"/>
    <s v=""/>
    <m/>
  </r>
  <r>
    <d v="2020-10-05T00:00:00"/>
    <x v="38"/>
    <x v="2"/>
    <n v="2"/>
    <x v="2"/>
    <x v="37"/>
    <s v=""/>
    <m/>
  </r>
  <r>
    <d v="2020-10-05T00:00:00"/>
    <x v="38"/>
    <x v="1"/>
    <n v="22"/>
    <x v="2"/>
    <x v="58"/>
    <s v=""/>
    <m/>
  </r>
  <r>
    <d v="2020-10-05T00:00:00"/>
    <x v="38"/>
    <x v="1"/>
    <n v="33"/>
    <x v="1"/>
    <x v="79"/>
    <n v="16"/>
    <m/>
  </r>
  <r>
    <d v="2020-10-05T00:00:00"/>
    <x v="38"/>
    <x v="1"/>
    <n v="34"/>
    <x v="1"/>
    <x v="80"/>
    <n v="16"/>
    <m/>
  </r>
  <r>
    <d v="2020-10-05T00:00:00"/>
    <x v="38"/>
    <x v="0"/>
    <n v="24"/>
    <x v="1"/>
    <x v="81"/>
    <n v="16"/>
    <m/>
  </r>
  <r>
    <d v="2020-10-05T00:00:00"/>
    <x v="38"/>
    <x v="0"/>
    <n v="25"/>
    <x v="1"/>
    <x v="82"/>
    <n v="16"/>
    <m/>
  </r>
  <r>
    <d v="2020-10-05T00:00:00"/>
    <x v="38"/>
    <x v="0"/>
    <n v="26"/>
    <x v="1"/>
    <x v="83"/>
    <n v="16"/>
    <m/>
  </r>
  <r>
    <d v="2020-10-05T00:00:00"/>
    <x v="38"/>
    <x v="0"/>
    <n v="27"/>
    <x v="0"/>
    <x v="84"/>
    <s v=""/>
    <m/>
  </r>
  <r>
    <d v="2020-10-05T00:00:00"/>
    <x v="38"/>
    <x v="0"/>
    <n v="28"/>
    <x v="0"/>
    <x v="85"/>
    <s v=""/>
    <m/>
  </r>
  <r>
    <d v="2020-10-07T00:00:00"/>
    <x v="39"/>
    <x v="3"/>
    <n v="7"/>
    <x v="2"/>
    <x v="49"/>
    <s v=""/>
    <m/>
  </r>
  <r>
    <d v="2020-10-07T00:00:00"/>
    <x v="39"/>
    <x v="3"/>
    <n v="8"/>
    <x v="2"/>
    <x v="50"/>
    <s v=""/>
    <m/>
  </r>
  <r>
    <d v="2020-10-07T00:00:00"/>
    <x v="39"/>
    <x v="1"/>
    <n v="35"/>
    <x v="0"/>
    <x v="86"/>
    <s v=""/>
    <m/>
  </r>
  <r>
    <d v="2020-10-07T00:00:00"/>
    <x v="39"/>
    <x v="1"/>
    <n v="36"/>
    <x v="0"/>
    <x v="87"/>
    <s v=""/>
    <m/>
  </r>
  <r>
    <d v="2020-10-08T00:00:00"/>
    <x v="40"/>
    <x v="1"/>
    <n v="37"/>
    <x v="0"/>
    <x v="88"/>
    <m/>
    <m/>
  </r>
  <r>
    <d v="2020-10-08T00:00:00"/>
    <x v="40"/>
    <x v="1"/>
    <n v="38"/>
    <x v="0"/>
    <x v="89"/>
    <m/>
    <m/>
  </r>
  <r>
    <d v="2020-10-08T00:00:00"/>
    <x v="40"/>
    <x v="1"/>
    <n v="39"/>
    <x v="0"/>
    <x v="90"/>
    <m/>
    <m/>
  </r>
  <r>
    <d v="2020-10-08T00:00:00"/>
    <x v="40"/>
    <x v="1"/>
    <n v="40"/>
    <x v="0"/>
    <x v="91"/>
    <m/>
    <m/>
  </r>
  <r>
    <d v="2020-10-07T00:00:00"/>
    <x v="39"/>
    <x v="0"/>
    <n v="27"/>
    <x v="1"/>
    <x v="84"/>
    <n v="14"/>
    <m/>
  </r>
  <r>
    <d v="2020-10-09T00:00:00"/>
    <x v="41"/>
    <x v="0"/>
    <n v="28"/>
    <x v="1"/>
    <x v="85"/>
    <n v="12"/>
    <m/>
  </r>
  <r>
    <d v="2020-10-09T00:00:00"/>
    <x v="41"/>
    <x v="0"/>
    <n v="29"/>
    <x v="0"/>
    <x v="92"/>
    <m/>
    <m/>
  </r>
  <r>
    <d v="2020-10-09T00:00:00"/>
    <x v="41"/>
    <x v="0"/>
    <n v="29"/>
    <x v="1"/>
    <x v="92"/>
    <n v="12"/>
    <m/>
  </r>
  <r>
    <d v="2020-10-09T00:00:00"/>
    <x v="41"/>
    <x v="1"/>
    <n v="35"/>
    <x v="1"/>
    <x v="86"/>
    <n v="12"/>
    <m/>
  </r>
  <r>
    <d v="2020-10-09T00:00:00"/>
    <x v="41"/>
    <x v="1"/>
    <n v="36"/>
    <x v="1"/>
    <x v="87"/>
    <n v="12"/>
    <m/>
  </r>
  <r>
    <d v="2020-10-13T00:00:00"/>
    <x v="42"/>
    <x v="1"/>
    <n v="37"/>
    <x v="1"/>
    <x v="88"/>
    <n v="8"/>
    <m/>
  </r>
  <r>
    <d v="2020-10-13T00:00:00"/>
    <x v="42"/>
    <x v="1"/>
    <n v="38"/>
    <x v="1"/>
    <x v="89"/>
    <n v="8"/>
    <m/>
  </r>
  <r>
    <d v="2020-10-13T00:00:00"/>
    <x v="42"/>
    <x v="1"/>
    <n v="39"/>
    <x v="1"/>
    <x v="90"/>
    <n v="8"/>
    <m/>
  </r>
  <r>
    <d v="2020-10-13T00:00:00"/>
    <x v="42"/>
    <x v="1"/>
    <n v="40"/>
    <x v="1"/>
    <x v="91"/>
    <n v="8"/>
    <m/>
  </r>
  <r>
    <d v="2020-10-13T00:00:00"/>
    <x v="42"/>
    <x v="0"/>
    <n v="10"/>
    <x v="2"/>
    <x v="30"/>
    <s v=""/>
    <m/>
  </r>
  <r>
    <d v="2020-10-13T00:00:00"/>
    <x v="42"/>
    <x v="0"/>
    <n v="20"/>
    <x v="2"/>
    <x v="65"/>
    <s v=""/>
    <m/>
  </r>
  <r>
    <d v="2020-10-13T00:00:00"/>
    <x v="42"/>
    <x v="4"/>
    <n v="5"/>
    <x v="2"/>
    <x v="68"/>
    <s v=""/>
    <m/>
  </r>
  <r>
    <d v="2020-10-13T00:00:00"/>
    <x v="42"/>
    <x v="1"/>
    <n v="28"/>
    <x v="2"/>
    <x v="78"/>
    <s v=""/>
    <m/>
  </r>
  <r>
    <d v="2020-10-14T00:00:00"/>
    <x v="43"/>
    <x v="0"/>
    <n v="30"/>
    <x v="0"/>
    <x v="93"/>
    <s v=""/>
    <m/>
  </r>
  <r>
    <d v="2020-10-14T00:00:00"/>
    <x v="43"/>
    <x v="0"/>
    <n v="31"/>
    <x v="0"/>
    <x v="94"/>
    <s v=""/>
    <m/>
  </r>
  <r>
    <d v="2020-10-14T00:00:00"/>
    <x v="43"/>
    <x v="0"/>
    <n v="32"/>
    <x v="0"/>
    <x v="95"/>
    <s v=""/>
    <m/>
  </r>
  <r>
    <d v="2020-10-14T00:00:00"/>
    <x v="43"/>
    <x v="0"/>
    <n v="33"/>
    <x v="0"/>
    <x v="96"/>
    <s v=""/>
    <m/>
  </r>
  <r>
    <d v="2020-10-09T00:00:00"/>
    <x v="41"/>
    <x v="1"/>
    <n v="41"/>
    <x v="0"/>
    <x v="97"/>
    <s v=""/>
    <m/>
  </r>
  <r>
    <d v="2020-10-09T00:00:00"/>
    <x v="41"/>
    <x v="1"/>
    <n v="42"/>
    <x v="0"/>
    <x v="98"/>
    <s v=""/>
    <m/>
  </r>
  <r>
    <d v="2020-10-14T00:00:00"/>
    <x v="43"/>
    <x v="1"/>
    <n v="41"/>
    <x v="1"/>
    <x v="97"/>
    <n v="7"/>
    <m/>
  </r>
  <r>
    <d v="2020-10-14T00:00:00"/>
    <x v="43"/>
    <x v="1"/>
    <n v="42"/>
    <x v="1"/>
    <x v="98"/>
    <n v="7"/>
    <m/>
  </r>
  <r>
    <d v="2020-10-16T00:00:00"/>
    <x v="44"/>
    <x v="1"/>
    <n v="31"/>
    <x v="2"/>
    <x v="74"/>
    <s v=""/>
    <m/>
  </r>
  <r>
    <d v="2020-10-16T00:00:00"/>
    <x v="44"/>
    <x v="1"/>
    <n v="43"/>
    <x v="0"/>
    <x v="99"/>
    <s v=""/>
    <m/>
  </r>
  <r>
    <d v="2020-10-19T00:00:00"/>
    <x v="45"/>
    <x v="3"/>
    <n v="11"/>
    <x v="0"/>
    <x v="100"/>
    <s v=""/>
    <m/>
  </r>
  <r>
    <d v="2020-10-19T00:00:00"/>
    <x v="45"/>
    <x v="3"/>
    <n v="12"/>
    <x v="0"/>
    <x v="101"/>
    <s v=""/>
    <m/>
  </r>
  <r>
    <d v="2020-10-19T00:00:00"/>
    <x v="45"/>
    <x v="1"/>
    <n v="43"/>
    <x v="1"/>
    <x v="99"/>
    <n v="2"/>
    <m/>
  </r>
  <r>
    <d v="2020-10-19T00:00:00"/>
    <x v="45"/>
    <x v="0"/>
    <n v="30"/>
    <x v="1"/>
    <x v="93"/>
    <n v="2"/>
    <m/>
  </r>
  <r>
    <d v="2020-10-19T00:00:00"/>
    <x v="45"/>
    <x v="0"/>
    <n v="31"/>
    <x v="1"/>
    <x v="94"/>
    <n v="2"/>
    <m/>
  </r>
  <r>
    <d v="2020-10-19T00:00:00"/>
    <x v="45"/>
    <x v="0"/>
    <n v="32"/>
    <x v="1"/>
    <x v="95"/>
    <n v="2"/>
    <m/>
  </r>
  <r>
    <d v="2020-10-19T00:00:00"/>
    <x v="45"/>
    <x v="0"/>
    <n v="33"/>
    <x v="1"/>
    <x v="96"/>
    <n v="2"/>
    <m/>
  </r>
  <r>
    <d v="2020-10-19T00:00:00"/>
    <x v="45"/>
    <x v="4"/>
    <n v="7"/>
    <x v="2"/>
    <x v="70"/>
    <s v=""/>
    <m/>
  </r>
  <r>
    <d v="2020-10-19T00:00:00"/>
    <x v="45"/>
    <x v="4"/>
    <n v="8"/>
    <x v="2"/>
    <x v="77"/>
    <s v=""/>
    <m/>
  </r>
  <r>
    <d v="2020-10-19T00:00:00"/>
    <x v="45"/>
    <x v="0"/>
    <n v="23"/>
    <x v="2"/>
    <x v="76"/>
    <s v=""/>
    <m/>
  </r>
  <r>
    <d v="2020-10-19T00:00:00"/>
    <x v="45"/>
    <x v="1"/>
    <n v="29"/>
    <x v="2"/>
    <x v="72"/>
    <s v=""/>
    <m/>
  </r>
  <r>
    <d v="2020-10-19T00:00:00"/>
    <x v="45"/>
    <x v="1"/>
    <n v="30"/>
    <x v="2"/>
    <x v="73"/>
    <s v=""/>
    <m/>
  </r>
  <r>
    <d v="2020-10-19T00:00:00"/>
    <x v="45"/>
    <x v="2"/>
    <n v="3"/>
    <x v="0"/>
    <x v="102"/>
    <s v=""/>
    <m/>
  </r>
  <r>
    <d v="2020-10-19T00:00:00"/>
    <x v="45"/>
    <x v="2"/>
    <n v="4"/>
    <x v="0"/>
    <x v="103"/>
    <s v=""/>
    <m/>
  </r>
  <r>
    <d v="2020-10-19T00:00:00"/>
    <x v="45"/>
    <x v="1"/>
    <n v="44"/>
    <x v="0"/>
    <x v="104"/>
    <s v=""/>
    <m/>
  </r>
  <r>
    <d v="2020-10-19T00:00:00"/>
    <x v="45"/>
    <x v="1"/>
    <n v="45"/>
    <x v="0"/>
    <x v="105"/>
    <s v=""/>
    <m/>
  </r>
  <r>
    <d v="2020-10-19T00:00:00"/>
    <x v="45"/>
    <x v="1"/>
    <n v="46"/>
    <x v="0"/>
    <x v="106"/>
    <s v=""/>
    <m/>
  </r>
  <r>
    <d v="2020-10-19T00:00:00"/>
    <x v="45"/>
    <x v="1"/>
    <n v="47"/>
    <x v="0"/>
    <x v="107"/>
    <s v=""/>
    <m/>
  </r>
  <r>
    <d v="2020-10-21T00:00:00"/>
    <x v="46"/>
    <x v="1"/>
    <n v="32"/>
    <x v="2"/>
    <x v="75"/>
    <s v=""/>
    <m/>
  </r>
  <r>
    <d v="2020-10-21T00:00:00"/>
    <x v="46"/>
    <x v="0"/>
    <n v="24"/>
    <x v="2"/>
    <x v="81"/>
    <s v=""/>
    <m/>
  </r>
  <r>
    <d v="2020-10-21T00:00:00"/>
    <x v="46"/>
    <x v="4"/>
    <n v="6"/>
    <x v="2"/>
    <x v="69"/>
    <s v=""/>
    <m/>
  </r>
  <r>
    <d v="2020-10-21T00:00:00"/>
    <x v="46"/>
    <x v="4"/>
    <n v="1"/>
    <x v="2"/>
    <x v="4"/>
    <s v=""/>
    <m/>
  </r>
  <r>
    <d v="2020-10-21T00:00:00"/>
    <x v="46"/>
    <x v="4"/>
    <n v="4"/>
    <x v="2"/>
    <x v="67"/>
    <s v=""/>
    <m/>
  </r>
  <r>
    <d v="2020-10-21T00:00:00"/>
    <x v="46"/>
    <x v="0"/>
    <n v="8"/>
    <x v="2"/>
    <x v="28"/>
    <s v=""/>
    <m/>
  </r>
  <r>
    <d v="2020-10-21T00:00:00"/>
    <x v="46"/>
    <x v="1"/>
    <n v="11"/>
    <x v="2"/>
    <x v="19"/>
    <s v=""/>
    <m/>
  </r>
  <r>
    <d v="2020-10-21T00:00:00"/>
    <x v="46"/>
    <x v="1"/>
    <n v="14"/>
    <x v="2"/>
    <x v="25"/>
    <s v=""/>
    <m/>
  </r>
  <r>
    <d v="2020-10-21T00:00:00"/>
    <x v="46"/>
    <x v="1"/>
    <n v="19"/>
    <x v="2"/>
    <x v="55"/>
    <s v=""/>
    <m/>
  </r>
  <r>
    <d v="2020-10-21T00:00:00"/>
    <x v="46"/>
    <x v="1"/>
    <n v="24"/>
    <x v="2"/>
    <x v="60"/>
    <s v=""/>
    <m/>
  </r>
  <r>
    <d v="2020-10-21T00:00:00"/>
    <x v="46"/>
    <x v="1"/>
    <n v="3"/>
    <x v="2"/>
    <x v="8"/>
    <s v=""/>
    <m/>
  </r>
  <r>
    <d v="2020-10-21T00:00:00"/>
    <x v="46"/>
    <x v="1"/>
    <n v="6"/>
    <x v="2"/>
    <x v="14"/>
    <s v=""/>
    <m/>
  </r>
  <r>
    <d v="2020-10-21T00:00:00"/>
    <x v="46"/>
    <x v="1"/>
    <n v="7"/>
    <x v="2"/>
    <x v="15"/>
    <s v=""/>
    <m/>
  </r>
  <r>
    <d v="2020-10-21T00:00:00"/>
    <x v="46"/>
    <x v="1"/>
    <n v="9"/>
    <x v="2"/>
    <x v="17"/>
    <s v=""/>
    <m/>
  </r>
  <r>
    <d v="2020-10-05T00:00:00"/>
    <x v="38"/>
    <x v="1"/>
    <n v="32"/>
    <x v="1"/>
    <x v="75"/>
    <n v="16"/>
    <m/>
  </r>
  <r>
    <d v="2020-09-25T00:00:00"/>
    <x v="33"/>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7"/>
    <x v="5"/>
    <m/>
    <x v="2"/>
    <x v="108"/>
    <s v=""/>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2"/>
    <x v="109"/>
    <m/>
    <m/>
  </r>
  <r>
    <m/>
    <x v="48"/>
    <x v="5"/>
    <m/>
    <x v="3"/>
    <x v="109"/>
    <m/>
    <m/>
  </r>
  <r>
    <m/>
    <x v="48"/>
    <x v="5"/>
    <m/>
    <x v="3"/>
    <x v="109"/>
    <m/>
    <m/>
  </r>
  <r>
    <m/>
    <x v="48"/>
    <x v="5"/>
    <m/>
    <x v="3"/>
    <x v="109"/>
    <m/>
    <m/>
  </r>
  <r>
    <m/>
    <x v="48"/>
    <x v="5"/>
    <m/>
    <x v="3"/>
    <x v="109"/>
    <m/>
    <m/>
  </r>
  <r>
    <m/>
    <x v="48"/>
    <x v="5"/>
    <m/>
    <x v="3"/>
    <x v="109"/>
    <m/>
    <m/>
  </r>
  <r>
    <m/>
    <x v="48"/>
    <x v="5"/>
    <m/>
    <x v="3"/>
    <x v="109"/>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F00D4A-0C61-4A66-A375-2382E280E876}" name="PivotTable1" cacheId="998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2:R122" firstHeaderRow="1" firstDataRow="2" firstDataCol="1" rowPageCount="1" colPageCount="1"/>
  <pivotFields count="8">
    <pivotField dataField="1" showAll="0"/>
    <pivotField showAll="0">
      <items count="50">
        <item x="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t="default"/>
      </items>
    </pivotField>
    <pivotField axis="axisPage" multipleItemSelectionAllowed="1" showAll="0">
      <items count="7">
        <item x="3"/>
        <item x="4"/>
        <item x="0"/>
        <item x="1"/>
        <item x="2"/>
        <item h="1" x="5"/>
        <item t="default"/>
      </items>
    </pivotField>
    <pivotField showAll="0"/>
    <pivotField axis="axisCol" multipleItemSelectionAllowed="1"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axis="axisRow" showAll="0" sortType="ascending">
      <items count="114">
        <item m="1" x="111"/>
        <item m="1" x="112"/>
        <item m="1" x="110"/>
        <item x="108"/>
        <item x="3"/>
        <item x="38"/>
        <item x="52"/>
        <item x="100"/>
        <item x="101"/>
        <item x="39"/>
        <item x="40"/>
        <item x="41"/>
        <item x="42"/>
        <item x="48"/>
        <item x="49"/>
        <item x="50"/>
        <item x="51"/>
        <item x="4"/>
        <item x="33"/>
        <item x="34"/>
        <item x="67"/>
        <item x="68"/>
        <item x="69"/>
        <item x="70"/>
        <item x="77"/>
        <item x="0"/>
        <item x="5"/>
        <item x="30"/>
        <item x="31"/>
        <item x="32"/>
        <item x="35"/>
        <item x="43"/>
        <item x="44"/>
        <item x="45"/>
        <item x="46"/>
        <item x="47"/>
        <item x="64"/>
        <item x="9"/>
        <item x="65"/>
        <item x="66"/>
        <item x="71"/>
        <item x="76"/>
        <item x="81"/>
        <item x="82"/>
        <item x="83"/>
        <item x="84"/>
        <item x="85"/>
        <item x="92"/>
        <item x="10"/>
        <item x="93"/>
        <item x="94"/>
        <item x="95"/>
        <item x="96"/>
        <item x="11"/>
        <item x="20"/>
        <item x="21"/>
        <item x="22"/>
        <item x="28"/>
        <item x="29"/>
        <item x="1"/>
        <item x="6"/>
        <item x="18"/>
        <item x="19"/>
        <item x="23"/>
        <item x="24"/>
        <item x="25"/>
        <item x="26"/>
        <item x="27"/>
        <item x="53"/>
        <item x="54"/>
        <item x="55"/>
        <item x="7"/>
        <item x="56"/>
        <item x="57"/>
        <item x="58"/>
        <item x="59"/>
        <item x="60"/>
        <item x="61"/>
        <item x="62"/>
        <item x="63"/>
        <item x="78"/>
        <item x="72"/>
        <item x="8"/>
        <item x="73"/>
        <item x="74"/>
        <item x="75"/>
        <item x="79"/>
        <item x="80"/>
        <item x="86"/>
        <item x="87"/>
        <item x="88"/>
        <item x="89"/>
        <item x="90"/>
        <item x="12"/>
        <item x="91"/>
        <item x="97"/>
        <item x="98"/>
        <item x="99"/>
        <item x="104"/>
        <item x="105"/>
        <item x="106"/>
        <item x="107"/>
        <item x="13"/>
        <item x="14"/>
        <item x="15"/>
        <item x="16"/>
        <item x="17"/>
        <item x="2"/>
        <item x="36"/>
        <item x="37"/>
        <item x="102"/>
        <item x="103"/>
        <item x="109"/>
        <item t="default"/>
      </items>
    </pivotField>
    <pivotField showAll="0"/>
    <pivotField showAll="0"/>
  </pivotFields>
  <rowFields count="1">
    <field x="5"/>
  </rowFields>
  <rowItems count="109">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Fields count="1">
    <field x="4"/>
  </colFields>
  <colItems count="4">
    <i>
      <x/>
    </i>
    <i>
      <x v="2"/>
    </i>
    <i>
      <x v="1"/>
    </i>
    <i t="grand">
      <x/>
    </i>
  </colItems>
  <pageFields count="1">
    <pageField fld="2" hier="-1"/>
  </pageFields>
  <dataFields count="1">
    <dataField name="Count of date"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X3" headerRowCount="0">
  <tableColumns count="24">
    <tableColumn id="1" xr3:uid="{00000000-0010-0000-0100-000001000000}" name="Column1" dataDxfId="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dataDxfId="0"/>
  </tableColumns>
  <tableStyleInfo name="Cage tracking-style 2"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793845-874C-4B5E-8C6B-20ED33DE1546}" name="Table4" displayName="Table4" ref="C17:C23" totalsRowShown="0">
  <autoFilter ref="C17:C23" xr:uid="{0FEA4893-DFB9-4C9E-BB18-B2243CAA7FF4}"/>
  <tableColumns count="1">
    <tableColumn id="1" xr3:uid="{A04BA264-E4DD-4C2B-9D54-CDBB3955CF4A}" name="Life stag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779F4A-D9CA-47E2-9DCC-A330CDCD284C}" name="Table5" displayName="Table5" ref="A17:A22" totalsRowShown="0">
  <autoFilter ref="A17:A22" xr:uid="{E0D55607-B68C-4C7F-BBA1-05DB0A7499E7}"/>
  <tableColumns count="1">
    <tableColumn id="1" xr3:uid="{0F976900-5764-4458-B660-060E93FB484A}" name="Tray statu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D2D365-7173-4A8D-861E-9ADD28EE1A59}" name="Table3" displayName="Table3" ref="F17:F20" totalsRowShown="0">
  <autoFilter ref="F17:F20" xr:uid="{9FC587CC-E891-4F33-BCB1-397A0D02B03C}"/>
  <tableColumns count="1">
    <tableColumn id="1" xr3:uid="{9C5C221D-988F-4B67-9801-75DA5D63D5BE}" name="Event"/>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51" dT="2020-08-01T04:07:38.69" personId="{B1AC893D-3112-4E09-B36D-CCFC32E30C5C}" id="{9418A332-6D04-4099-94C7-E37A01CE0C4F}">
    <text>1 scoop pure fw
See if condition improves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8-01T03:55:03.50" personId="{B1AC893D-3112-4E09-B36D-CCFC32E30C5C}" id="{447A55CC-A274-4E22-BA41-41E093BDC11A}">
    <text>I have no idea hwo to get tge date changed from  m/d/y to d/m/y...</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9194-D4EC-4CE5-BE1D-0B287E4515EB}">
  <dimension ref="A1:O1266"/>
  <sheetViews>
    <sheetView topLeftCell="B1" workbookViewId="0">
      <pane ySplit="1" topLeftCell="A1036" activePane="bottomLeft" state="frozen"/>
      <selection pane="bottomLeft" activeCell="A1035" sqref="A621:XFD1035"/>
      <selection activeCell="B1" sqref="B1"/>
    </sheetView>
  </sheetViews>
  <sheetFormatPr defaultRowHeight="12.75"/>
  <cols>
    <col min="1" max="2" width="17.5703125" style="245" bestFit="1" customWidth="1"/>
    <col min="5" max="6" width="9.140625" style="52"/>
  </cols>
  <sheetData>
    <row r="1" spans="1:10">
      <c r="A1" s="245" t="s">
        <v>0</v>
      </c>
      <c r="B1" s="245" t="s">
        <v>1</v>
      </c>
      <c r="C1" s="273" t="s">
        <v>2</v>
      </c>
      <c r="D1" s="273" t="s">
        <v>3</v>
      </c>
      <c r="E1" s="273" t="s">
        <v>4</v>
      </c>
      <c r="F1" s="273" t="s">
        <v>5</v>
      </c>
      <c r="G1" s="273" t="s">
        <v>6</v>
      </c>
      <c r="H1" s="273" t="s">
        <v>7</v>
      </c>
      <c r="I1" s="273"/>
      <c r="J1" s="273"/>
    </row>
    <row r="2" spans="1:10" hidden="1">
      <c r="A2" s="245">
        <v>44039</v>
      </c>
      <c r="B2" s="245">
        <v>44042</v>
      </c>
      <c r="C2" s="273" t="s">
        <v>8</v>
      </c>
      <c r="D2" s="273"/>
      <c r="E2" s="273">
        <v>7.4569999999999999</v>
      </c>
      <c r="F2" s="273">
        <v>7.5869999999999997</v>
      </c>
      <c r="G2" s="273">
        <f t="shared" ref="G2:G33" si="0">F2-E2</f>
        <v>0.12999999999999989</v>
      </c>
      <c r="H2" s="273"/>
      <c r="I2" s="273"/>
      <c r="J2" s="273" t="s">
        <v>9</v>
      </c>
    </row>
    <row r="3" spans="1:10" hidden="1">
      <c r="A3" s="245">
        <v>44039</v>
      </c>
      <c r="B3" s="245">
        <v>44042</v>
      </c>
      <c r="C3" s="273" t="s">
        <v>8</v>
      </c>
      <c r="D3" s="273"/>
      <c r="E3" s="273">
        <v>7.8722000000000003</v>
      </c>
      <c r="F3" s="273">
        <v>9.8840000000000003</v>
      </c>
      <c r="G3" s="273">
        <f t="shared" si="0"/>
        <v>2.0118</v>
      </c>
      <c r="H3" s="273"/>
      <c r="I3" s="273"/>
      <c r="J3" s="273" t="s">
        <v>10</v>
      </c>
    </row>
    <row r="4" spans="1:10" hidden="1">
      <c r="A4" s="245">
        <v>44039</v>
      </c>
      <c r="B4" s="245">
        <v>44042</v>
      </c>
      <c r="C4" s="273" t="s">
        <v>11</v>
      </c>
      <c r="D4" s="273"/>
      <c r="E4" s="273">
        <v>7.7308000000000003</v>
      </c>
      <c r="F4" s="273">
        <v>8.3384999999999998</v>
      </c>
      <c r="G4" s="273">
        <f t="shared" si="0"/>
        <v>0.60769999999999946</v>
      </c>
      <c r="H4" s="273"/>
      <c r="I4" s="273"/>
      <c r="J4" s="273" t="s">
        <v>12</v>
      </c>
    </row>
    <row r="5" spans="1:10" hidden="1">
      <c r="A5" s="245">
        <v>44039</v>
      </c>
      <c r="B5" s="245">
        <v>44042</v>
      </c>
      <c r="C5" s="273" t="s">
        <v>11</v>
      </c>
      <c r="D5" s="273"/>
      <c r="E5" s="273">
        <v>9.23</v>
      </c>
      <c r="F5" s="273">
        <v>9.6875999999999998</v>
      </c>
      <c r="G5" s="273">
        <f t="shared" si="0"/>
        <v>0.45759999999999934</v>
      </c>
      <c r="H5" s="273"/>
      <c r="I5" s="273"/>
      <c r="J5" s="273" t="s">
        <v>13</v>
      </c>
    </row>
    <row r="6" spans="1:10" hidden="1">
      <c r="A6" s="245">
        <v>44039</v>
      </c>
      <c r="B6" s="245">
        <v>44042</v>
      </c>
      <c r="C6" s="273" t="s">
        <v>11</v>
      </c>
      <c r="D6" s="273"/>
      <c r="E6" s="273">
        <v>7.86</v>
      </c>
      <c r="F6" s="273">
        <v>8.0277999999999992</v>
      </c>
      <c r="G6" s="273">
        <f t="shared" si="0"/>
        <v>0.16779999999999884</v>
      </c>
      <c r="H6" s="273"/>
      <c r="I6" s="273"/>
      <c r="J6" s="273" t="s">
        <v>14</v>
      </c>
    </row>
    <row r="7" spans="1:10" hidden="1">
      <c r="A7" s="245">
        <v>44039</v>
      </c>
      <c r="B7" s="245">
        <v>44042</v>
      </c>
      <c r="C7" s="273" t="s">
        <v>11</v>
      </c>
      <c r="D7" s="273"/>
      <c r="E7" s="273">
        <v>8.5359999999999996</v>
      </c>
      <c r="F7" s="273">
        <v>8.6458999999999993</v>
      </c>
      <c r="G7" s="273">
        <f t="shared" si="0"/>
        <v>0.10989999999999966</v>
      </c>
      <c r="H7" s="273"/>
      <c r="I7" s="273"/>
      <c r="J7" s="273" t="s">
        <v>15</v>
      </c>
    </row>
    <row r="8" spans="1:10" hidden="1">
      <c r="A8" s="245">
        <v>44039</v>
      </c>
      <c r="B8" s="245">
        <v>44042</v>
      </c>
      <c r="C8" s="273" t="s">
        <v>16</v>
      </c>
      <c r="D8" s="273"/>
      <c r="E8" s="273">
        <v>9.0399999999999991</v>
      </c>
      <c r="F8" s="273">
        <v>9.5465999999999998</v>
      </c>
      <c r="G8" s="273">
        <f t="shared" si="0"/>
        <v>0.50660000000000061</v>
      </c>
      <c r="H8" s="273"/>
      <c r="I8" s="273"/>
      <c r="J8" s="273" t="s">
        <v>17</v>
      </c>
    </row>
    <row r="9" spans="1:10" hidden="1">
      <c r="A9" s="245">
        <v>44039</v>
      </c>
      <c r="B9" s="245">
        <v>44042</v>
      </c>
      <c r="C9" s="273" t="s">
        <v>16</v>
      </c>
      <c r="D9" s="273"/>
      <c r="E9" s="273">
        <v>7.95</v>
      </c>
      <c r="F9" s="273">
        <v>8.4915000000000003</v>
      </c>
      <c r="G9" s="273">
        <f t="shared" si="0"/>
        <v>0.54150000000000009</v>
      </c>
      <c r="H9" s="273"/>
      <c r="I9" s="273"/>
      <c r="J9" s="273"/>
    </row>
    <row r="10" spans="1:10" hidden="1">
      <c r="A10" s="245">
        <v>44039</v>
      </c>
      <c r="B10" s="245">
        <v>44042</v>
      </c>
      <c r="C10" s="273" t="s">
        <v>18</v>
      </c>
      <c r="D10" s="273"/>
      <c r="E10" s="273">
        <v>7.31</v>
      </c>
      <c r="F10" s="273">
        <v>7.6551999999999998</v>
      </c>
      <c r="G10" s="273">
        <f t="shared" si="0"/>
        <v>0.34520000000000017</v>
      </c>
      <c r="H10" s="273"/>
      <c r="I10" s="273"/>
      <c r="J10" s="273"/>
    </row>
    <row r="11" spans="1:10" hidden="1">
      <c r="A11" s="245">
        <v>44042</v>
      </c>
      <c r="B11" s="245">
        <v>44046</v>
      </c>
      <c r="C11" s="273" t="s">
        <v>8</v>
      </c>
      <c r="D11" s="273"/>
      <c r="E11" s="273">
        <v>7.5077999999999996</v>
      </c>
      <c r="F11" s="273">
        <v>8.0929000000000002</v>
      </c>
      <c r="G11" s="273">
        <f t="shared" si="0"/>
        <v>0.58510000000000062</v>
      </c>
      <c r="H11" s="273"/>
      <c r="I11" s="273"/>
      <c r="J11" s="273"/>
    </row>
    <row r="12" spans="1:10" hidden="1">
      <c r="A12" s="245">
        <v>44042</v>
      </c>
      <c r="B12" s="245">
        <v>44046</v>
      </c>
      <c r="C12" s="273" t="s">
        <v>19</v>
      </c>
      <c r="D12" s="273">
        <v>1</v>
      </c>
      <c r="E12" s="273">
        <v>9.1181999999999999</v>
      </c>
      <c r="F12" s="273">
        <v>15.6015</v>
      </c>
      <c r="G12" s="273">
        <f t="shared" si="0"/>
        <v>6.4832999999999998</v>
      </c>
      <c r="H12" s="273"/>
      <c r="I12" s="273"/>
      <c r="J12" s="273" t="s">
        <v>20</v>
      </c>
    </row>
    <row r="13" spans="1:10" hidden="1">
      <c r="A13" s="245">
        <v>44042</v>
      </c>
      <c r="B13" s="245">
        <v>44046</v>
      </c>
      <c r="C13" s="273" t="s">
        <v>11</v>
      </c>
      <c r="D13" s="273"/>
      <c r="E13" s="273">
        <v>8.66</v>
      </c>
      <c r="F13" s="273">
        <v>8.6918000000000006</v>
      </c>
      <c r="G13" s="273">
        <f t="shared" si="0"/>
        <v>3.1800000000000495E-2</v>
      </c>
      <c r="H13" s="273"/>
      <c r="I13" s="273"/>
      <c r="J13" s="273">
        <f>G11+G18+G19+G22+G25+G28</f>
        <v>16.444000000000003</v>
      </c>
    </row>
    <row r="14" spans="1:10" hidden="1">
      <c r="A14" s="245">
        <v>44042</v>
      </c>
      <c r="B14" s="245">
        <v>44046</v>
      </c>
      <c r="C14" s="273" t="s">
        <v>11</v>
      </c>
      <c r="D14" s="273"/>
      <c r="E14" s="273">
        <v>7.2077</v>
      </c>
      <c r="F14" s="273">
        <v>7.2889999999999997</v>
      </c>
      <c r="G14" s="273">
        <f t="shared" si="0"/>
        <v>8.1299999999999706E-2</v>
      </c>
      <c r="H14" s="273"/>
      <c r="I14" s="273"/>
      <c r="J14" s="273"/>
    </row>
    <row r="15" spans="1:10" hidden="1">
      <c r="A15" s="245">
        <v>44042</v>
      </c>
      <c r="B15" s="245">
        <v>44046</v>
      </c>
      <c r="C15" s="273" t="s">
        <v>11</v>
      </c>
      <c r="D15" s="273"/>
      <c r="E15" s="273">
        <v>6.6077000000000004</v>
      </c>
      <c r="F15" s="273">
        <v>6.6565000000000003</v>
      </c>
      <c r="G15" s="273">
        <f t="shared" si="0"/>
        <v>4.8799999999999955E-2</v>
      </c>
      <c r="H15" s="273"/>
      <c r="I15" s="273"/>
      <c r="J15" s="273"/>
    </row>
    <row r="16" spans="1:10" hidden="1">
      <c r="A16" s="245">
        <v>44042</v>
      </c>
      <c r="B16" s="245">
        <v>44046</v>
      </c>
      <c r="C16" s="273" t="s">
        <v>16</v>
      </c>
      <c r="D16" s="273"/>
      <c r="E16" s="273">
        <v>7.0297999999999998</v>
      </c>
      <c r="F16" s="273">
        <v>7.1093999999999999</v>
      </c>
      <c r="G16" s="273">
        <f t="shared" si="0"/>
        <v>7.9600000000000115E-2</v>
      </c>
      <c r="H16" s="273"/>
      <c r="I16" s="273"/>
      <c r="J16" s="273"/>
    </row>
    <row r="17" spans="1:13" hidden="1">
      <c r="A17" s="245">
        <v>44042</v>
      </c>
      <c r="B17" s="245">
        <v>44046</v>
      </c>
      <c r="C17" s="273" t="s">
        <v>18</v>
      </c>
      <c r="D17" s="273"/>
      <c r="E17" s="273">
        <v>6.5762999999999998</v>
      </c>
      <c r="F17" s="273">
        <v>6.7351999999999999</v>
      </c>
      <c r="G17" s="273">
        <f t="shared" si="0"/>
        <v>0.15890000000000004</v>
      </c>
      <c r="H17" s="273"/>
      <c r="I17" s="273"/>
      <c r="J17" s="273"/>
      <c r="K17" s="273"/>
      <c r="L17" s="273"/>
      <c r="M17" s="273"/>
    </row>
    <row r="18" spans="1:13" hidden="1">
      <c r="A18" s="245">
        <v>44046</v>
      </c>
      <c r="B18" s="245">
        <v>44048</v>
      </c>
      <c r="C18" s="273" t="s">
        <v>19</v>
      </c>
      <c r="D18" s="273">
        <v>1</v>
      </c>
      <c r="E18" s="273">
        <v>10.5053</v>
      </c>
      <c r="F18" s="273">
        <v>15.143599999999999</v>
      </c>
      <c r="G18" s="273">
        <f t="shared" si="0"/>
        <v>4.6382999999999992</v>
      </c>
      <c r="H18" s="273"/>
      <c r="I18" s="273"/>
      <c r="J18" s="273"/>
      <c r="K18" s="273"/>
      <c r="L18" s="273"/>
      <c r="M18" s="273"/>
    </row>
    <row r="19" spans="1:13" hidden="1">
      <c r="A19" s="245">
        <v>44048</v>
      </c>
      <c r="B19" s="245">
        <v>44050</v>
      </c>
      <c r="C19" s="273" t="s">
        <v>19</v>
      </c>
      <c r="D19" s="273">
        <v>1</v>
      </c>
      <c r="E19" s="273">
        <v>9.2591999999999999</v>
      </c>
      <c r="F19" s="273">
        <v>15.9338</v>
      </c>
      <c r="G19" s="273">
        <f t="shared" si="0"/>
        <v>6.6745999999999999</v>
      </c>
      <c r="H19" s="273"/>
      <c r="I19" s="273"/>
      <c r="J19" s="273"/>
      <c r="K19" s="273"/>
      <c r="L19" s="273"/>
      <c r="M19" s="273"/>
    </row>
    <row r="20" spans="1:13" hidden="1">
      <c r="A20" s="245">
        <v>44048</v>
      </c>
      <c r="B20" s="245">
        <v>44050</v>
      </c>
      <c r="C20" s="273" t="s">
        <v>11</v>
      </c>
      <c r="D20" s="273">
        <v>1</v>
      </c>
      <c r="E20" s="273">
        <v>10.3215</v>
      </c>
      <c r="F20" s="273">
        <v>12.3695</v>
      </c>
      <c r="G20" s="273">
        <f t="shared" si="0"/>
        <v>2.048</v>
      </c>
      <c r="H20" s="273"/>
      <c r="I20" s="273"/>
      <c r="J20" s="273"/>
      <c r="K20" s="273"/>
      <c r="L20" s="273"/>
      <c r="M20" s="273"/>
    </row>
    <row r="21" spans="1:13" hidden="1">
      <c r="A21" s="245">
        <v>44048</v>
      </c>
      <c r="B21" s="245">
        <v>44050</v>
      </c>
      <c r="C21" s="273" t="s">
        <v>16</v>
      </c>
      <c r="D21" s="273">
        <v>1</v>
      </c>
      <c r="E21" s="273">
        <v>9.9811999999999994</v>
      </c>
      <c r="F21" s="273">
        <v>10.916</v>
      </c>
      <c r="G21" s="273">
        <f t="shared" si="0"/>
        <v>0.93480000000000096</v>
      </c>
      <c r="H21" s="273"/>
      <c r="I21" s="273"/>
      <c r="J21" s="273"/>
      <c r="K21" s="273"/>
      <c r="L21" s="273"/>
      <c r="M21" s="273"/>
    </row>
    <row r="22" spans="1:13" hidden="1">
      <c r="A22" s="245">
        <v>44050</v>
      </c>
      <c r="B22" s="245">
        <v>44054</v>
      </c>
      <c r="C22" s="273" t="s">
        <v>19</v>
      </c>
      <c r="D22" s="273">
        <v>1</v>
      </c>
      <c r="E22" s="273">
        <v>8.3516999999999992</v>
      </c>
      <c r="F22" s="273">
        <v>11.8512</v>
      </c>
      <c r="G22" s="273">
        <f t="shared" si="0"/>
        <v>3.4995000000000012</v>
      </c>
      <c r="H22" s="273"/>
      <c r="I22" s="273"/>
      <c r="J22" s="273"/>
      <c r="K22" s="273"/>
      <c r="L22" s="273"/>
      <c r="M22" s="273"/>
    </row>
    <row r="23" spans="1:13" hidden="1">
      <c r="A23" s="245">
        <v>44050</v>
      </c>
      <c r="B23" s="245">
        <v>44054</v>
      </c>
      <c r="C23" s="273" t="s">
        <v>11</v>
      </c>
      <c r="D23" s="273">
        <v>1</v>
      </c>
      <c r="E23" s="273">
        <v>6.5570000000000004</v>
      </c>
      <c r="F23" s="273">
        <v>8.8770000000000007</v>
      </c>
      <c r="G23" s="273">
        <f t="shared" si="0"/>
        <v>2.3200000000000003</v>
      </c>
      <c r="H23" s="273"/>
      <c r="I23" s="273"/>
      <c r="J23" s="273"/>
      <c r="K23" s="273"/>
      <c r="L23" s="273"/>
      <c r="M23" s="273"/>
    </row>
    <row r="24" spans="1:13" hidden="1">
      <c r="A24" s="245">
        <v>44050</v>
      </c>
      <c r="B24" s="245">
        <v>44054</v>
      </c>
      <c r="C24" s="273" t="s">
        <v>16</v>
      </c>
      <c r="D24" s="273">
        <v>1</v>
      </c>
      <c r="E24" s="273">
        <v>7.99</v>
      </c>
      <c r="F24" s="273">
        <v>9.3294999999999995</v>
      </c>
      <c r="G24" s="273">
        <f t="shared" si="0"/>
        <v>1.3394999999999992</v>
      </c>
      <c r="H24" s="273"/>
      <c r="I24" s="273"/>
      <c r="J24" s="273"/>
      <c r="K24" s="273"/>
      <c r="L24" s="273"/>
      <c r="M24" s="273"/>
    </row>
    <row r="25" spans="1:13" hidden="1">
      <c r="A25" s="245">
        <v>44054</v>
      </c>
      <c r="B25" s="245">
        <v>44055</v>
      </c>
      <c r="C25" s="273" t="s">
        <v>19</v>
      </c>
      <c r="D25" s="273">
        <v>1</v>
      </c>
      <c r="E25" s="273">
        <v>10.86</v>
      </c>
      <c r="F25" s="273">
        <v>11.6692</v>
      </c>
      <c r="G25" s="273">
        <f t="shared" si="0"/>
        <v>0.80920000000000059</v>
      </c>
      <c r="H25" s="273"/>
      <c r="I25" s="273"/>
      <c r="J25" s="273"/>
      <c r="K25" s="273"/>
      <c r="L25" s="273"/>
      <c r="M25" s="273"/>
    </row>
    <row r="26" spans="1:13" hidden="1">
      <c r="A26" s="245">
        <v>44055</v>
      </c>
      <c r="B26" s="245">
        <v>44057</v>
      </c>
      <c r="C26" s="273" t="s">
        <v>19</v>
      </c>
      <c r="D26" s="273">
        <v>1</v>
      </c>
      <c r="E26" s="273">
        <f>34.0844+6.647</f>
        <v>40.731400000000001</v>
      </c>
      <c r="F26" s="273">
        <f>34.2284+7.2655</f>
        <v>41.493900000000004</v>
      </c>
      <c r="G26" s="273">
        <f t="shared" si="0"/>
        <v>0.76250000000000284</v>
      </c>
      <c r="H26" s="273"/>
      <c r="I26" s="273"/>
      <c r="J26" s="273"/>
      <c r="K26" s="273"/>
      <c r="L26" s="273"/>
      <c r="M26" s="273"/>
    </row>
    <row r="27" spans="1:13" hidden="1">
      <c r="A27" s="245">
        <v>44055</v>
      </c>
      <c r="B27" s="245">
        <v>44057</v>
      </c>
      <c r="C27" s="273" t="s">
        <v>11</v>
      </c>
      <c r="D27" s="273">
        <v>1</v>
      </c>
      <c r="E27" s="273">
        <v>8.09</v>
      </c>
      <c r="F27" s="273">
        <v>8.9337999999999997</v>
      </c>
      <c r="G27" s="273">
        <f t="shared" si="0"/>
        <v>0.84379999999999988</v>
      </c>
      <c r="H27" s="273"/>
      <c r="I27" s="273"/>
      <c r="J27" s="273"/>
      <c r="K27" s="273"/>
      <c r="L27" s="273"/>
      <c r="M27" s="273"/>
    </row>
    <row r="28" spans="1:13" hidden="1">
      <c r="A28" s="245">
        <v>44054</v>
      </c>
      <c r="B28" s="245">
        <v>44057</v>
      </c>
      <c r="C28" s="273" t="s">
        <v>18</v>
      </c>
      <c r="D28" s="273"/>
      <c r="E28" s="273">
        <v>7.7613000000000003</v>
      </c>
      <c r="F28" s="273">
        <v>7.9985999999999997</v>
      </c>
      <c r="G28" s="273">
        <f t="shared" si="0"/>
        <v>0.2372999999999994</v>
      </c>
      <c r="H28" s="273"/>
      <c r="I28" s="273"/>
      <c r="J28" s="273"/>
      <c r="K28" s="273"/>
      <c r="L28" s="273"/>
      <c r="M28" s="273"/>
    </row>
    <row r="29" spans="1:13" hidden="1">
      <c r="A29" s="245">
        <v>44057</v>
      </c>
      <c r="B29" s="245">
        <v>44060</v>
      </c>
      <c r="C29" s="273" t="s">
        <v>16</v>
      </c>
      <c r="D29" s="273">
        <v>3</v>
      </c>
      <c r="E29" s="273">
        <v>7.0967000000000002</v>
      </c>
      <c r="F29" s="273">
        <v>7.5246000000000004</v>
      </c>
      <c r="G29" s="273">
        <f t="shared" si="0"/>
        <v>0.42790000000000017</v>
      </c>
      <c r="H29" s="273"/>
      <c r="I29" s="273"/>
      <c r="J29" s="273"/>
      <c r="K29" s="273"/>
      <c r="L29" s="273"/>
      <c r="M29" s="273"/>
    </row>
    <row r="30" spans="1:13" s="89" customFormat="1" hidden="1">
      <c r="A30" s="245">
        <v>44057</v>
      </c>
      <c r="B30" s="245">
        <v>44060</v>
      </c>
      <c r="C30" s="273" t="s">
        <v>16</v>
      </c>
      <c r="D30" s="273">
        <v>2</v>
      </c>
      <c r="E30" s="273">
        <v>7.8216999999999999</v>
      </c>
      <c r="F30" s="273">
        <v>9.0222999999999995</v>
      </c>
      <c r="G30" s="273">
        <f t="shared" si="0"/>
        <v>1.2005999999999997</v>
      </c>
      <c r="H30" s="273"/>
      <c r="I30" s="273"/>
      <c r="J30" s="273"/>
      <c r="K30" s="273"/>
      <c r="L30" s="273"/>
      <c r="M30" s="273"/>
    </row>
    <row r="31" spans="1:13" s="89" customFormat="1" hidden="1">
      <c r="A31" s="245">
        <v>44060</v>
      </c>
      <c r="B31" s="245">
        <v>44061</v>
      </c>
      <c r="C31" s="273" t="s">
        <v>16</v>
      </c>
      <c r="D31" s="273">
        <v>3</v>
      </c>
      <c r="E31" s="273">
        <v>32.914999999999999</v>
      </c>
      <c r="F31" s="273">
        <v>33.230899999999998</v>
      </c>
      <c r="G31" s="273">
        <f t="shared" si="0"/>
        <v>0.31589999999999918</v>
      </c>
      <c r="H31" s="273"/>
      <c r="I31" s="273"/>
      <c r="J31" s="273"/>
      <c r="K31" s="273"/>
      <c r="L31" s="273"/>
      <c r="M31" s="273"/>
    </row>
    <row r="32" spans="1:13" s="89" customFormat="1" hidden="1">
      <c r="A32" s="245">
        <v>44060</v>
      </c>
      <c r="B32" s="245">
        <v>44062</v>
      </c>
      <c r="C32" s="273" t="s">
        <v>11</v>
      </c>
      <c r="D32" s="273">
        <v>2</v>
      </c>
      <c r="E32" s="273">
        <v>7.2526999999999999</v>
      </c>
      <c r="F32" s="273">
        <v>7.7362000000000002</v>
      </c>
      <c r="G32" s="273">
        <f t="shared" si="0"/>
        <v>0.48350000000000026</v>
      </c>
      <c r="H32" s="273"/>
      <c r="I32" s="273"/>
      <c r="J32" s="273"/>
      <c r="K32" s="273"/>
      <c r="L32" s="273"/>
      <c r="M32" s="273"/>
    </row>
    <row r="33" spans="1:13" hidden="1">
      <c r="A33" s="245">
        <v>44060</v>
      </c>
      <c r="B33" s="245">
        <v>44062</v>
      </c>
      <c r="C33" s="273" t="s">
        <v>11</v>
      </c>
      <c r="D33" s="273">
        <v>3</v>
      </c>
      <c r="E33" s="273">
        <v>7.2163000000000004</v>
      </c>
      <c r="F33" s="273">
        <v>7.6638999999999999</v>
      </c>
      <c r="G33" s="273">
        <f t="shared" si="0"/>
        <v>0.44759999999999955</v>
      </c>
      <c r="H33" s="273"/>
      <c r="I33" s="273"/>
      <c r="J33" s="273"/>
      <c r="K33" s="273"/>
      <c r="L33" s="273"/>
      <c r="M33" s="273"/>
    </row>
    <row r="34" spans="1:13" hidden="1">
      <c r="A34" s="245">
        <v>44060</v>
      </c>
      <c r="B34" s="245">
        <v>44062</v>
      </c>
      <c r="C34" s="273" t="s">
        <v>11</v>
      </c>
      <c r="D34" s="273">
        <v>4</v>
      </c>
      <c r="E34" s="273">
        <v>7.3502999999999998</v>
      </c>
      <c r="F34" s="273">
        <v>8.1297999999999995</v>
      </c>
      <c r="G34" s="273">
        <f t="shared" ref="G34:G65" si="1">F34-E34</f>
        <v>0.77949999999999964</v>
      </c>
      <c r="H34" s="273"/>
      <c r="I34" s="273"/>
      <c r="J34" s="273"/>
      <c r="K34" s="273"/>
      <c r="L34" s="273"/>
      <c r="M34" s="273"/>
    </row>
    <row r="35" spans="1:13" hidden="1">
      <c r="A35" s="245">
        <v>44060</v>
      </c>
      <c r="B35" s="245">
        <v>44062</v>
      </c>
      <c r="C35" s="273" t="s">
        <v>16</v>
      </c>
      <c r="D35" s="273">
        <v>2</v>
      </c>
      <c r="E35" s="273">
        <v>7.6601999999999997</v>
      </c>
      <c r="F35" s="273">
        <v>8.9011999999999993</v>
      </c>
      <c r="G35" s="273">
        <f t="shared" si="1"/>
        <v>1.2409999999999997</v>
      </c>
      <c r="H35" s="273"/>
      <c r="I35" s="273"/>
      <c r="J35" s="273"/>
      <c r="K35" s="273"/>
      <c r="L35" s="273"/>
      <c r="M35" s="273"/>
    </row>
    <row r="36" spans="1:13" hidden="1">
      <c r="A36" s="245">
        <v>44060</v>
      </c>
      <c r="B36" s="245">
        <v>44062</v>
      </c>
      <c r="C36" s="273" t="s">
        <v>16</v>
      </c>
      <c r="D36" s="273">
        <v>3</v>
      </c>
      <c r="E36" s="273">
        <v>7.1097999999999999</v>
      </c>
      <c r="F36" s="273">
        <v>7.5071000000000003</v>
      </c>
      <c r="G36" s="273">
        <f t="shared" si="1"/>
        <v>0.39730000000000043</v>
      </c>
      <c r="H36" s="273"/>
      <c r="I36" s="273"/>
      <c r="J36" s="273"/>
      <c r="K36" s="273"/>
      <c r="L36" s="273"/>
      <c r="M36" s="273"/>
    </row>
    <row r="37" spans="1:13" s="88" customFormat="1" hidden="1">
      <c r="A37" s="245">
        <v>44062</v>
      </c>
      <c r="B37" s="245">
        <v>44064</v>
      </c>
      <c r="C37" s="273" t="s">
        <v>11</v>
      </c>
      <c r="D37" s="273">
        <v>2</v>
      </c>
      <c r="E37" s="273">
        <v>8.0218000000000007</v>
      </c>
      <c r="F37" s="273">
        <v>9.1881000000000004</v>
      </c>
      <c r="G37" s="273">
        <f t="shared" si="1"/>
        <v>1.1662999999999997</v>
      </c>
    </row>
    <row r="38" spans="1:13" s="88" customFormat="1" hidden="1">
      <c r="A38" s="245">
        <v>44062</v>
      </c>
      <c r="B38" s="245">
        <v>44064</v>
      </c>
      <c r="C38" s="273" t="s">
        <v>11</v>
      </c>
      <c r="D38" s="273">
        <v>3</v>
      </c>
      <c r="E38" s="273">
        <v>8.1105</v>
      </c>
      <c r="F38" s="273">
        <v>9.6662999999999997</v>
      </c>
      <c r="G38" s="273">
        <f t="shared" si="1"/>
        <v>1.5557999999999996</v>
      </c>
    </row>
    <row r="39" spans="1:13" s="88" customFormat="1" hidden="1">
      <c r="A39" s="245">
        <v>44062</v>
      </c>
      <c r="B39" s="245">
        <v>44064</v>
      </c>
      <c r="C39" s="273" t="s">
        <v>11</v>
      </c>
      <c r="D39" s="273">
        <v>4</v>
      </c>
      <c r="E39" s="273">
        <v>7.2934000000000001</v>
      </c>
      <c r="F39" s="273">
        <v>9.5990000000000002</v>
      </c>
      <c r="G39" s="273">
        <f t="shared" si="1"/>
        <v>2.3056000000000001</v>
      </c>
    </row>
    <row r="40" spans="1:13" s="88" customFormat="1" hidden="1">
      <c r="A40" s="245">
        <v>44062</v>
      </c>
      <c r="B40" s="245">
        <v>44064</v>
      </c>
      <c r="C40" s="273" t="s">
        <v>16</v>
      </c>
      <c r="D40" s="273">
        <v>2</v>
      </c>
      <c r="E40" s="273">
        <v>6.7549999999999999</v>
      </c>
      <c r="F40" s="273">
        <v>8.7596000000000007</v>
      </c>
      <c r="G40" s="273">
        <f t="shared" si="1"/>
        <v>2.0046000000000008</v>
      </c>
    </row>
    <row r="41" spans="1:13" s="88" customFormat="1" hidden="1">
      <c r="A41" s="245">
        <v>44062</v>
      </c>
      <c r="B41" s="245">
        <v>44064</v>
      </c>
      <c r="C41" s="273" t="s">
        <v>16</v>
      </c>
      <c r="D41" s="273">
        <v>3</v>
      </c>
      <c r="E41" s="273">
        <v>8.5409000000000006</v>
      </c>
      <c r="F41" s="273">
        <v>8.8165999999999993</v>
      </c>
      <c r="G41" s="273">
        <f t="shared" si="1"/>
        <v>0.27569999999999872</v>
      </c>
    </row>
    <row r="42" spans="1:13" s="88" customFormat="1" hidden="1">
      <c r="A42" s="245">
        <v>44062</v>
      </c>
      <c r="B42" s="245">
        <v>44064</v>
      </c>
      <c r="C42" s="273" t="s">
        <v>16</v>
      </c>
      <c r="D42" s="273">
        <v>4</v>
      </c>
      <c r="E42" s="273">
        <v>7.0875000000000004</v>
      </c>
      <c r="F42" s="273">
        <v>9.0233000000000008</v>
      </c>
      <c r="G42" s="81">
        <f t="shared" si="1"/>
        <v>1.9358000000000004</v>
      </c>
    </row>
    <row r="43" spans="1:13" s="88" customFormat="1" hidden="1">
      <c r="A43" s="245">
        <v>44062</v>
      </c>
      <c r="B43" s="245">
        <v>44064</v>
      </c>
      <c r="C43" s="273" t="s">
        <v>16</v>
      </c>
      <c r="D43" s="273">
        <v>6</v>
      </c>
      <c r="E43" s="273">
        <v>6.1219999999999999</v>
      </c>
      <c r="F43" s="273">
        <v>7.2976999999999999</v>
      </c>
      <c r="G43" s="81">
        <f t="shared" si="1"/>
        <v>1.1757</v>
      </c>
    </row>
    <row r="44" spans="1:13" s="88" customFormat="1" hidden="1">
      <c r="A44" s="245">
        <v>44062</v>
      </c>
      <c r="B44" s="245">
        <v>44064</v>
      </c>
      <c r="C44" s="273" t="s">
        <v>16</v>
      </c>
      <c r="D44" s="273">
        <v>7</v>
      </c>
      <c r="E44" s="273">
        <v>7.7344999999999997</v>
      </c>
      <c r="F44" s="273">
        <v>8.7434999999999992</v>
      </c>
      <c r="G44" s="81">
        <f t="shared" si="1"/>
        <v>1.0089999999999995</v>
      </c>
    </row>
    <row r="45" spans="1:13" hidden="1">
      <c r="A45" s="245">
        <v>44062</v>
      </c>
      <c r="B45" s="245">
        <v>44064</v>
      </c>
      <c r="C45" s="273" t="s">
        <v>16</v>
      </c>
      <c r="D45" s="273">
        <v>11</v>
      </c>
      <c r="E45" s="273">
        <v>7.4081999999999999</v>
      </c>
      <c r="F45" s="273">
        <v>10.5665</v>
      </c>
      <c r="G45" s="81">
        <f t="shared" si="1"/>
        <v>3.1582999999999997</v>
      </c>
      <c r="H45" s="273"/>
      <c r="I45" s="273"/>
      <c r="J45" s="273"/>
      <c r="K45" s="273"/>
      <c r="L45" s="273"/>
      <c r="M45" s="273"/>
    </row>
    <row r="46" spans="1:13" hidden="1">
      <c r="A46" s="245">
        <v>44064</v>
      </c>
      <c r="B46" s="245">
        <v>44067</v>
      </c>
      <c r="C46" s="273" t="s">
        <v>11</v>
      </c>
      <c r="D46" s="273">
        <v>2</v>
      </c>
      <c r="E46" s="273">
        <v>6.88</v>
      </c>
      <c r="F46" s="273">
        <v>7.3521999999999998</v>
      </c>
      <c r="G46" s="273">
        <f t="shared" si="1"/>
        <v>0.47219999999999995</v>
      </c>
      <c r="H46" s="273"/>
      <c r="I46" s="273"/>
      <c r="J46" s="273"/>
      <c r="K46" s="273"/>
      <c r="L46" s="273"/>
      <c r="M46" s="273"/>
    </row>
    <row r="47" spans="1:13" hidden="1">
      <c r="A47" s="245">
        <v>44064</v>
      </c>
      <c r="B47" s="245">
        <v>44067</v>
      </c>
      <c r="C47" s="273" t="s">
        <v>11</v>
      </c>
      <c r="D47" s="273">
        <v>3</v>
      </c>
      <c r="E47" s="273">
        <v>4.8840000000000003</v>
      </c>
      <c r="F47" s="273">
        <v>5.4485999999999999</v>
      </c>
      <c r="G47" s="273">
        <f t="shared" si="1"/>
        <v>0.56459999999999955</v>
      </c>
      <c r="H47" s="273"/>
      <c r="I47" s="273"/>
      <c r="J47" s="273"/>
      <c r="K47" s="273"/>
      <c r="L47" s="273"/>
      <c r="M47" s="273"/>
    </row>
    <row r="48" spans="1:13" hidden="1">
      <c r="A48" s="245">
        <v>44064</v>
      </c>
      <c r="B48" s="245">
        <v>44067</v>
      </c>
      <c r="C48" s="273" t="s">
        <v>11</v>
      </c>
      <c r="D48" s="273">
        <v>4</v>
      </c>
      <c r="E48" s="273">
        <v>9.81</v>
      </c>
      <c r="F48" s="273">
        <v>10.933199999999999</v>
      </c>
      <c r="G48" s="273">
        <f t="shared" si="1"/>
        <v>1.1231999999999989</v>
      </c>
      <c r="H48" s="273"/>
      <c r="I48" s="273"/>
      <c r="J48" s="273"/>
      <c r="K48" s="273"/>
      <c r="L48" s="273"/>
      <c r="M48" s="273"/>
    </row>
    <row r="49" spans="1:13" s="87" customFormat="1" hidden="1">
      <c r="A49" s="245">
        <v>44064</v>
      </c>
      <c r="B49" s="245">
        <v>44067</v>
      </c>
      <c r="C49" s="273" t="s">
        <v>16</v>
      </c>
      <c r="D49" s="273">
        <v>2</v>
      </c>
      <c r="E49" s="273">
        <v>7.8360000000000003</v>
      </c>
      <c r="F49" s="273">
        <v>11.7317</v>
      </c>
      <c r="G49" s="273">
        <f t="shared" si="1"/>
        <v>3.8956999999999997</v>
      </c>
      <c r="H49" s="273"/>
      <c r="I49" s="273"/>
      <c r="J49" s="273"/>
      <c r="K49" s="273"/>
      <c r="L49" s="273"/>
      <c r="M49" s="273"/>
    </row>
    <row r="50" spans="1:13" s="87" customFormat="1" hidden="1">
      <c r="A50" s="245">
        <v>44064</v>
      </c>
      <c r="B50" s="245">
        <v>44067</v>
      </c>
      <c r="C50" s="273" t="s">
        <v>16</v>
      </c>
      <c r="D50" s="273">
        <v>3</v>
      </c>
      <c r="E50" s="273">
        <v>8.1790000000000003</v>
      </c>
      <c r="F50" s="273">
        <v>8.5388000000000002</v>
      </c>
      <c r="G50" s="88">
        <f t="shared" si="1"/>
        <v>0.3597999999999999</v>
      </c>
      <c r="H50" s="273"/>
      <c r="I50" s="273"/>
      <c r="J50" s="273">
        <f>G50+G51+G54+G55+G56+G57</f>
        <v>8.9928999999999988</v>
      </c>
      <c r="K50" s="273"/>
      <c r="L50" s="273"/>
      <c r="M50" s="273"/>
    </row>
    <row r="51" spans="1:13" s="87" customFormat="1" hidden="1">
      <c r="A51" s="245">
        <v>44064</v>
      </c>
      <c r="B51" s="245">
        <v>44067</v>
      </c>
      <c r="C51" s="273" t="s">
        <v>16</v>
      </c>
      <c r="D51" s="273">
        <v>4</v>
      </c>
      <c r="E51" s="273">
        <v>6.37</v>
      </c>
      <c r="F51" s="273">
        <v>8.2074999999999996</v>
      </c>
      <c r="G51" s="88">
        <f t="shared" si="1"/>
        <v>1.8374999999999995</v>
      </c>
      <c r="H51" s="273"/>
      <c r="I51" s="273"/>
      <c r="J51" s="273"/>
      <c r="K51" s="273"/>
      <c r="L51" s="273"/>
      <c r="M51" s="273"/>
    </row>
    <row r="52" spans="1:13" s="87" customFormat="1" hidden="1">
      <c r="A52" s="245">
        <v>44064</v>
      </c>
      <c r="B52" s="245">
        <v>44067</v>
      </c>
      <c r="C52" s="273" t="s">
        <v>16</v>
      </c>
      <c r="D52" s="273">
        <v>5</v>
      </c>
      <c r="E52" s="273">
        <v>8.3438999999999997</v>
      </c>
      <c r="F52" s="273">
        <v>10.559100000000001</v>
      </c>
      <c r="G52" s="273">
        <f t="shared" si="1"/>
        <v>2.2152000000000012</v>
      </c>
      <c r="H52" s="273"/>
      <c r="I52" s="273"/>
      <c r="J52" s="273"/>
      <c r="K52" s="273"/>
      <c r="L52" s="273"/>
      <c r="M52" s="273"/>
    </row>
    <row r="53" spans="1:13" s="87" customFormat="1" hidden="1">
      <c r="A53" s="245">
        <v>44064</v>
      </c>
      <c r="B53" s="245">
        <v>44067</v>
      </c>
      <c r="C53" s="273" t="s">
        <v>16</v>
      </c>
      <c r="D53" s="273">
        <v>6</v>
      </c>
      <c r="E53" s="273">
        <v>10.163500000000001</v>
      </c>
      <c r="F53" s="273">
        <v>12.065099999999999</v>
      </c>
      <c r="G53" s="273">
        <f t="shared" si="1"/>
        <v>1.9015999999999984</v>
      </c>
      <c r="H53" s="273"/>
      <c r="I53" s="273"/>
      <c r="J53" s="273"/>
      <c r="K53" s="273"/>
      <c r="L53" s="273"/>
      <c r="M53" s="273"/>
    </row>
    <row r="54" spans="1:13" s="87" customFormat="1" hidden="1">
      <c r="A54" s="245">
        <v>44064</v>
      </c>
      <c r="B54" s="245">
        <v>44067</v>
      </c>
      <c r="C54" s="273" t="s">
        <v>16</v>
      </c>
      <c r="D54" s="273">
        <v>7</v>
      </c>
      <c r="E54" s="273">
        <v>7.2229000000000001</v>
      </c>
      <c r="F54" s="273">
        <v>8.4193999999999996</v>
      </c>
      <c r="G54" s="88">
        <f t="shared" si="1"/>
        <v>1.1964999999999995</v>
      </c>
      <c r="H54" s="273"/>
      <c r="I54" s="273"/>
      <c r="J54" s="273"/>
      <c r="K54" s="273"/>
      <c r="L54" s="273"/>
      <c r="M54" s="273"/>
    </row>
    <row r="55" spans="1:13" s="87" customFormat="1" hidden="1">
      <c r="A55" s="245">
        <v>44064</v>
      </c>
      <c r="B55" s="245">
        <v>44067</v>
      </c>
      <c r="C55" s="273" t="s">
        <v>16</v>
      </c>
      <c r="D55" s="273">
        <v>8</v>
      </c>
      <c r="E55" s="273">
        <v>6.3891</v>
      </c>
      <c r="F55" s="273">
        <v>8.4529999999999994</v>
      </c>
      <c r="G55" s="88">
        <f t="shared" si="1"/>
        <v>2.0638999999999994</v>
      </c>
      <c r="H55" s="273"/>
      <c r="I55" s="273"/>
      <c r="J55" s="273"/>
      <c r="K55" s="273"/>
      <c r="L55" s="273"/>
      <c r="M55" s="273"/>
    </row>
    <row r="56" spans="1:13" s="87" customFormat="1" hidden="1">
      <c r="A56" s="245">
        <v>44064</v>
      </c>
      <c r="B56" s="245">
        <v>44067</v>
      </c>
      <c r="C56" s="273" t="s">
        <v>16</v>
      </c>
      <c r="D56" s="273">
        <v>9</v>
      </c>
      <c r="E56" s="273">
        <v>7.3834999999999997</v>
      </c>
      <c r="F56" s="273">
        <v>9.4469999999999992</v>
      </c>
      <c r="G56" s="88">
        <f t="shared" si="1"/>
        <v>2.0634999999999994</v>
      </c>
      <c r="H56" s="273"/>
      <c r="I56" s="273"/>
      <c r="J56" s="273"/>
      <c r="K56" s="273"/>
      <c r="L56" s="273"/>
      <c r="M56" s="273"/>
    </row>
    <row r="57" spans="1:13" s="87" customFormat="1" hidden="1">
      <c r="A57" s="245">
        <v>44064</v>
      </c>
      <c r="B57" s="245">
        <v>44067</v>
      </c>
      <c r="C57" s="273" t="s">
        <v>16</v>
      </c>
      <c r="D57" s="273">
        <v>10</v>
      </c>
      <c r="E57" s="273">
        <v>7.1112000000000002</v>
      </c>
      <c r="F57" s="273">
        <v>8.5829000000000004</v>
      </c>
      <c r="G57" s="88">
        <f t="shared" si="1"/>
        <v>1.4717000000000002</v>
      </c>
      <c r="H57" s="273"/>
      <c r="I57" s="273"/>
      <c r="J57" s="273"/>
      <c r="K57" s="273"/>
      <c r="L57" s="273"/>
      <c r="M57" s="273"/>
    </row>
    <row r="58" spans="1:13" s="87" customFormat="1" hidden="1">
      <c r="A58" s="245">
        <v>44064</v>
      </c>
      <c r="B58" s="245">
        <v>44067</v>
      </c>
      <c r="C58" s="273" t="s">
        <v>16</v>
      </c>
      <c r="D58" s="273">
        <v>11</v>
      </c>
      <c r="E58" s="273">
        <v>9.33</v>
      </c>
      <c r="F58" s="273">
        <v>11.6576</v>
      </c>
      <c r="G58" s="273">
        <f t="shared" si="1"/>
        <v>2.3276000000000003</v>
      </c>
      <c r="H58" s="273"/>
      <c r="I58" s="273"/>
      <c r="J58" s="273" t="s">
        <v>21</v>
      </c>
      <c r="K58" s="273"/>
      <c r="L58" s="273"/>
      <c r="M58" s="273"/>
    </row>
    <row r="59" spans="1:13" s="90" customFormat="1" hidden="1">
      <c r="A59" s="245">
        <v>44067</v>
      </c>
      <c r="B59" s="245">
        <v>44069</v>
      </c>
      <c r="C59" s="273" t="s">
        <v>11</v>
      </c>
      <c r="D59" s="273">
        <v>2</v>
      </c>
      <c r="E59" s="273">
        <v>7.6824000000000003</v>
      </c>
      <c r="F59" s="273">
        <v>8.0858000000000008</v>
      </c>
      <c r="G59" s="273">
        <f t="shared" si="1"/>
        <v>0.40340000000000042</v>
      </c>
      <c r="H59" s="273"/>
      <c r="I59" s="273"/>
      <c r="J59" s="273" t="s">
        <v>22</v>
      </c>
      <c r="K59" s="273"/>
      <c r="L59" s="273"/>
      <c r="M59" s="273"/>
    </row>
    <row r="60" spans="1:13" s="90" customFormat="1" hidden="1">
      <c r="A60" s="245">
        <v>44067</v>
      </c>
      <c r="B60" s="245">
        <v>44069</v>
      </c>
      <c r="C60" s="273" t="s">
        <v>11</v>
      </c>
      <c r="D60" s="273">
        <v>3</v>
      </c>
      <c r="E60" s="273">
        <v>8.1903000000000006</v>
      </c>
      <c r="F60" s="273">
        <v>8.8094999999999999</v>
      </c>
      <c r="G60" s="273">
        <f t="shared" si="1"/>
        <v>0.61919999999999931</v>
      </c>
      <c r="H60" s="273"/>
      <c r="I60" s="273"/>
      <c r="J60" s="273"/>
      <c r="K60" s="273"/>
      <c r="L60" s="273"/>
      <c r="M60" s="273"/>
    </row>
    <row r="61" spans="1:13" s="90" customFormat="1" hidden="1">
      <c r="A61" s="245">
        <v>44067</v>
      </c>
      <c r="B61" s="245">
        <v>44069</v>
      </c>
      <c r="C61" s="273" t="s">
        <v>11</v>
      </c>
      <c r="D61" s="273">
        <v>4</v>
      </c>
      <c r="E61" s="273">
        <v>7.4561999999999999</v>
      </c>
      <c r="F61" s="273">
        <v>8.6304999999999996</v>
      </c>
      <c r="G61" s="273">
        <f t="shared" si="1"/>
        <v>1.1742999999999997</v>
      </c>
      <c r="H61" s="273"/>
      <c r="I61" s="273"/>
      <c r="J61" s="273"/>
      <c r="K61" s="273"/>
      <c r="L61" s="273"/>
      <c r="M61" s="273"/>
    </row>
    <row r="62" spans="1:13" s="90" customFormat="1" hidden="1">
      <c r="A62" s="245">
        <v>44067</v>
      </c>
      <c r="B62" s="245">
        <v>44069</v>
      </c>
      <c r="C62" s="273" t="s">
        <v>16</v>
      </c>
      <c r="D62" s="81">
        <v>2</v>
      </c>
      <c r="E62" s="273">
        <v>7.2047999999999996</v>
      </c>
      <c r="F62" s="273">
        <v>9.6110000000000007</v>
      </c>
      <c r="G62" s="273">
        <f t="shared" si="1"/>
        <v>2.406200000000001</v>
      </c>
      <c r="H62" s="273"/>
      <c r="I62" s="273"/>
      <c r="J62" s="273"/>
      <c r="K62" s="273"/>
      <c r="L62" s="273"/>
      <c r="M62" s="273"/>
    </row>
    <row r="63" spans="1:13" s="90" customFormat="1" hidden="1">
      <c r="A63" s="245">
        <v>44067</v>
      </c>
      <c r="B63" s="245">
        <v>44069</v>
      </c>
      <c r="C63" s="273" t="s">
        <v>16</v>
      </c>
      <c r="D63" s="81">
        <v>3</v>
      </c>
      <c r="E63" s="273">
        <v>8.0643999999999991</v>
      </c>
      <c r="F63" s="273">
        <v>8.4751999999999992</v>
      </c>
      <c r="G63" s="273">
        <f t="shared" si="1"/>
        <v>0.41080000000000005</v>
      </c>
      <c r="H63" s="273"/>
      <c r="I63" s="273"/>
      <c r="J63" s="273"/>
      <c r="K63" s="273"/>
      <c r="L63" s="273"/>
      <c r="M63" s="273"/>
    </row>
    <row r="64" spans="1:13" s="90" customFormat="1" hidden="1">
      <c r="A64" s="245">
        <v>44067</v>
      </c>
      <c r="B64" s="245">
        <v>44069</v>
      </c>
      <c r="C64" s="273" t="s">
        <v>16</v>
      </c>
      <c r="D64" s="81">
        <v>4</v>
      </c>
      <c r="E64" s="273">
        <v>8.1994000000000007</v>
      </c>
      <c r="F64" s="273">
        <v>10.0932</v>
      </c>
      <c r="G64" s="273">
        <f t="shared" si="1"/>
        <v>1.8937999999999988</v>
      </c>
      <c r="H64" s="273"/>
      <c r="I64" s="273"/>
      <c r="J64" s="273"/>
      <c r="K64" s="273"/>
      <c r="L64" s="273"/>
      <c r="M64" s="273"/>
    </row>
    <row r="65" spans="1:13" s="90" customFormat="1" hidden="1">
      <c r="A65" s="245">
        <v>44067</v>
      </c>
      <c r="B65" s="245">
        <v>44069</v>
      </c>
      <c r="C65" s="273" t="s">
        <v>16</v>
      </c>
      <c r="D65" s="81">
        <v>5</v>
      </c>
      <c r="E65" s="273">
        <v>7.8404999999999996</v>
      </c>
      <c r="F65" s="273">
        <v>9.6028000000000002</v>
      </c>
      <c r="G65" s="273">
        <f t="shared" si="1"/>
        <v>1.7623000000000006</v>
      </c>
      <c r="H65" s="273"/>
      <c r="I65" s="273"/>
      <c r="J65" s="273"/>
      <c r="K65" s="273"/>
      <c r="L65" s="273"/>
      <c r="M65" s="273"/>
    </row>
    <row r="66" spans="1:13" s="90" customFormat="1" hidden="1">
      <c r="A66" s="245">
        <v>44067</v>
      </c>
      <c r="B66" s="245">
        <v>44069</v>
      </c>
      <c r="C66" s="273" t="s">
        <v>16</v>
      </c>
      <c r="D66" s="81">
        <v>6</v>
      </c>
      <c r="E66" s="273">
        <v>7.3673999999999999</v>
      </c>
      <c r="F66" s="273">
        <v>8.6922999999999995</v>
      </c>
      <c r="G66" s="273">
        <f t="shared" ref="G66:G97" si="2">F66-E66</f>
        <v>1.3248999999999995</v>
      </c>
      <c r="H66" s="273"/>
      <c r="I66" s="273"/>
      <c r="J66" s="273"/>
      <c r="K66" s="273"/>
      <c r="L66" s="273"/>
      <c r="M66" s="273"/>
    </row>
    <row r="67" spans="1:13" s="90" customFormat="1" hidden="1">
      <c r="A67" s="245">
        <v>44067</v>
      </c>
      <c r="B67" s="245">
        <v>44069</v>
      </c>
      <c r="C67" s="273" t="s">
        <v>16</v>
      </c>
      <c r="D67" s="81">
        <v>7</v>
      </c>
      <c r="E67" s="273">
        <v>8.9923000000000002</v>
      </c>
      <c r="F67" s="273">
        <v>9.8725000000000005</v>
      </c>
      <c r="G67" s="273">
        <f t="shared" si="2"/>
        <v>0.88020000000000032</v>
      </c>
      <c r="H67" s="273"/>
      <c r="I67" s="273"/>
      <c r="J67" s="273"/>
      <c r="K67" s="273"/>
      <c r="L67" s="273"/>
      <c r="M67" s="273"/>
    </row>
    <row r="68" spans="1:13" s="90" customFormat="1" hidden="1">
      <c r="A68" s="245">
        <v>44067</v>
      </c>
      <c r="B68" s="245">
        <v>44069</v>
      </c>
      <c r="C68" s="273" t="s">
        <v>16</v>
      </c>
      <c r="D68" s="81">
        <v>8</v>
      </c>
      <c r="E68" s="273">
        <v>7.4858000000000002</v>
      </c>
      <c r="F68" s="273">
        <v>9.0161999999999995</v>
      </c>
      <c r="G68" s="273">
        <f t="shared" si="2"/>
        <v>1.5303999999999993</v>
      </c>
      <c r="H68" s="273"/>
      <c r="I68" s="273"/>
      <c r="J68" s="273"/>
      <c r="K68" s="273"/>
      <c r="L68" s="273"/>
      <c r="M68" s="273"/>
    </row>
    <row r="69" spans="1:13" hidden="1">
      <c r="A69" s="245">
        <v>44067</v>
      </c>
      <c r="B69" s="245">
        <v>44069</v>
      </c>
      <c r="C69" s="273" t="s">
        <v>16</v>
      </c>
      <c r="D69" s="81">
        <v>9</v>
      </c>
      <c r="E69" s="273">
        <v>7.6466000000000003</v>
      </c>
      <c r="F69" s="273">
        <v>9.7443000000000008</v>
      </c>
      <c r="G69" s="273">
        <f t="shared" si="2"/>
        <v>2.0977000000000006</v>
      </c>
      <c r="H69" s="273"/>
      <c r="I69" s="273"/>
      <c r="J69" s="273"/>
      <c r="K69" s="273"/>
      <c r="L69" s="273"/>
      <c r="M69" s="273"/>
    </row>
    <row r="70" spans="1:13" hidden="1">
      <c r="A70" s="245">
        <v>44067</v>
      </c>
      <c r="B70" s="245">
        <v>44069</v>
      </c>
      <c r="C70" s="273" t="s">
        <v>16</v>
      </c>
      <c r="D70" s="81">
        <v>10</v>
      </c>
      <c r="E70" s="273">
        <v>7.5991999999999997</v>
      </c>
      <c r="F70" s="273">
        <v>9.8325999999999993</v>
      </c>
      <c r="G70" s="273">
        <f t="shared" si="2"/>
        <v>2.2333999999999996</v>
      </c>
      <c r="H70" s="273"/>
      <c r="I70" s="273"/>
      <c r="J70" s="273"/>
      <c r="K70" s="273"/>
      <c r="L70" s="273"/>
      <c r="M70" s="273"/>
    </row>
    <row r="71" spans="1:13" hidden="1">
      <c r="A71" s="245">
        <v>44067</v>
      </c>
      <c r="B71" s="245">
        <v>44069</v>
      </c>
      <c r="C71" s="273" t="s">
        <v>16</v>
      </c>
      <c r="D71" s="81">
        <v>11</v>
      </c>
      <c r="E71" s="273">
        <v>7.5030999999999999</v>
      </c>
      <c r="F71" s="273">
        <v>8.8355999999999995</v>
      </c>
      <c r="G71" s="273">
        <f t="shared" si="2"/>
        <v>1.3324999999999996</v>
      </c>
      <c r="H71" s="273"/>
      <c r="I71" s="273"/>
      <c r="J71" s="273"/>
      <c r="K71" s="273"/>
      <c r="L71" s="273"/>
      <c r="M71" s="273"/>
    </row>
    <row r="72" spans="1:13" hidden="1">
      <c r="A72" s="245">
        <v>44069</v>
      </c>
      <c r="B72" s="245">
        <v>44071</v>
      </c>
      <c r="C72" s="273" t="s">
        <v>11</v>
      </c>
      <c r="D72" s="273">
        <v>2</v>
      </c>
      <c r="E72" s="273">
        <v>8.0684000000000005</v>
      </c>
      <c r="F72" s="273">
        <v>8.9038000000000004</v>
      </c>
      <c r="G72" s="273">
        <f t="shared" si="2"/>
        <v>0.83539999999999992</v>
      </c>
      <c r="H72" s="273"/>
      <c r="I72" s="273"/>
      <c r="J72" s="273"/>
      <c r="K72" s="273"/>
      <c r="L72" s="273"/>
      <c r="M72" s="273"/>
    </row>
    <row r="73" spans="1:13" hidden="1">
      <c r="A73" s="245">
        <v>44069</v>
      </c>
      <c r="B73" s="245">
        <v>44071</v>
      </c>
      <c r="C73" s="273" t="s">
        <v>11</v>
      </c>
      <c r="D73" s="273">
        <v>3</v>
      </c>
      <c r="E73" s="273">
        <v>7.6660000000000004</v>
      </c>
      <c r="F73" s="273">
        <v>9.1064000000000007</v>
      </c>
      <c r="G73" s="273">
        <f t="shared" si="2"/>
        <v>1.4404000000000003</v>
      </c>
      <c r="H73" s="273"/>
      <c r="I73" s="273"/>
      <c r="J73" s="273"/>
      <c r="K73" s="273"/>
      <c r="L73" s="273"/>
      <c r="M73" s="273"/>
    </row>
    <row r="74" spans="1:13" hidden="1">
      <c r="A74" s="245">
        <v>44069</v>
      </c>
      <c r="B74" s="245">
        <v>44071</v>
      </c>
      <c r="C74" s="273" t="s">
        <v>11</v>
      </c>
      <c r="D74" s="273">
        <v>4</v>
      </c>
      <c r="E74" s="273">
        <v>7.6158999999999999</v>
      </c>
      <c r="F74" s="273">
        <v>9.7508999999999997</v>
      </c>
      <c r="G74" s="273">
        <f t="shared" si="2"/>
        <v>2.1349999999999998</v>
      </c>
      <c r="H74" s="273"/>
      <c r="I74" s="273"/>
      <c r="J74" s="273"/>
      <c r="K74" s="273"/>
      <c r="L74" s="273"/>
      <c r="M74" s="273"/>
    </row>
    <row r="75" spans="1:13" hidden="1">
      <c r="A75" s="245">
        <v>44069</v>
      </c>
      <c r="B75" s="245">
        <v>44071</v>
      </c>
      <c r="C75" s="273" t="s">
        <v>11</v>
      </c>
      <c r="D75" s="273">
        <v>5</v>
      </c>
      <c r="E75" s="273">
        <v>7.9611999999999998</v>
      </c>
      <c r="F75" s="273">
        <v>8.1948000000000008</v>
      </c>
      <c r="G75" s="273">
        <f t="shared" si="2"/>
        <v>0.23360000000000092</v>
      </c>
      <c r="H75" s="273"/>
      <c r="I75" s="273"/>
      <c r="J75" s="273"/>
      <c r="K75" s="273"/>
      <c r="L75" s="273"/>
      <c r="M75" s="273"/>
    </row>
    <row r="76" spans="1:13" hidden="1">
      <c r="A76" s="245">
        <v>44069</v>
      </c>
      <c r="B76" s="245">
        <v>44071</v>
      </c>
      <c r="C76" s="273" t="s">
        <v>11</v>
      </c>
      <c r="D76" s="273">
        <v>6</v>
      </c>
      <c r="E76" s="273">
        <v>7.7450999999999999</v>
      </c>
      <c r="F76" s="273">
        <v>8.8605999999999998</v>
      </c>
      <c r="G76" s="273">
        <f t="shared" si="2"/>
        <v>1.1154999999999999</v>
      </c>
      <c r="H76" s="273"/>
      <c r="I76" s="273"/>
      <c r="J76" s="273"/>
      <c r="K76" s="273"/>
      <c r="L76" s="273"/>
      <c r="M76" s="273"/>
    </row>
    <row r="77" spans="1:13" s="88" customFormat="1" hidden="1">
      <c r="A77" s="245">
        <v>44069</v>
      </c>
      <c r="B77" s="245">
        <v>44071</v>
      </c>
      <c r="C77" s="273" t="s">
        <v>16</v>
      </c>
      <c r="D77" s="273">
        <v>2</v>
      </c>
      <c r="E77" s="273">
        <v>8.1561000000000003</v>
      </c>
      <c r="F77" s="273">
        <v>8.3277999999999999</v>
      </c>
      <c r="G77" s="273">
        <f t="shared" si="2"/>
        <v>0.17169999999999952</v>
      </c>
    </row>
    <row r="78" spans="1:13" s="88" customFormat="1" hidden="1">
      <c r="A78" s="245">
        <v>44069</v>
      </c>
      <c r="B78" s="245">
        <v>44071</v>
      </c>
      <c r="C78" s="273" t="s">
        <v>16</v>
      </c>
      <c r="D78" s="273">
        <v>3</v>
      </c>
      <c r="E78" s="273">
        <v>7.6063000000000001</v>
      </c>
      <c r="F78" s="273">
        <v>7.6444999999999999</v>
      </c>
      <c r="G78" s="273">
        <f t="shared" si="2"/>
        <v>3.819999999999979E-2</v>
      </c>
    </row>
    <row r="79" spans="1:13" s="88" customFormat="1" hidden="1">
      <c r="A79" s="245">
        <v>44069</v>
      </c>
      <c r="B79" s="245">
        <v>44071</v>
      </c>
      <c r="C79" s="273" t="s">
        <v>16</v>
      </c>
      <c r="D79" s="273">
        <v>4</v>
      </c>
      <c r="E79" s="273">
        <v>7.5523999999999996</v>
      </c>
      <c r="F79" s="273">
        <v>9.1931999999999992</v>
      </c>
      <c r="G79" s="273">
        <f t="shared" si="2"/>
        <v>1.6407999999999996</v>
      </c>
    </row>
    <row r="80" spans="1:13" s="88" customFormat="1" hidden="1">
      <c r="A80" s="245">
        <v>44069</v>
      </c>
      <c r="B80" s="245">
        <v>44071</v>
      </c>
      <c r="C80" s="273" t="s">
        <v>16</v>
      </c>
      <c r="D80" s="273">
        <v>5</v>
      </c>
      <c r="E80" s="273">
        <v>7.8425000000000002</v>
      </c>
      <c r="F80" s="273">
        <v>10.6058</v>
      </c>
      <c r="G80" s="273">
        <f t="shared" si="2"/>
        <v>2.7633000000000001</v>
      </c>
    </row>
    <row r="81" spans="1:13" s="88" customFormat="1" hidden="1">
      <c r="A81" s="245">
        <v>44069</v>
      </c>
      <c r="B81" s="245">
        <v>44071</v>
      </c>
      <c r="C81" s="273" t="s">
        <v>16</v>
      </c>
      <c r="D81" s="273">
        <v>6</v>
      </c>
      <c r="E81" s="273">
        <v>8.0128000000000004</v>
      </c>
      <c r="F81" s="273">
        <v>8.8280999999999992</v>
      </c>
      <c r="G81" s="273">
        <f t="shared" si="2"/>
        <v>0.8152999999999988</v>
      </c>
      <c r="J81" s="273"/>
    </row>
    <row r="82" spans="1:13" s="88" customFormat="1" hidden="1">
      <c r="A82" s="245">
        <v>44069</v>
      </c>
      <c r="B82" s="245">
        <v>44071</v>
      </c>
      <c r="C82" s="273" t="s">
        <v>16</v>
      </c>
      <c r="D82" s="273">
        <v>7</v>
      </c>
      <c r="E82" s="273">
        <v>7.9866999999999999</v>
      </c>
      <c r="F82" s="273">
        <v>8.5760000000000005</v>
      </c>
      <c r="G82" s="273">
        <f t="shared" si="2"/>
        <v>0.5893000000000006</v>
      </c>
      <c r="J82" s="273"/>
    </row>
    <row r="83" spans="1:13" s="88" customFormat="1" hidden="1">
      <c r="A83" s="245">
        <v>44069</v>
      </c>
      <c r="B83" s="245">
        <v>44071</v>
      </c>
      <c r="C83" s="273" t="s">
        <v>16</v>
      </c>
      <c r="D83" s="273">
        <v>8</v>
      </c>
      <c r="E83" s="273">
        <v>7.8235999999999999</v>
      </c>
      <c r="F83" s="273">
        <v>9.5663999999999998</v>
      </c>
      <c r="G83" s="273">
        <f t="shared" si="2"/>
        <v>1.7427999999999999</v>
      </c>
    </row>
    <row r="84" spans="1:13" s="88" customFormat="1" hidden="1">
      <c r="A84" s="245">
        <v>44069</v>
      </c>
      <c r="B84" s="245">
        <v>44071</v>
      </c>
      <c r="C84" s="273" t="s">
        <v>16</v>
      </c>
      <c r="D84" s="273">
        <v>9</v>
      </c>
      <c r="E84" s="273">
        <v>7.9877000000000002</v>
      </c>
      <c r="F84" s="273">
        <v>10.624700000000001</v>
      </c>
      <c r="G84" s="273">
        <f t="shared" si="2"/>
        <v>2.6370000000000005</v>
      </c>
    </row>
    <row r="85" spans="1:13" s="88" customFormat="1" hidden="1">
      <c r="A85" s="245">
        <v>44069</v>
      </c>
      <c r="B85" s="245">
        <v>44071</v>
      </c>
      <c r="C85" s="273" t="s">
        <v>16</v>
      </c>
      <c r="D85" s="273">
        <v>10</v>
      </c>
      <c r="E85" s="273">
        <v>7.6052</v>
      </c>
      <c r="F85" s="273">
        <v>9.8964999999999996</v>
      </c>
      <c r="G85" s="273">
        <f t="shared" si="2"/>
        <v>2.2912999999999997</v>
      </c>
    </row>
    <row r="86" spans="1:13" s="88" customFormat="1" hidden="1">
      <c r="A86" s="245">
        <v>44069</v>
      </c>
      <c r="B86" s="245">
        <v>44071</v>
      </c>
      <c r="C86" s="273" t="s">
        <v>16</v>
      </c>
      <c r="D86" s="273">
        <v>11</v>
      </c>
      <c r="E86" s="273">
        <v>7.9657</v>
      </c>
      <c r="F86" s="273">
        <v>9.2272999999999996</v>
      </c>
      <c r="G86" s="273">
        <f t="shared" si="2"/>
        <v>1.2615999999999996</v>
      </c>
    </row>
    <row r="87" spans="1:13" s="106" customFormat="1" hidden="1">
      <c r="A87" s="245">
        <v>44071</v>
      </c>
      <c r="B87" s="245">
        <v>44074</v>
      </c>
      <c r="C87" s="273" t="s">
        <v>11</v>
      </c>
      <c r="D87" s="273">
        <v>3</v>
      </c>
      <c r="E87" s="273">
        <v>7.6755000000000004</v>
      </c>
      <c r="F87" s="273">
        <v>9.1677</v>
      </c>
      <c r="G87" s="273">
        <f t="shared" si="2"/>
        <v>1.4921999999999995</v>
      </c>
    </row>
    <row r="88" spans="1:13" s="106" customFormat="1" hidden="1">
      <c r="A88" s="245">
        <v>44071</v>
      </c>
      <c r="B88" s="245">
        <v>44074</v>
      </c>
      <c r="C88" s="273" t="s">
        <v>11</v>
      </c>
      <c r="D88" s="273">
        <v>4</v>
      </c>
      <c r="E88" s="273">
        <v>6.9686000000000003</v>
      </c>
      <c r="F88" s="273">
        <v>8.2929999999999993</v>
      </c>
      <c r="G88" s="273">
        <f t="shared" si="2"/>
        <v>1.3243999999999989</v>
      </c>
    </row>
    <row r="89" spans="1:13" s="106" customFormat="1" hidden="1">
      <c r="A89" s="245">
        <v>44071</v>
      </c>
      <c r="B89" s="245">
        <v>44074</v>
      </c>
      <c r="C89" s="273" t="s">
        <v>11</v>
      </c>
      <c r="D89" s="273">
        <v>5</v>
      </c>
      <c r="E89" s="273">
        <v>8.3653999999999993</v>
      </c>
      <c r="F89" s="273">
        <v>9.4811999999999994</v>
      </c>
      <c r="G89" s="273">
        <f t="shared" si="2"/>
        <v>1.1158000000000001</v>
      </c>
    </row>
    <row r="90" spans="1:13" s="106" customFormat="1" hidden="1">
      <c r="A90" s="245">
        <v>44071</v>
      </c>
      <c r="B90" s="245">
        <v>44074</v>
      </c>
      <c r="C90" s="273" t="s">
        <v>11</v>
      </c>
      <c r="D90" s="273">
        <v>6</v>
      </c>
      <c r="E90" s="273">
        <v>7.4489000000000001</v>
      </c>
      <c r="F90" s="273">
        <v>9.1973000000000003</v>
      </c>
      <c r="G90" s="273">
        <f t="shared" si="2"/>
        <v>1.7484000000000002</v>
      </c>
    </row>
    <row r="91" spans="1:13" s="106" customFormat="1" hidden="1">
      <c r="A91" s="245">
        <v>44071</v>
      </c>
      <c r="B91" s="245">
        <v>44074</v>
      </c>
      <c r="C91" s="273" t="s">
        <v>11</v>
      </c>
      <c r="D91" s="273">
        <v>7</v>
      </c>
      <c r="E91" s="273">
        <v>7.4672000000000001</v>
      </c>
      <c r="F91" s="273">
        <v>8.8020999999999994</v>
      </c>
      <c r="G91" s="273">
        <f t="shared" si="2"/>
        <v>1.3348999999999993</v>
      </c>
    </row>
    <row r="92" spans="1:13" hidden="1">
      <c r="A92" s="245">
        <v>44071</v>
      </c>
      <c r="B92" s="245">
        <v>44074</v>
      </c>
      <c r="C92" s="273" t="s">
        <v>16</v>
      </c>
      <c r="D92" s="273">
        <v>2</v>
      </c>
      <c r="E92" s="273">
        <v>8.0965000000000007</v>
      </c>
      <c r="F92" s="273">
        <v>8.3082999999999991</v>
      </c>
      <c r="G92" s="273">
        <f t="shared" si="2"/>
        <v>0.21179999999999843</v>
      </c>
      <c r="H92" s="273"/>
      <c r="I92" s="105"/>
      <c r="J92" s="273"/>
      <c r="K92" s="273"/>
      <c r="L92" s="273"/>
      <c r="M92" s="273"/>
    </row>
    <row r="93" spans="1:13" hidden="1">
      <c r="A93" s="245">
        <v>44071</v>
      </c>
      <c r="B93" s="245">
        <v>44074</v>
      </c>
      <c r="C93" s="273" t="s">
        <v>16</v>
      </c>
      <c r="D93" s="273">
        <v>4</v>
      </c>
      <c r="E93" s="273">
        <v>7.1452999999999998</v>
      </c>
      <c r="F93" s="273">
        <v>9.4910999999999994</v>
      </c>
      <c r="G93" s="273">
        <f t="shared" si="2"/>
        <v>2.3457999999999997</v>
      </c>
      <c r="H93" s="273"/>
      <c r="I93" s="273"/>
      <c r="J93" s="273"/>
      <c r="K93" s="273"/>
      <c r="L93" s="273"/>
      <c r="M93" s="273"/>
    </row>
    <row r="94" spans="1:13" hidden="1">
      <c r="A94" s="245">
        <v>44071</v>
      </c>
      <c r="B94" s="245">
        <v>44074</v>
      </c>
      <c r="C94" s="273" t="s">
        <v>16</v>
      </c>
      <c r="D94" s="273">
        <v>5</v>
      </c>
      <c r="E94" s="273">
        <v>8.5044000000000004</v>
      </c>
      <c r="F94" s="273">
        <v>11.6327</v>
      </c>
      <c r="G94" s="273">
        <f t="shared" si="2"/>
        <v>3.1282999999999994</v>
      </c>
      <c r="H94" s="273"/>
      <c r="I94" s="273"/>
      <c r="J94" s="273"/>
      <c r="K94" s="273"/>
      <c r="L94" s="273"/>
      <c r="M94" s="273"/>
    </row>
    <row r="95" spans="1:13" hidden="1">
      <c r="A95" s="245">
        <v>44071</v>
      </c>
      <c r="B95" s="245">
        <v>44074</v>
      </c>
      <c r="C95" s="273" t="s">
        <v>16</v>
      </c>
      <c r="D95" s="273">
        <v>8</v>
      </c>
      <c r="E95" s="273">
        <v>7.0240999999999998</v>
      </c>
      <c r="F95" s="273">
        <v>9.4138999999999999</v>
      </c>
      <c r="G95" s="273">
        <f t="shared" si="2"/>
        <v>2.3898000000000001</v>
      </c>
      <c r="H95" s="273"/>
      <c r="I95" s="273"/>
      <c r="J95" s="273"/>
      <c r="K95" s="273"/>
      <c r="L95" s="273"/>
      <c r="M95" s="273"/>
    </row>
    <row r="96" spans="1:13" hidden="1">
      <c r="A96" s="245">
        <v>44071</v>
      </c>
      <c r="B96" s="245">
        <v>44074</v>
      </c>
      <c r="C96" s="273" t="s">
        <v>16</v>
      </c>
      <c r="D96" s="273">
        <v>9</v>
      </c>
      <c r="E96" s="273">
        <v>7.4267000000000003</v>
      </c>
      <c r="F96" s="273">
        <v>9.8165999999999993</v>
      </c>
      <c r="G96" s="273">
        <f t="shared" si="2"/>
        <v>2.389899999999999</v>
      </c>
      <c r="H96" s="273"/>
      <c r="I96" s="273"/>
      <c r="J96" s="273"/>
      <c r="K96" s="273"/>
      <c r="L96" s="273"/>
      <c r="M96" s="273"/>
    </row>
    <row r="97" spans="1:9" hidden="1">
      <c r="A97" s="245">
        <v>44071</v>
      </c>
      <c r="B97" s="245">
        <v>44074</v>
      </c>
      <c r="C97" s="273" t="s">
        <v>16</v>
      </c>
      <c r="D97" s="273">
        <v>10</v>
      </c>
      <c r="E97" s="273">
        <v>7.4382999999999999</v>
      </c>
      <c r="F97" s="273">
        <v>12.066000000000001</v>
      </c>
      <c r="G97" s="273">
        <f t="shared" si="2"/>
        <v>4.6277000000000008</v>
      </c>
      <c r="H97" s="273"/>
      <c r="I97" s="273"/>
    </row>
    <row r="98" spans="1:9" hidden="1">
      <c r="A98" s="245">
        <v>44071</v>
      </c>
      <c r="B98" s="245">
        <v>44074</v>
      </c>
      <c r="C98" s="273" t="s">
        <v>16</v>
      </c>
      <c r="D98" s="273">
        <v>11</v>
      </c>
      <c r="E98" s="273">
        <v>7.6245000000000003</v>
      </c>
      <c r="F98" s="273">
        <v>8.8962000000000003</v>
      </c>
      <c r="G98" s="273">
        <f t="shared" ref="G98:G129" si="3">F98-E98</f>
        <v>1.2717000000000001</v>
      </c>
      <c r="H98" s="273"/>
      <c r="I98" s="273"/>
    </row>
    <row r="99" spans="1:9" hidden="1">
      <c r="A99" s="245">
        <v>44074</v>
      </c>
      <c r="B99" s="245">
        <v>44076</v>
      </c>
      <c r="C99" s="273" t="s">
        <v>11</v>
      </c>
      <c r="D99" s="273">
        <v>2</v>
      </c>
      <c r="E99" s="273">
        <v>8.0833999999999993</v>
      </c>
      <c r="F99" s="273">
        <v>8.3521999999999998</v>
      </c>
      <c r="G99" s="273">
        <f t="shared" si="3"/>
        <v>0.26880000000000059</v>
      </c>
      <c r="H99" s="273"/>
      <c r="I99" s="273"/>
    </row>
    <row r="100" spans="1:9" hidden="1">
      <c r="A100" s="245">
        <v>44074</v>
      </c>
      <c r="B100" s="245">
        <v>44076</v>
      </c>
      <c r="C100" s="273" t="s">
        <v>11</v>
      </c>
      <c r="D100" s="273">
        <v>3</v>
      </c>
      <c r="E100" s="273">
        <v>7.782</v>
      </c>
      <c r="F100" s="273">
        <v>8.1442999999999994</v>
      </c>
      <c r="G100" s="273">
        <f t="shared" si="3"/>
        <v>0.3622999999999994</v>
      </c>
      <c r="H100" s="273"/>
      <c r="I100" s="273"/>
    </row>
    <row r="101" spans="1:9" hidden="1">
      <c r="A101" s="245">
        <v>44074</v>
      </c>
      <c r="B101" s="245">
        <v>44076</v>
      </c>
      <c r="C101" s="273" t="s">
        <v>11</v>
      </c>
      <c r="D101" s="273">
        <v>4</v>
      </c>
      <c r="E101" s="273">
        <v>8.1839999999999993</v>
      </c>
      <c r="F101" s="273">
        <v>8.8899000000000008</v>
      </c>
      <c r="G101" s="273">
        <f t="shared" si="3"/>
        <v>0.70590000000000153</v>
      </c>
      <c r="H101" s="273"/>
      <c r="I101" s="273"/>
    </row>
    <row r="102" spans="1:9" hidden="1">
      <c r="A102" s="245">
        <v>44074</v>
      </c>
      <c r="B102" s="245">
        <v>44076</v>
      </c>
      <c r="C102" s="273" t="s">
        <v>11</v>
      </c>
      <c r="D102" s="273">
        <v>5</v>
      </c>
      <c r="E102" s="273">
        <v>7.6451000000000002</v>
      </c>
      <c r="F102" s="273">
        <v>7.8400999999999996</v>
      </c>
      <c r="G102" s="273">
        <f t="shared" si="3"/>
        <v>0.1949999999999994</v>
      </c>
      <c r="H102" s="273"/>
      <c r="I102" s="273"/>
    </row>
    <row r="103" spans="1:9" hidden="1">
      <c r="A103" s="245">
        <v>44074</v>
      </c>
      <c r="B103" s="245">
        <v>44076</v>
      </c>
      <c r="C103" s="273" t="s">
        <v>11</v>
      </c>
      <c r="D103" s="273">
        <v>6</v>
      </c>
      <c r="E103" s="273">
        <v>8.2851999999999997</v>
      </c>
      <c r="F103" s="273">
        <v>9.3280999999999992</v>
      </c>
      <c r="G103" s="273">
        <f t="shared" si="3"/>
        <v>1.0428999999999995</v>
      </c>
      <c r="H103" s="273"/>
      <c r="I103" s="273"/>
    </row>
    <row r="104" spans="1:9" hidden="1">
      <c r="A104" s="245">
        <v>44074</v>
      </c>
      <c r="B104" s="245">
        <v>44076</v>
      </c>
      <c r="C104" s="273" t="s">
        <v>11</v>
      </c>
      <c r="D104" s="273">
        <v>7</v>
      </c>
      <c r="E104" s="273">
        <v>6.6540999999999997</v>
      </c>
      <c r="F104" s="273">
        <v>7.7465999999999999</v>
      </c>
      <c r="G104" s="273">
        <f t="shared" si="3"/>
        <v>1.0925000000000002</v>
      </c>
      <c r="H104" s="273"/>
      <c r="I104" s="273"/>
    </row>
    <row r="105" spans="1:9" hidden="1">
      <c r="A105" s="245">
        <v>44074</v>
      </c>
      <c r="B105" s="245">
        <v>44076</v>
      </c>
      <c r="C105" s="273" t="s">
        <v>16</v>
      </c>
      <c r="D105" s="273">
        <v>4</v>
      </c>
      <c r="E105" s="273">
        <v>7.4470999999999998</v>
      </c>
      <c r="F105" s="273">
        <v>9.0619999999999994</v>
      </c>
      <c r="G105" s="273">
        <f t="shared" si="3"/>
        <v>1.6148999999999996</v>
      </c>
      <c r="H105" s="273"/>
      <c r="I105" s="273">
        <f>G105+G106+G107+G108</f>
        <v>5.2716000000000003</v>
      </c>
    </row>
    <row r="106" spans="1:9" ht="15" hidden="1" customHeight="1">
      <c r="A106" s="245">
        <v>44074</v>
      </c>
      <c r="B106" s="245">
        <v>44076</v>
      </c>
      <c r="C106" s="273" t="s">
        <v>16</v>
      </c>
      <c r="D106" s="273">
        <v>5</v>
      </c>
      <c r="E106" s="273">
        <v>8.5832999999999995</v>
      </c>
      <c r="F106" s="273">
        <v>9.9527999999999999</v>
      </c>
      <c r="G106" s="273">
        <f t="shared" si="3"/>
        <v>1.3695000000000004</v>
      </c>
      <c r="H106" s="273"/>
      <c r="I106" s="273">
        <f>G109+G110+G111</f>
        <v>5.9225000000000003</v>
      </c>
    </row>
    <row r="107" spans="1:9" hidden="1">
      <c r="A107" s="245">
        <v>44074</v>
      </c>
      <c r="B107" s="245">
        <v>44076</v>
      </c>
      <c r="C107" s="273" t="s">
        <v>16</v>
      </c>
      <c r="D107" s="273">
        <v>6</v>
      </c>
      <c r="E107" s="273">
        <v>7.9013999999999998</v>
      </c>
      <c r="F107" s="273">
        <v>9.3025000000000002</v>
      </c>
      <c r="G107" s="273">
        <f t="shared" si="3"/>
        <v>1.4011000000000005</v>
      </c>
      <c r="H107" s="273"/>
      <c r="I107" s="273"/>
    </row>
    <row r="108" spans="1:9" hidden="1">
      <c r="A108" s="245">
        <v>44074</v>
      </c>
      <c r="B108" s="245">
        <v>44076</v>
      </c>
      <c r="C108" s="273" t="s">
        <v>16</v>
      </c>
      <c r="D108" s="273">
        <v>7</v>
      </c>
      <c r="E108" s="273">
        <v>7.2984999999999998</v>
      </c>
      <c r="F108" s="273">
        <v>8.1845999999999997</v>
      </c>
      <c r="G108" s="273">
        <f t="shared" si="3"/>
        <v>0.88609999999999989</v>
      </c>
      <c r="H108" s="273"/>
      <c r="I108" s="273">
        <f>G111+G109+G106</f>
        <v>5.4378000000000011</v>
      </c>
    </row>
    <row r="109" spans="1:9" hidden="1">
      <c r="A109" s="245">
        <v>44074</v>
      </c>
      <c r="B109" s="245">
        <v>44076</v>
      </c>
      <c r="C109" s="273" t="s">
        <v>16</v>
      </c>
      <c r="D109" s="273">
        <v>8</v>
      </c>
      <c r="E109" s="273">
        <v>7.6395999999999997</v>
      </c>
      <c r="F109" s="273">
        <v>9.4526000000000003</v>
      </c>
      <c r="G109" s="273">
        <f t="shared" si="3"/>
        <v>1.8130000000000006</v>
      </c>
      <c r="H109" s="273"/>
      <c r="I109" s="273">
        <f>G105+G107+G108+G110</f>
        <v>5.7562999999999995</v>
      </c>
    </row>
    <row r="110" spans="1:9" hidden="1">
      <c r="A110" s="245">
        <v>44074</v>
      </c>
      <c r="B110" s="245">
        <v>44076</v>
      </c>
      <c r="C110" s="273" t="s">
        <v>16</v>
      </c>
      <c r="D110" s="273">
        <v>9</v>
      </c>
      <c r="E110" s="273">
        <v>6.8701999999999996</v>
      </c>
      <c r="F110" s="273">
        <v>8.7243999999999993</v>
      </c>
      <c r="G110" s="273">
        <f t="shared" si="3"/>
        <v>1.8541999999999996</v>
      </c>
      <c r="H110" s="273"/>
      <c r="I110" s="273"/>
    </row>
    <row r="111" spans="1:9" hidden="1">
      <c r="A111" s="245">
        <v>44074</v>
      </c>
      <c r="B111" s="245">
        <v>44076</v>
      </c>
      <c r="C111" s="273" t="s">
        <v>16</v>
      </c>
      <c r="D111" s="273">
        <v>10</v>
      </c>
      <c r="E111" s="273">
        <v>7.4709000000000003</v>
      </c>
      <c r="F111" s="273">
        <v>9.7262000000000004</v>
      </c>
      <c r="G111" s="273">
        <f t="shared" si="3"/>
        <v>2.2553000000000001</v>
      </c>
      <c r="H111" s="273"/>
      <c r="I111" s="273">
        <f>G107+G108+G110+G106</f>
        <v>5.5109000000000004</v>
      </c>
    </row>
    <row r="112" spans="1:9" hidden="1">
      <c r="A112" s="245">
        <v>44074</v>
      </c>
      <c r="B112" s="245">
        <v>44076</v>
      </c>
      <c r="C112" s="273" t="s">
        <v>16</v>
      </c>
      <c r="D112" s="273">
        <v>11</v>
      </c>
      <c r="E112" s="273">
        <v>7.4481000000000002</v>
      </c>
      <c r="F112" s="273">
        <v>7.4481000000000002</v>
      </c>
      <c r="G112" s="273">
        <f t="shared" si="3"/>
        <v>0</v>
      </c>
      <c r="H112" s="273"/>
      <c r="I112" s="273">
        <f>G111+G109+G105</f>
        <v>5.6832000000000003</v>
      </c>
    </row>
    <row r="113" spans="1:13" hidden="1">
      <c r="A113" s="245">
        <v>44076</v>
      </c>
      <c r="B113" s="245">
        <v>44078</v>
      </c>
      <c r="C113" s="273" t="s">
        <v>11</v>
      </c>
      <c r="D113" s="273">
        <v>5</v>
      </c>
      <c r="E113" s="273">
        <v>5.6359000000000004</v>
      </c>
      <c r="F113" s="273">
        <v>5.798</v>
      </c>
      <c r="G113" s="273">
        <f t="shared" si="3"/>
        <v>0.16209999999999969</v>
      </c>
      <c r="H113" s="273"/>
      <c r="I113" s="273"/>
      <c r="J113" s="273"/>
      <c r="K113" s="273"/>
      <c r="L113" s="273"/>
      <c r="M113" s="273"/>
    </row>
    <row r="114" spans="1:13" hidden="1">
      <c r="A114" s="245">
        <v>44076</v>
      </c>
      <c r="B114" s="245">
        <v>44078</v>
      </c>
      <c r="C114" s="273" t="s">
        <v>11</v>
      </c>
      <c r="D114" s="273">
        <v>7</v>
      </c>
      <c r="E114" s="273">
        <v>6.0498000000000003</v>
      </c>
      <c r="F114" s="273">
        <v>6.2877999999999998</v>
      </c>
      <c r="G114" s="273">
        <f t="shared" si="3"/>
        <v>0.23799999999999955</v>
      </c>
      <c r="H114" s="273"/>
      <c r="I114" s="273"/>
      <c r="J114" s="273"/>
      <c r="K114" s="273"/>
      <c r="L114" s="273"/>
      <c r="M114" s="273"/>
    </row>
    <row r="115" spans="1:13" hidden="1">
      <c r="A115" s="245">
        <v>44076</v>
      </c>
      <c r="B115" s="245">
        <v>44078</v>
      </c>
      <c r="C115" s="273" t="s">
        <v>16</v>
      </c>
      <c r="D115" s="273">
        <v>5</v>
      </c>
      <c r="E115" s="273">
        <v>5.6124000000000001</v>
      </c>
      <c r="F115" s="273">
        <v>6.0759999999999996</v>
      </c>
      <c r="G115" s="273">
        <f t="shared" si="3"/>
        <v>0.46359999999999957</v>
      </c>
      <c r="H115" s="273"/>
      <c r="I115" s="273"/>
      <c r="J115" s="273"/>
      <c r="K115" s="273"/>
      <c r="L115" s="273"/>
      <c r="M115" s="273"/>
    </row>
    <row r="116" spans="1:13" hidden="1">
      <c r="A116" s="245">
        <v>44076</v>
      </c>
      <c r="B116" s="245">
        <v>44078</v>
      </c>
      <c r="C116" s="273" t="s">
        <v>16</v>
      </c>
      <c r="D116" s="273">
        <v>6</v>
      </c>
      <c r="E116" s="273">
        <v>5.7925000000000004</v>
      </c>
      <c r="F116" s="273">
        <v>6.25</v>
      </c>
      <c r="G116" s="273">
        <f t="shared" si="3"/>
        <v>0.45749999999999957</v>
      </c>
      <c r="H116" s="273"/>
      <c r="I116" s="273"/>
      <c r="J116" s="273"/>
      <c r="K116" s="273"/>
      <c r="L116" s="273"/>
      <c r="M116" s="273"/>
    </row>
    <row r="117" spans="1:13" hidden="1">
      <c r="A117" s="245">
        <v>44076</v>
      </c>
      <c r="B117" s="245">
        <v>44078</v>
      </c>
      <c r="C117" s="273" t="s">
        <v>16</v>
      </c>
      <c r="D117" s="273">
        <v>7</v>
      </c>
      <c r="E117" s="273">
        <v>5.7361000000000004</v>
      </c>
      <c r="F117" s="273">
        <v>5.9950999999999999</v>
      </c>
      <c r="G117" s="273">
        <f t="shared" si="3"/>
        <v>0.25899999999999945</v>
      </c>
      <c r="H117" s="273"/>
      <c r="I117" s="273"/>
      <c r="J117" s="273"/>
      <c r="K117" s="273"/>
      <c r="L117" s="273"/>
      <c r="M117" s="273"/>
    </row>
    <row r="118" spans="1:13" hidden="1">
      <c r="A118" s="245">
        <v>44076</v>
      </c>
      <c r="B118" s="245">
        <v>44078</v>
      </c>
      <c r="C118" s="273" t="s">
        <v>16</v>
      </c>
      <c r="D118" s="273">
        <v>8</v>
      </c>
      <c r="E118" s="273">
        <v>7.01</v>
      </c>
      <c r="F118" s="273">
        <v>7.6943000000000001</v>
      </c>
      <c r="G118" s="273">
        <f t="shared" si="3"/>
        <v>0.68430000000000035</v>
      </c>
      <c r="H118" s="273"/>
      <c r="I118" s="273"/>
      <c r="J118" s="273"/>
      <c r="K118" s="273"/>
      <c r="L118" s="273"/>
      <c r="M118" s="273"/>
    </row>
    <row r="119" spans="1:13" hidden="1">
      <c r="A119" s="245">
        <v>44076</v>
      </c>
      <c r="B119" s="245">
        <v>44078</v>
      </c>
      <c r="C119" s="273" t="s">
        <v>16</v>
      </c>
      <c r="D119" s="273">
        <v>9</v>
      </c>
      <c r="E119" s="273">
        <v>5.2910000000000004</v>
      </c>
      <c r="F119" s="273">
        <v>5.8311999999999999</v>
      </c>
      <c r="G119" s="273">
        <f t="shared" si="3"/>
        <v>0.54019999999999957</v>
      </c>
      <c r="H119" s="273"/>
      <c r="I119" s="273"/>
      <c r="J119" s="273"/>
      <c r="K119" s="273"/>
      <c r="L119" s="273"/>
      <c r="M119" s="273"/>
    </row>
    <row r="120" spans="1:13" hidden="1">
      <c r="A120" s="245">
        <v>44076</v>
      </c>
      <c r="B120" s="245">
        <v>44078</v>
      </c>
      <c r="C120" s="273" t="s">
        <v>16</v>
      </c>
      <c r="D120" s="273">
        <v>10</v>
      </c>
      <c r="E120" s="273">
        <v>6.7567000000000004</v>
      </c>
      <c r="F120" s="273">
        <v>7.7727000000000004</v>
      </c>
      <c r="G120" s="273">
        <f t="shared" si="3"/>
        <v>1.016</v>
      </c>
      <c r="H120" s="273"/>
      <c r="I120" s="273"/>
      <c r="J120" s="273"/>
      <c r="K120" s="273"/>
      <c r="L120" s="273"/>
      <c r="M120" s="273"/>
    </row>
    <row r="121" spans="1:13" hidden="1">
      <c r="A121" s="245">
        <v>44076</v>
      </c>
      <c r="B121" s="245">
        <v>44078</v>
      </c>
      <c r="C121" s="273" t="s">
        <v>18</v>
      </c>
      <c r="D121" s="273"/>
      <c r="E121" s="273">
        <v>7.2803000000000004</v>
      </c>
      <c r="F121" s="273">
        <v>8.5324000000000009</v>
      </c>
      <c r="G121" s="273">
        <f t="shared" si="3"/>
        <v>1.2521000000000004</v>
      </c>
      <c r="H121" s="273"/>
      <c r="I121" s="273"/>
      <c r="J121" s="273"/>
      <c r="K121" s="273"/>
      <c r="L121" s="273"/>
      <c r="M121" s="273"/>
    </row>
    <row r="122" spans="1:13" hidden="1">
      <c r="A122" s="245">
        <v>44076</v>
      </c>
      <c r="B122" s="245">
        <v>44078</v>
      </c>
      <c r="C122" s="273" t="s">
        <v>18</v>
      </c>
      <c r="D122" s="273"/>
      <c r="E122" s="273">
        <v>5.6037999999999997</v>
      </c>
      <c r="F122" s="273">
        <v>5.9447999999999999</v>
      </c>
      <c r="G122" s="273">
        <f t="shared" si="3"/>
        <v>0.34100000000000019</v>
      </c>
      <c r="H122" s="273"/>
      <c r="I122" s="273"/>
      <c r="J122" s="273"/>
      <c r="K122" s="273"/>
      <c r="L122" s="273"/>
      <c r="M122" s="273"/>
    </row>
    <row r="123" spans="1:13" hidden="1">
      <c r="A123" s="245">
        <v>44078</v>
      </c>
      <c r="B123" s="245">
        <v>44081</v>
      </c>
      <c r="C123" s="273" t="s">
        <v>16</v>
      </c>
      <c r="D123" s="273">
        <v>4</v>
      </c>
      <c r="E123" s="273">
        <v>5.0461999999999998</v>
      </c>
      <c r="F123" s="273">
        <v>5.4976000000000003</v>
      </c>
      <c r="G123" s="273">
        <f t="shared" si="3"/>
        <v>0.45140000000000047</v>
      </c>
      <c r="H123" s="273"/>
      <c r="I123" s="273"/>
      <c r="J123" s="273"/>
      <c r="K123" s="273"/>
      <c r="L123" s="273"/>
      <c r="M123" s="273"/>
    </row>
    <row r="124" spans="1:13" hidden="1">
      <c r="A124" s="245">
        <v>44078</v>
      </c>
      <c r="B124" s="245">
        <v>44081</v>
      </c>
      <c r="C124" s="273" t="s">
        <v>16</v>
      </c>
      <c r="D124" s="273">
        <v>5</v>
      </c>
      <c r="E124" s="273">
        <v>6.3898000000000001</v>
      </c>
      <c r="F124" s="273">
        <v>6.6421999999999999</v>
      </c>
      <c r="G124" s="273">
        <f t="shared" si="3"/>
        <v>0.25239999999999974</v>
      </c>
      <c r="H124" s="273"/>
      <c r="I124" s="273"/>
      <c r="J124" s="273"/>
      <c r="K124" s="273"/>
      <c r="L124" s="273"/>
      <c r="M124" s="273"/>
    </row>
    <row r="125" spans="1:13" hidden="1">
      <c r="A125" s="245">
        <v>44078</v>
      </c>
      <c r="B125" s="245">
        <v>44081</v>
      </c>
      <c r="C125" s="273" t="s">
        <v>16</v>
      </c>
      <c r="D125" s="273">
        <v>6</v>
      </c>
      <c r="E125" s="273">
        <v>5.1962000000000002</v>
      </c>
      <c r="F125" s="273">
        <v>5.2911000000000001</v>
      </c>
      <c r="G125" s="273">
        <f t="shared" si="3"/>
        <v>9.4899999999999984E-2</v>
      </c>
      <c r="H125" s="273"/>
      <c r="I125" s="273"/>
      <c r="J125" s="273"/>
      <c r="K125" s="273"/>
      <c r="L125" s="273"/>
      <c r="M125" s="273"/>
    </row>
    <row r="126" spans="1:13" hidden="1">
      <c r="A126" s="245">
        <v>44078</v>
      </c>
      <c r="B126" s="245">
        <v>44081</v>
      </c>
      <c r="C126" s="273" t="s">
        <v>16</v>
      </c>
      <c r="D126" s="273">
        <v>7</v>
      </c>
      <c r="E126" s="273">
        <v>5.0759999999999996</v>
      </c>
      <c r="F126" s="273">
        <v>5.1656000000000004</v>
      </c>
      <c r="G126" s="273">
        <f t="shared" si="3"/>
        <v>8.960000000000079E-2</v>
      </c>
      <c r="H126" s="273"/>
      <c r="I126" s="273"/>
      <c r="J126" s="273"/>
      <c r="K126" s="273"/>
      <c r="L126" s="273"/>
      <c r="M126" s="273"/>
    </row>
    <row r="127" spans="1:13" hidden="1">
      <c r="A127" s="245">
        <v>44078</v>
      </c>
      <c r="B127" s="245">
        <v>44081</v>
      </c>
      <c r="C127" s="273" t="s">
        <v>16</v>
      </c>
      <c r="D127" s="273">
        <v>8</v>
      </c>
      <c r="E127" s="273">
        <v>5.1656000000000004</v>
      </c>
      <c r="F127" s="273">
        <v>5.3876999999999997</v>
      </c>
      <c r="G127" s="273">
        <f t="shared" si="3"/>
        <v>0.2220999999999993</v>
      </c>
      <c r="H127" s="273"/>
      <c r="I127" s="273"/>
      <c r="J127" s="273"/>
      <c r="K127" s="273"/>
      <c r="L127" s="273"/>
      <c r="M127" s="273"/>
    </row>
    <row r="128" spans="1:13" hidden="1">
      <c r="A128" s="245">
        <v>44078</v>
      </c>
      <c r="B128" s="245">
        <v>44081</v>
      </c>
      <c r="C128" s="273" t="s">
        <v>16</v>
      </c>
      <c r="D128" s="273">
        <v>9</v>
      </c>
      <c r="E128" s="273">
        <v>5.2126999999999999</v>
      </c>
      <c r="F128" s="273">
        <v>5.4005999999999998</v>
      </c>
      <c r="G128" s="273">
        <f t="shared" si="3"/>
        <v>0.18789999999999996</v>
      </c>
      <c r="H128" s="273"/>
      <c r="I128" s="273"/>
      <c r="J128" s="273"/>
      <c r="K128" s="273"/>
      <c r="L128" s="273"/>
      <c r="M128" s="273"/>
    </row>
    <row r="129" spans="1:9" hidden="1">
      <c r="A129" s="245">
        <v>44078</v>
      </c>
      <c r="B129" s="245">
        <v>44081</v>
      </c>
      <c r="C129" s="273" t="s">
        <v>16</v>
      </c>
      <c r="D129" s="273">
        <v>10</v>
      </c>
      <c r="E129" s="273">
        <v>5.2590000000000003</v>
      </c>
      <c r="F129" s="273">
        <v>5.9919000000000002</v>
      </c>
      <c r="G129" s="273">
        <f t="shared" si="3"/>
        <v>0.73289999999999988</v>
      </c>
      <c r="H129" s="273"/>
      <c r="I129" s="273"/>
    </row>
    <row r="130" spans="1:9" hidden="1">
      <c r="A130" s="245">
        <v>44078</v>
      </c>
      <c r="B130" s="245">
        <v>44081</v>
      </c>
      <c r="C130" s="273" t="s">
        <v>16</v>
      </c>
      <c r="D130" s="273">
        <v>11</v>
      </c>
      <c r="E130" s="273">
        <v>5.4485999999999999</v>
      </c>
      <c r="F130" s="273">
        <v>5.7770999999999999</v>
      </c>
      <c r="G130" s="273">
        <f t="shared" ref="G130:G161" si="4">F130-E130</f>
        <v>0.32850000000000001</v>
      </c>
      <c r="H130" s="273"/>
      <c r="I130" s="273"/>
    </row>
    <row r="131" spans="1:9" hidden="1">
      <c r="A131" s="245">
        <v>44078</v>
      </c>
      <c r="B131" s="245">
        <v>44081</v>
      </c>
      <c r="C131" s="273" t="s">
        <v>16</v>
      </c>
      <c r="D131" s="273">
        <v>12</v>
      </c>
      <c r="E131" s="273">
        <v>5.4865399999999998</v>
      </c>
      <c r="F131" s="273">
        <v>5.6763000000000003</v>
      </c>
      <c r="G131" s="273">
        <f t="shared" si="4"/>
        <v>0.18976000000000059</v>
      </c>
      <c r="H131" s="273"/>
      <c r="I131" s="273"/>
    </row>
    <row r="132" spans="1:9" hidden="1">
      <c r="A132" s="245">
        <v>44078</v>
      </c>
      <c r="B132" s="245">
        <v>44081</v>
      </c>
      <c r="C132" s="273" t="s">
        <v>16</v>
      </c>
      <c r="D132" s="273">
        <v>14</v>
      </c>
      <c r="E132" s="273">
        <v>6.1886000000000001</v>
      </c>
      <c r="F132" s="273">
        <v>6.282</v>
      </c>
      <c r="G132" s="273">
        <f t="shared" si="4"/>
        <v>9.3399999999999928E-2</v>
      </c>
      <c r="H132" s="273"/>
      <c r="I132" s="273"/>
    </row>
    <row r="133" spans="1:9" hidden="1">
      <c r="A133" s="245">
        <v>44078</v>
      </c>
      <c r="B133" s="245">
        <v>44081</v>
      </c>
      <c r="C133" s="273" t="s">
        <v>16</v>
      </c>
      <c r="D133" s="273">
        <v>15</v>
      </c>
      <c r="E133" s="273">
        <v>5.3357999999999999</v>
      </c>
      <c r="F133" s="273">
        <v>5.3742999999999999</v>
      </c>
      <c r="G133" s="273">
        <f t="shared" si="4"/>
        <v>3.8499999999999979E-2</v>
      </c>
      <c r="H133" s="273"/>
      <c r="I133" s="273"/>
    </row>
    <row r="134" spans="1:9" hidden="1">
      <c r="A134" s="245">
        <v>44078</v>
      </c>
      <c r="B134" s="245">
        <v>44081</v>
      </c>
      <c r="C134" s="273" t="s">
        <v>11</v>
      </c>
      <c r="D134" s="273">
        <v>6</v>
      </c>
      <c r="E134" s="273">
        <v>7.0114000000000001</v>
      </c>
      <c r="F134" s="273">
        <v>10.032400000000001</v>
      </c>
      <c r="G134" s="273">
        <f t="shared" si="4"/>
        <v>3.0210000000000008</v>
      </c>
      <c r="H134" s="273"/>
      <c r="I134" s="273"/>
    </row>
    <row r="135" spans="1:9" hidden="1">
      <c r="A135" s="245">
        <v>44078</v>
      </c>
      <c r="B135" s="245">
        <v>44081</v>
      </c>
      <c r="C135" s="273" t="s">
        <v>11</v>
      </c>
      <c r="D135" s="273">
        <v>9</v>
      </c>
      <c r="E135" s="273">
        <v>5.6097000000000001</v>
      </c>
      <c r="F135" s="273">
        <v>5.8605999999999998</v>
      </c>
      <c r="G135" s="273">
        <f t="shared" si="4"/>
        <v>0.25089999999999968</v>
      </c>
      <c r="H135" s="273"/>
      <c r="I135" s="273"/>
    </row>
    <row r="136" spans="1:9" hidden="1">
      <c r="A136" s="245">
        <v>44078</v>
      </c>
      <c r="B136" s="245">
        <v>44081</v>
      </c>
      <c r="C136" s="273" t="s">
        <v>11</v>
      </c>
      <c r="D136" s="273">
        <v>5</v>
      </c>
      <c r="E136" s="273">
        <v>5.5064000000000002</v>
      </c>
      <c r="F136" s="273">
        <v>7.3228</v>
      </c>
      <c r="G136" s="273">
        <f t="shared" si="4"/>
        <v>1.8163999999999998</v>
      </c>
      <c r="H136" s="273"/>
      <c r="I136" s="273"/>
    </row>
    <row r="137" spans="1:9" hidden="1">
      <c r="A137" s="245">
        <v>44081</v>
      </c>
      <c r="B137" s="245">
        <v>44079</v>
      </c>
      <c r="C137" s="273" t="s">
        <v>11</v>
      </c>
      <c r="D137" s="273">
        <v>5</v>
      </c>
      <c r="E137" s="273">
        <v>7.3007</v>
      </c>
      <c r="F137" s="273">
        <v>8.1149000000000004</v>
      </c>
      <c r="G137" s="273">
        <f t="shared" si="4"/>
        <v>0.81420000000000048</v>
      </c>
      <c r="H137" s="273"/>
      <c r="I137" s="273"/>
    </row>
    <row r="138" spans="1:9" hidden="1">
      <c r="A138" s="245">
        <v>44081</v>
      </c>
      <c r="B138" s="245">
        <v>44079</v>
      </c>
      <c r="C138" s="273" t="s">
        <v>11</v>
      </c>
      <c r="D138" s="273">
        <v>6</v>
      </c>
      <c r="E138" s="273">
        <v>5.1558000000000002</v>
      </c>
      <c r="F138" s="273">
        <v>6.2907000000000002</v>
      </c>
      <c r="G138" s="273">
        <f t="shared" si="4"/>
        <v>1.1349</v>
      </c>
      <c r="H138" s="273"/>
      <c r="I138" s="273"/>
    </row>
    <row r="139" spans="1:9" hidden="1">
      <c r="A139" s="245">
        <v>44081</v>
      </c>
      <c r="B139" s="245">
        <v>44079</v>
      </c>
      <c r="C139" s="273" t="s">
        <v>11</v>
      </c>
      <c r="D139" s="273">
        <v>8</v>
      </c>
      <c r="E139" s="273">
        <v>6.3738000000000001</v>
      </c>
      <c r="F139" s="273">
        <v>7.2576999999999998</v>
      </c>
      <c r="G139" s="273">
        <f t="shared" si="4"/>
        <v>0.88389999999999969</v>
      </c>
      <c r="H139" s="273"/>
      <c r="I139" s="273"/>
    </row>
    <row r="140" spans="1:9" hidden="1">
      <c r="A140" s="245">
        <v>44081</v>
      </c>
      <c r="B140" s="245">
        <v>44079</v>
      </c>
      <c r="C140" s="273" t="s">
        <v>11</v>
      </c>
      <c r="D140" s="273" t="s">
        <v>23</v>
      </c>
      <c r="E140" s="273" t="s">
        <v>23</v>
      </c>
      <c r="F140" s="273" t="s">
        <v>23</v>
      </c>
      <c r="G140" s="273">
        <v>1.2815000000000001</v>
      </c>
      <c r="H140" s="273"/>
      <c r="I140" s="273"/>
    </row>
    <row r="141" spans="1:9" hidden="1">
      <c r="A141" s="245">
        <v>44081</v>
      </c>
      <c r="B141" s="245">
        <v>44079</v>
      </c>
      <c r="C141" s="273" t="s">
        <v>16</v>
      </c>
      <c r="D141" s="273">
        <v>4</v>
      </c>
      <c r="E141" s="273">
        <v>6.4396000000000004</v>
      </c>
      <c r="F141" s="273">
        <v>6.4791999999999996</v>
      </c>
      <c r="G141" s="273">
        <f t="shared" ref="G141:G169" si="5">F141-E141</f>
        <v>3.9599999999999191E-2</v>
      </c>
      <c r="H141" s="273"/>
      <c r="I141" s="273"/>
    </row>
    <row r="142" spans="1:9" hidden="1">
      <c r="A142" s="245">
        <v>44081</v>
      </c>
      <c r="B142" s="245">
        <v>44079</v>
      </c>
      <c r="C142" s="273" t="s">
        <v>16</v>
      </c>
      <c r="D142" s="273">
        <v>5</v>
      </c>
      <c r="E142" s="273">
        <v>4.7248999999999999</v>
      </c>
      <c r="F142" s="273">
        <v>4.8608000000000002</v>
      </c>
      <c r="G142" s="273">
        <f t="shared" si="5"/>
        <v>0.13590000000000035</v>
      </c>
      <c r="H142" s="273"/>
      <c r="I142" s="273"/>
    </row>
    <row r="143" spans="1:9" hidden="1">
      <c r="A143" s="245">
        <v>44081</v>
      </c>
      <c r="B143" s="245">
        <v>44079</v>
      </c>
      <c r="C143" s="273" t="s">
        <v>16</v>
      </c>
      <c r="D143" s="273">
        <v>9</v>
      </c>
      <c r="E143" s="273">
        <v>6.2312000000000003</v>
      </c>
      <c r="F143" s="273">
        <v>6.2535999999999996</v>
      </c>
      <c r="G143" s="273">
        <f t="shared" si="5"/>
        <v>2.2399999999999309E-2</v>
      </c>
      <c r="H143" s="273"/>
      <c r="I143" s="273"/>
    </row>
    <row r="144" spans="1:9" hidden="1">
      <c r="A144" s="245">
        <v>44081</v>
      </c>
      <c r="B144" s="245">
        <v>44079</v>
      </c>
      <c r="C144" s="273" t="s">
        <v>16</v>
      </c>
      <c r="D144" s="273">
        <v>10</v>
      </c>
      <c r="E144" s="273">
        <v>5.5887000000000002</v>
      </c>
      <c r="F144" s="273">
        <v>5.7359</v>
      </c>
      <c r="G144" s="273">
        <f t="shared" si="5"/>
        <v>0.14719999999999978</v>
      </c>
      <c r="H144" s="273"/>
      <c r="I144" s="273"/>
    </row>
    <row r="145" spans="1:11" hidden="1">
      <c r="A145" s="245">
        <v>44081</v>
      </c>
      <c r="B145" s="245">
        <v>44079</v>
      </c>
      <c r="C145" s="273" t="s">
        <v>16</v>
      </c>
      <c r="D145" s="273">
        <v>11</v>
      </c>
      <c r="E145" s="273">
        <v>6.0679999999999996</v>
      </c>
      <c r="F145" s="273">
        <v>6.2530999999999999</v>
      </c>
      <c r="G145" s="273">
        <f t="shared" si="5"/>
        <v>0.18510000000000026</v>
      </c>
      <c r="H145" s="273"/>
      <c r="I145" s="273"/>
      <c r="J145" s="273"/>
      <c r="K145" s="273"/>
    </row>
    <row r="146" spans="1:11" hidden="1">
      <c r="A146" s="245">
        <v>44081</v>
      </c>
      <c r="B146" s="245">
        <v>44079</v>
      </c>
      <c r="C146" s="273" t="s">
        <v>16</v>
      </c>
      <c r="D146" s="273">
        <v>12</v>
      </c>
      <c r="E146" s="273">
        <v>6.0921000000000003</v>
      </c>
      <c r="F146" s="273">
        <v>6.6014999999999997</v>
      </c>
      <c r="G146" s="273">
        <f t="shared" si="5"/>
        <v>0.50939999999999941</v>
      </c>
      <c r="H146" s="273"/>
      <c r="I146" s="273"/>
      <c r="J146" s="273"/>
      <c r="K146" s="273"/>
    </row>
    <row r="147" spans="1:11" hidden="1">
      <c r="A147" s="245">
        <v>44081</v>
      </c>
      <c r="B147" s="245">
        <v>44079</v>
      </c>
      <c r="C147" s="273" t="s">
        <v>16</v>
      </c>
      <c r="D147" s="273">
        <v>14</v>
      </c>
      <c r="E147" s="273">
        <v>5.86</v>
      </c>
      <c r="F147" s="273">
        <v>6.5331000000000001</v>
      </c>
      <c r="G147" s="273">
        <f t="shared" si="5"/>
        <v>0.67309999999999981</v>
      </c>
      <c r="H147" s="273"/>
      <c r="I147" s="273"/>
      <c r="J147" s="273"/>
      <c r="K147" s="273"/>
    </row>
    <row r="148" spans="1:11" hidden="1">
      <c r="A148" s="245">
        <v>44081</v>
      </c>
      <c r="B148" s="245">
        <v>44079</v>
      </c>
      <c r="C148" s="273" t="s">
        <v>16</v>
      </c>
      <c r="D148" s="273">
        <v>15</v>
      </c>
      <c r="E148" s="273">
        <v>6.2446000000000002</v>
      </c>
      <c r="F148" s="273">
        <v>6.5198</v>
      </c>
      <c r="G148" s="273">
        <f t="shared" si="5"/>
        <v>0.27519999999999989</v>
      </c>
      <c r="H148" s="273"/>
      <c r="I148" s="273"/>
      <c r="J148" s="273"/>
      <c r="K148" s="273"/>
    </row>
    <row r="149" spans="1:11" hidden="1">
      <c r="A149" s="245">
        <v>44083</v>
      </c>
      <c r="B149" s="245">
        <v>44085</v>
      </c>
      <c r="C149" s="273" t="s">
        <v>8</v>
      </c>
      <c r="D149" s="273">
        <v>5</v>
      </c>
      <c r="E149" s="273">
        <v>6.02</v>
      </c>
      <c r="F149" s="273">
        <v>6.0846999999999998</v>
      </c>
      <c r="G149" s="273">
        <f t="shared" si="5"/>
        <v>6.4700000000000202E-2</v>
      </c>
      <c r="H149" s="273"/>
      <c r="I149" s="273"/>
      <c r="J149" s="273"/>
      <c r="K149" s="273"/>
    </row>
    <row r="150" spans="1:11" hidden="1">
      <c r="A150" s="245">
        <v>44083</v>
      </c>
      <c r="B150" s="245">
        <v>44085</v>
      </c>
      <c r="C150" s="273" t="s">
        <v>19</v>
      </c>
      <c r="D150" s="273" t="s">
        <v>23</v>
      </c>
      <c r="E150" s="273">
        <v>6.8269000000000002</v>
      </c>
      <c r="F150" s="273">
        <v>6.9732000000000003</v>
      </c>
      <c r="G150" s="273">
        <f t="shared" si="5"/>
        <v>0.1463000000000001</v>
      </c>
      <c r="H150" s="273"/>
      <c r="I150" s="273"/>
      <c r="J150" s="273"/>
      <c r="K150" s="273"/>
    </row>
    <row r="151" spans="1:11" hidden="1">
      <c r="A151" s="245">
        <v>44083</v>
      </c>
      <c r="B151" s="245">
        <v>44085</v>
      </c>
      <c r="C151" s="273" t="s">
        <v>19</v>
      </c>
      <c r="D151" s="273">
        <v>2</v>
      </c>
      <c r="E151" s="273">
        <v>7.2141999999999999</v>
      </c>
      <c r="F151" s="273">
        <v>7.5731999999999999</v>
      </c>
      <c r="G151" s="273">
        <f t="shared" si="5"/>
        <v>0.35899999999999999</v>
      </c>
      <c r="H151" s="273"/>
      <c r="I151" s="273"/>
      <c r="J151" s="273"/>
      <c r="K151" s="273"/>
    </row>
    <row r="152" spans="1:11" hidden="1">
      <c r="A152" s="245">
        <v>44083</v>
      </c>
      <c r="B152" s="245">
        <v>44085</v>
      </c>
      <c r="C152" s="273" t="s">
        <v>19</v>
      </c>
      <c r="D152" s="273">
        <v>3</v>
      </c>
      <c r="E152" s="273">
        <v>6.6285999999999996</v>
      </c>
      <c r="F152" s="273">
        <v>7.0797999999999996</v>
      </c>
      <c r="G152" s="273">
        <f t="shared" si="5"/>
        <v>0.45120000000000005</v>
      </c>
      <c r="H152" s="273"/>
      <c r="I152" s="273"/>
      <c r="J152" s="273"/>
      <c r="K152" s="273"/>
    </row>
    <row r="153" spans="1:11" s="88" customFormat="1" hidden="1">
      <c r="A153" s="246">
        <v>44083</v>
      </c>
      <c r="B153" s="246">
        <v>44085</v>
      </c>
      <c r="C153" s="105" t="s">
        <v>11</v>
      </c>
      <c r="D153" s="105" t="s">
        <v>23</v>
      </c>
      <c r="E153" s="105">
        <v>7.9009999999999998</v>
      </c>
      <c r="F153" s="105">
        <v>10.9374</v>
      </c>
      <c r="G153" s="105">
        <f t="shared" si="5"/>
        <v>3.0364000000000004</v>
      </c>
      <c r="H153" s="105"/>
      <c r="I153" s="105"/>
      <c r="J153" s="105"/>
      <c r="K153" s="105"/>
    </row>
    <row r="154" spans="1:11" s="88" customFormat="1" hidden="1">
      <c r="A154" s="246">
        <v>44083</v>
      </c>
      <c r="B154" s="246">
        <v>44085</v>
      </c>
      <c r="C154" s="105" t="s">
        <v>11</v>
      </c>
      <c r="D154" s="105">
        <v>5</v>
      </c>
      <c r="E154" s="105">
        <v>6.6467000000000001</v>
      </c>
      <c r="F154" s="105">
        <v>6.6868999999999996</v>
      </c>
      <c r="G154" s="105">
        <f t="shared" si="5"/>
        <v>4.0199999999999569E-2</v>
      </c>
      <c r="H154" s="105"/>
      <c r="I154" s="105"/>
      <c r="J154" s="105"/>
      <c r="K154" s="105"/>
    </row>
    <row r="155" spans="1:11" s="88" customFormat="1" hidden="1">
      <c r="A155" s="246">
        <v>44083</v>
      </c>
      <c r="B155" s="246">
        <v>44085</v>
      </c>
      <c r="C155" s="105" t="s">
        <v>11</v>
      </c>
      <c r="D155" s="105">
        <v>6</v>
      </c>
      <c r="E155" s="105">
        <v>5.7744</v>
      </c>
      <c r="F155" s="105">
        <v>5.8708</v>
      </c>
      <c r="G155" s="105">
        <f t="shared" si="5"/>
        <v>9.6400000000000041E-2</v>
      </c>
      <c r="H155" s="105"/>
      <c r="I155" s="105"/>
      <c r="J155" s="105"/>
      <c r="K155" s="105"/>
    </row>
    <row r="156" spans="1:11" s="88" customFormat="1" hidden="1">
      <c r="A156" s="246">
        <v>44083</v>
      </c>
      <c r="B156" s="246">
        <v>44085</v>
      </c>
      <c r="C156" s="105" t="s">
        <v>11</v>
      </c>
      <c r="D156" s="105">
        <v>8</v>
      </c>
      <c r="E156" s="105">
        <v>7.8888999999999996</v>
      </c>
      <c r="F156" s="105">
        <v>8.4122000000000003</v>
      </c>
      <c r="G156" s="105">
        <f t="shared" si="5"/>
        <v>0.52330000000000076</v>
      </c>
      <c r="H156" s="105"/>
      <c r="I156" s="105"/>
      <c r="J156" s="105"/>
      <c r="K156" s="105"/>
    </row>
    <row r="157" spans="1:11" s="88" customFormat="1" hidden="1">
      <c r="A157" s="246">
        <v>44083</v>
      </c>
      <c r="B157" s="246">
        <v>44085</v>
      </c>
      <c r="C157" s="105" t="s">
        <v>11</v>
      </c>
      <c r="D157" s="105">
        <v>9</v>
      </c>
      <c r="E157" s="105">
        <v>5.3019999999999996</v>
      </c>
      <c r="F157" s="105">
        <v>5.4741999999999997</v>
      </c>
      <c r="G157" s="105">
        <f t="shared" si="5"/>
        <v>0.17220000000000013</v>
      </c>
      <c r="H157" s="105"/>
      <c r="I157" s="105"/>
      <c r="J157" s="105"/>
      <c r="K157" s="105"/>
    </row>
    <row r="158" spans="1:11" s="88" customFormat="1" hidden="1">
      <c r="A158" s="246">
        <v>44083</v>
      </c>
      <c r="B158" s="246">
        <v>44085</v>
      </c>
      <c r="C158" s="105" t="s">
        <v>11</v>
      </c>
      <c r="D158" s="105">
        <v>10</v>
      </c>
      <c r="E158" s="105">
        <v>7.6580000000000004</v>
      </c>
      <c r="F158" s="105">
        <v>8.4160000000000004</v>
      </c>
      <c r="G158" s="105">
        <f t="shared" si="5"/>
        <v>0.75800000000000001</v>
      </c>
      <c r="H158" s="105"/>
      <c r="I158" s="105"/>
      <c r="J158" s="105"/>
      <c r="K158" s="105"/>
    </row>
    <row r="159" spans="1:11" s="88" customFormat="1" hidden="1">
      <c r="A159" s="246">
        <v>44083</v>
      </c>
      <c r="B159" s="246">
        <v>44085</v>
      </c>
      <c r="C159" s="105" t="s">
        <v>11</v>
      </c>
      <c r="D159" s="105">
        <v>11</v>
      </c>
      <c r="E159" s="105">
        <v>5.7694999999999999</v>
      </c>
      <c r="F159" s="105">
        <v>5.9722</v>
      </c>
      <c r="G159" s="105">
        <f t="shared" si="5"/>
        <v>0.2027000000000001</v>
      </c>
      <c r="H159" s="105"/>
      <c r="I159" s="105"/>
      <c r="J159" s="105"/>
      <c r="K159" s="105"/>
    </row>
    <row r="160" spans="1:11" s="88" customFormat="1" hidden="1">
      <c r="A160" s="246">
        <v>44083</v>
      </c>
      <c r="B160" s="246">
        <v>44085</v>
      </c>
      <c r="C160" s="105" t="s">
        <v>11</v>
      </c>
      <c r="D160" s="105">
        <v>12</v>
      </c>
      <c r="E160" s="105">
        <v>7.3834999999999997</v>
      </c>
      <c r="F160" s="105">
        <v>7.4701000000000004</v>
      </c>
      <c r="G160" s="105">
        <f t="shared" si="5"/>
        <v>8.6600000000000676E-2</v>
      </c>
      <c r="H160" s="105"/>
      <c r="I160" s="105"/>
      <c r="J160" s="105"/>
      <c r="K160" s="105"/>
    </row>
    <row r="161" spans="1:11" s="88" customFormat="1" hidden="1">
      <c r="A161" s="246">
        <v>44083</v>
      </c>
      <c r="B161" s="246">
        <v>44085</v>
      </c>
      <c r="C161" s="105" t="s">
        <v>11</v>
      </c>
      <c r="D161" s="105">
        <v>13</v>
      </c>
      <c r="E161" s="105">
        <v>6.8310000000000004</v>
      </c>
      <c r="F161" s="105">
        <v>7.1867000000000001</v>
      </c>
      <c r="G161" s="105">
        <f t="shared" si="5"/>
        <v>0.35569999999999968</v>
      </c>
      <c r="H161" s="105"/>
      <c r="I161" s="105"/>
      <c r="J161" s="105"/>
      <c r="K161" s="105"/>
    </row>
    <row r="162" spans="1:11" s="88" customFormat="1" hidden="1">
      <c r="A162" s="246">
        <v>44083</v>
      </c>
      <c r="B162" s="246">
        <v>44085</v>
      </c>
      <c r="C162" s="105" t="s">
        <v>11</v>
      </c>
      <c r="D162" s="105">
        <v>21</v>
      </c>
      <c r="E162" s="105">
        <v>8.1562999999999999</v>
      </c>
      <c r="F162" s="105">
        <v>9.3382000000000005</v>
      </c>
      <c r="G162" s="105">
        <f t="shared" si="5"/>
        <v>1.1819000000000006</v>
      </c>
      <c r="H162" s="105"/>
      <c r="I162" s="105"/>
      <c r="J162" s="105"/>
      <c r="K162" s="105"/>
    </row>
    <row r="163" spans="1:11" hidden="1">
      <c r="A163" s="245">
        <v>44083</v>
      </c>
      <c r="B163" s="245">
        <v>44085</v>
      </c>
      <c r="C163" s="273" t="s">
        <v>16</v>
      </c>
      <c r="D163" s="273">
        <v>12</v>
      </c>
      <c r="E163" s="273">
        <v>7.3320999999999996</v>
      </c>
      <c r="F163" s="273">
        <v>7.8601000000000001</v>
      </c>
      <c r="G163" s="273">
        <f t="shared" si="5"/>
        <v>0.52800000000000047</v>
      </c>
      <c r="H163" s="273"/>
      <c r="I163" s="273"/>
      <c r="J163" s="273"/>
      <c r="K163" s="273"/>
    </row>
    <row r="164" spans="1:11" hidden="1">
      <c r="A164" s="245">
        <v>44083</v>
      </c>
      <c r="B164" s="245">
        <v>44085</v>
      </c>
      <c r="C164" s="273" t="s">
        <v>16</v>
      </c>
      <c r="D164" s="273">
        <v>13</v>
      </c>
      <c r="E164" s="273">
        <v>7.6561000000000003</v>
      </c>
      <c r="F164" s="273">
        <v>8.3386999999999993</v>
      </c>
      <c r="G164" s="273">
        <f t="shared" si="5"/>
        <v>0.68259999999999899</v>
      </c>
      <c r="H164" s="273"/>
      <c r="I164" s="273"/>
      <c r="J164" s="273"/>
      <c r="K164" s="273"/>
    </row>
    <row r="165" spans="1:11" hidden="1">
      <c r="A165" s="245">
        <v>44083</v>
      </c>
      <c r="B165" s="245">
        <v>44085</v>
      </c>
      <c r="C165" s="273" t="s">
        <v>16</v>
      </c>
      <c r="D165" s="273">
        <v>16</v>
      </c>
      <c r="E165" s="273">
        <v>7.0190000000000001</v>
      </c>
      <c r="F165" s="273">
        <v>7.4359000000000002</v>
      </c>
      <c r="G165" s="273">
        <f t="shared" si="5"/>
        <v>0.41690000000000005</v>
      </c>
      <c r="H165" s="273"/>
      <c r="I165" s="273"/>
      <c r="J165" s="273"/>
      <c r="K165" s="273"/>
    </row>
    <row r="166" spans="1:11" hidden="1">
      <c r="A166" s="245">
        <v>44083</v>
      </c>
      <c r="B166" s="245">
        <v>44085</v>
      </c>
      <c r="C166" s="273" t="s">
        <v>16</v>
      </c>
      <c r="D166" s="273">
        <v>17</v>
      </c>
      <c r="E166" s="273">
        <v>6.5552999999999999</v>
      </c>
      <c r="F166" s="273">
        <v>7.3217999999999996</v>
      </c>
      <c r="G166" s="273">
        <f t="shared" si="5"/>
        <v>0.76649999999999974</v>
      </c>
      <c r="H166" s="273"/>
      <c r="I166" s="273"/>
      <c r="J166" s="273"/>
      <c r="K166" s="273"/>
    </row>
    <row r="167" spans="1:11" hidden="1">
      <c r="A167" s="245">
        <v>44083</v>
      </c>
      <c r="B167" s="245">
        <v>44085</v>
      </c>
      <c r="C167" s="273" t="s">
        <v>16</v>
      </c>
      <c r="D167" s="273">
        <v>23</v>
      </c>
      <c r="E167" s="273">
        <v>6.8784000000000001</v>
      </c>
      <c r="F167" s="273">
        <v>8.4090000000000007</v>
      </c>
      <c r="G167" s="273">
        <f t="shared" si="5"/>
        <v>1.5306000000000006</v>
      </c>
      <c r="H167" s="273"/>
      <c r="I167" s="273"/>
      <c r="J167" s="273"/>
      <c r="K167" s="273"/>
    </row>
    <row r="168" spans="1:11" hidden="1">
      <c r="A168" s="245">
        <v>44083</v>
      </c>
      <c r="B168" s="245">
        <v>44085</v>
      </c>
      <c r="C168" s="273" t="s">
        <v>16</v>
      </c>
      <c r="D168" s="273">
        <v>27</v>
      </c>
      <c r="E168" s="273">
        <v>7.1353</v>
      </c>
      <c r="F168" s="273">
        <v>7.77</v>
      </c>
      <c r="G168" s="273">
        <f t="shared" si="5"/>
        <v>0.6346999999999996</v>
      </c>
      <c r="H168" s="273"/>
      <c r="I168" s="273"/>
      <c r="J168" s="273"/>
      <c r="K168" s="273"/>
    </row>
    <row r="169" spans="1:11" hidden="1">
      <c r="A169" s="245">
        <v>44085</v>
      </c>
      <c r="B169" s="245">
        <v>44088</v>
      </c>
      <c r="C169" s="273" t="s">
        <v>11</v>
      </c>
      <c r="D169" s="273">
        <v>21</v>
      </c>
      <c r="E169" s="273">
        <v>6.4391999999999996</v>
      </c>
      <c r="F169" s="273">
        <v>7.6920000000000002</v>
      </c>
      <c r="G169" s="273">
        <f t="shared" si="5"/>
        <v>1.2528000000000006</v>
      </c>
      <c r="H169" s="273"/>
      <c r="I169" s="273"/>
      <c r="J169" s="273"/>
      <c r="K169" s="273"/>
    </row>
    <row r="170" spans="1:11" hidden="1">
      <c r="A170" s="245">
        <v>44085</v>
      </c>
      <c r="B170" s="245">
        <v>44088</v>
      </c>
      <c r="C170" s="273" t="s">
        <v>11</v>
      </c>
      <c r="D170" s="273">
        <v>9</v>
      </c>
      <c r="E170" s="273">
        <v>5.5747</v>
      </c>
      <c r="F170" s="273">
        <v>5.7689000000000004</v>
      </c>
      <c r="G170" s="273">
        <f t="shared" ref="G170:G233" si="6">F170-E170</f>
        <v>0.19420000000000037</v>
      </c>
      <c r="H170" s="273"/>
      <c r="I170" s="273"/>
      <c r="J170" s="273"/>
      <c r="K170" s="273"/>
    </row>
    <row r="171" spans="1:11" hidden="1">
      <c r="A171" s="245">
        <v>44085</v>
      </c>
      <c r="B171" s="245">
        <v>44088</v>
      </c>
      <c r="C171" s="273" t="s">
        <v>11</v>
      </c>
      <c r="D171" s="273">
        <v>13</v>
      </c>
      <c r="E171" s="273">
        <v>8.1684999999999999</v>
      </c>
      <c r="F171" s="273">
        <v>9.1540999999999997</v>
      </c>
      <c r="G171" s="273">
        <f t="shared" si="6"/>
        <v>0.98559999999999981</v>
      </c>
      <c r="H171" s="273"/>
      <c r="I171" s="273"/>
      <c r="J171" s="273"/>
      <c r="K171" s="273"/>
    </row>
    <row r="172" spans="1:11" hidden="1">
      <c r="A172" s="245">
        <v>44085</v>
      </c>
      <c r="B172" s="245">
        <v>44088</v>
      </c>
      <c r="C172" s="273" t="s">
        <v>11</v>
      </c>
      <c r="D172" s="273">
        <v>12</v>
      </c>
      <c r="E172" s="273">
        <v>6.5781999999999998</v>
      </c>
      <c r="F172" s="273">
        <v>6.7514000000000003</v>
      </c>
      <c r="G172" s="273">
        <f t="shared" si="6"/>
        <v>0.17320000000000046</v>
      </c>
      <c r="H172" s="273"/>
      <c r="I172" s="273"/>
      <c r="J172" s="273"/>
      <c r="K172" s="273"/>
    </row>
    <row r="173" spans="1:11" hidden="1">
      <c r="A173" s="245">
        <v>44085</v>
      </c>
      <c r="B173" s="245">
        <v>44088</v>
      </c>
      <c r="C173" s="273" t="s">
        <v>11</v>
      </c>
      <c r="D173" s="273">
        <v>10</v>
      </c>
      <c r="E173" s="273">
        <v>7.1497000000000002</v>
      </c>
      <c r="F173" s="273">
        <v>8.4149999999999991</v>
      </c>
      <c r="G173" s="273">
        <f t="shared" si="6"/>
        <v>1.265299999999999</v>
      </c>
      <c r="H173" s="273"/>
      <c r="I173" s="273"/>
      <c r="J173" s="273"/>
      <c r="K173" s="273"/>
    </row>
    <row r="174" spans="1:11" hidden="1">
      <c r="A174" s="245">
        <v>44085</v>
      </c>
      <c r="B174" s="245">
        <v>44088</v>
      </c>
      <c r="C174" s="273" t="s">
        <v>11</v>
      </c>
      <c r="D174" s="273">
        <v>18</v>
      </c>
      <c r="E174" s="273">
        <v>6.4947999999999997</v>
      </c>
      <c r="F174" s="273">
        <v>7.0739999999999998</v>
      </c>
      <c r="G174" s="273">
        <f t="shared" si="6"/>
        <v>0.57920000000000016</v>
      </c>
      <c r="H174" s="273"/>
      <c r="I174" s="273"/>
      <c r="J174" s="273"/>
      <c r="K174" s="273"/>
    </row>
    <row r="175" spans="1:11" hidden="1">
      <c r="A175" s="245">
        <v>44085</v>
      </c>
      <c r="B175" s="245">
        <v>44088</v>
      </c>
      <c r="C175" s="273" t="s">
        <v>11</v>
      </c>
      <c r="D175" s="273">
        <v>11</v>
      </c>
      <c r="E175" s="273">
        <v>7.4770000000000003</v>
      </c>
      <c r="F175" s="273">
        <v>7.9450000000000003</v>
      </c>
      <c r="G175" s="273">
        <f t="shared" si="6"/>
        <v>0.46799999999999997</v>
      </c>
      <c r="H175" s="273"/>
      <c r="I175" s="273"/>
      <c r="J175" s="273"/>
      <c r="K175" s="273"/>
    </row>
    <row r="176" spans="1:11" hidden="1">
      <c r="A176" s="245">
        <v>44085</v>
      </c>
      <c r="B176" s="245">
        <v>44088</v>
      </c>
      <c r="C176" s="273" t="s">
        <v>19</v>
      </c>
      <c r="D176" s="273">
        <v>2</v>
      </c>
      <c r="E176" s="273">
        <v>6.4382999999999999</v>
      </c>
      <c r="F176" s="273">
        <v>6.6035000000000004</v>
      </c>
      <c r="G176" s="273">
        <f t="shared" si="6"/>
        <v>0.16520000000000046</v>
      </c>
      <c r="H176" s="273"/>
      <c r="I176" s="273"/>
      <c r="J176" s="273"/>
      <c r="K176" s="273"/>
    </row>
    <row r="177" spans="1:13" hidden="1">
      <c r="A177" s="245">
        <v>44085</v>
      </c>
      <c r="B177" s="245">
        <v>44088</v>
      </c>
      <c r="C177" s="273" t="s">
        <v>19</v>
      </c>
      <c r="D177" s="273">
        <v>3</v>
      </c>
      <c r="E177" s="273">
        <v>7.5730000000000004</v>
      </c>
      <c r="F177" s="273">
        <v>7.9015000000000004</v>
      </c>
      <c r="G177" s="273">
        <f t="shared" si="6"/>
        <v>0.32850000000000001</v>
      </c>
      <c r="H177" s="273"/>
      <c r="I177" s="273"/>
      <c r="J177" s="273"/>
      <c r="K177" s="273"/>
      <c r="L177" s="273"/>
      <c r="M177" s="273"/>
    </row>
    <row r="178" spans="1:13" hidden="1">
      <c r="A178" s="245">
        <v>44085</v>
      </c>
      <c r="B178" s="245">
        <v>44088</v>
      </c>
      <c r="C178" s="273" t="s">
        <v>24</v>
      </c>
      <c r="D178" s="273">
        <v>1</v>
      </c>
      <c r="E178" s="273">
        <v>7.5537999999999998</v>
      </c>
      <c r="F178" s="273">
        <v>8.9268000000000001</v>
      </c>
      <c r="G178" s="273">
        <f t="shared" si="6"/>
        <v>1.3730000000000002</v>
      </c>
      <c r="H178" s="273"/>
      <c r="I178" s="273"/>
      <c r="J178" s="273"/>
      <c r="K178" s="273"/>
      <c r="L178" s="273"/>
      <c r="M178" s="273"/>
    </row>
    <row r="179" spans="1:13" hidden="1">
      <c r="A179" s="245">
        <v>44085</v>
      </c>
      <c r="B179" s="245">
        <v>44088</v>
      </c>
      <c r="C179" s="273" t="s">
        <v>8</v>
      </c>
      <c r="D179" s="273">
        <v>3</v>
      </c>
      <c r="E179" s="273">
        <v>6.4942000000000002</v>
      </c>
      <c r="F179" s="273">
        <v>6.9980000000000002</v>
      </c>
      <c r="G179" s="273">
        <f t="shared" si="6"/>
        <v>0.50380000000000003</v>
      </c>
      <c r="H179" s="273"/>
      <c r="I179" s="273"/>
      <c r="J179" s="273"/>
      <c r="K179" s="273"/>
      <c r="L179" s="273"/>
      <c r="M179" s="273"/>
    </row>
    <row r="180" spans="1:13" hidden="1">
      <c r="A180" s="245">
        <v>44085</v>
      </c>
      <c r="B180" s="245">
        <v>44088</v>
      </c>
      <c r="C180" s="273" t="s">
        <v>8</v>
      </c>
      <c r="D180" s="273">
        <v>2</v>
      </c>
      <c r="E180" s="273">
        <v>7.1825999999999999</v>
      </c>
      <c r="F180" s="273">
        <v>8.2007999999999992</v>
      </c>
      <c r="G180" s="273">
        <f t="shared" si="6"/>
        <v>1.0181999999999993</v>
      </c>
      <c r="H180" s="273"/>
      <c r="I180" s="273"/>
      <c r="J180" s="273"/>
      <c r="K180" s="273"/>
      <c r="L180" s="273"/>
      <c r="M180" s="273"/>
    </row>
    <row r="181" spans="1:13" hidden="1">
      <c r="A181" s="245">
        <v>44085</v>
      </c>
      <c r="B181" s="245">
        <v>44088</v>
      </c>
      <c r="C181" s="273" t="s">
        <v>8</v>
      </c>
      <c r="D181" s="273">
        <v>1</v>
      </c>
      <c r="E181" s="273">
        <v>7.5284000000000004</v>
      </c>
      <c r="F181" s="273">
        <v>8.0457000000000001</v>
      </c>
      <c r="G181" s="273">
        <f t="shared" si="6"/>
        <v>0.51729999999999965</v>
      </c>
      <c r="H181" s="273"/>
      <c r="I181" s="273"/>
      <c r="J181" s="273"/>
      <c r="K181" s="273"/>
      <c r="L181" s="273"/>
      <c r="M181" s="273"/>
    </row>
    <row r="182" spans="1:13" hidden="1">
      <c r="A182" s="245">
        <v>44085</v>
      </c>
      <c r="B182" s="245">
        <v>44088</v>
      </c>
      <c r="C182" s="273" t="s">
        <v>8</v>
      </c>
      <c r="D182" s="273">
        <v>5</v>
      </c>
      <c r="E182" s="273">
        <v>7.0708000000000002</v>
      </c>
      <c r="F182" s="273">
        <v>7.2298999999999998</v>
      </c>
      <c r="G182" s="273">
        <f t="shared" si="6"/>
        <v>0.15909999999999958</v>
      </c>
      <c r="H182" s="273"/>
      <c r="I182" s="273"/>
      <c r="J182" s="273"/>
      <c r="K182" s="273"/>
      <c r="L182" s="273"/>
      <c r="M182" s="273"/>
    </row>
    <row r="183" spans="1:13" hidden="1">
      <c r="A183" s="245">
        <v>44085</v>
      </c>
      <c r="B183" s="245">
        <v>44088</v>
      </c>
      <c r="C183" s="273" t="s">
        <v>8</v>
      </c>
      <c r="D183" s="273">
        <v>10</v>
      </c>
      <c r="E183" s="273">
        <v>7.4360999999999997</v>
      </c>
      <c r="F183" s="273">
        <v>9.0946999999999996</v>
      </c>
      <c r="G183" s="273">
        <f t="shared" si="6"/>
        <v>1.6585999999999999</v>
      </c>
      <c r="H183" s="273"/>
      <c r="I183" s="273"/>
      <c r="J183" s="273"/>
      <c r="K183" s="273"/>
      <c r="L183" s="273"/>
      <c r="M183" s="273"/>
    </row>
    <row r="184" spans="1:13" hidden="1">
      <c r="A184" s="245">
        <v>44085</v>
      </c>
      <c r="B184" s="245">
        <v>44088</v>
      </c>
      <c r="C184" s="273" t="s">
        <v>16</v>
      </c>
      <c r="D184" s="273">
        <v>15</v>
      </c>
      <c r="E184" s="273">
        <v>7.1535000000000002</v>
      </c>
      <c r="F184" s="273">
        <v>7.3681000000000001</v>
      </c>
      <c r="G184" s="273">
        <f t="shared" si="6"/>
        <v>0.2145999999999999</v>
      </c>
      <c r="H184" s="273"/>
      <c r="I184" s="273"/>
      <c r="J184" s="273"/>
      <c r="K184" s="273"/>
      <c r="L184" s="273"/>
      <c r="M184" s="273"/>
    </row>
    <row r="185" spans="1:13" hidden="1">
      <c r="A185" s="245">
        <v>44085</v>
      </c>
      <c r="B185" s="245">
        <v>44088</v>
      </c>
      <c r="C185" s="273" t="s">
        <v>16</v>
      </c>
      <c r="D185" s="273">
        <v>12</v>
      </c>
      <c r="E185" s="273">
        <v>7.1295999999999999</v>
      </c>
      <c r="F185" s="273">
        <v>7.3944999999999999</v>
      </c>
      <c r="G185" s="273">
        <f t="shared" si="6"/>
        <v>0.26489999999999991</v>
      </c>
      <c r="H185" s="273"/>
      <c r="I185" s="273"/>
      <c r="J185" s="273"/>
      <c r="K185" s="273"/>
      <c r="L185" s="273"/>
      <c r="M185" s="273"/>
    </row>
    <row r="186" spans="1:13" hidden="1">
      <c r="A186" s="245">
        <v>44085</v>
      </c>
      <c r="B186" s="245">
        <v>44088</v>
      </c>
      <c r="C186" s="273" t="s">
        <v>16</v>
      </c>
      <c r="D186" s="273">
        <v>23</v>
      </c>
      <c r="E186" s="273">
        <v>7.3943000000000003</v>
      </c>
      <c r="F186" s="273">
        <v>8.3160000000000007</v>
      </c>
      <c r="G186" s="273">
        <f t="shared" si="6"/>
        <v>0.92170000000000041</v>
      </c>
      <c r="H186" s="273"/>
      <c r="I186" s="273"/>
      <c r="J186" s="273"/>
      <c r="K186" s="273"/>
      <c r="L186" s="273"/>
      <c r="M186" s="273"/>
    </row>
    <row r="187" spans="1:13" hidden="1">
      <c r="A187" s="245">
        <v>44085</v>
      </c>
      <c r="B187" s="245">
        <v>44088</v>
      </c>
      <c r="C187" s="273" t="s">
        <v>16</v>
      </c>
      <c r="D187" s="273">
        <v>13</v>
      </c>
      <c r="E187" s="273">
        <v>7.8975999999999997</v>
      </c>
      <c r="F187" s="273">
        <v>8.4328000000000003</v>
      </c>
      <c r="G187" s="273">
        <f t="shared" si="6"/>
        <v>0.53520000000000056</v>
      </c>
      <c r="H187" s="273"/>
      <c r="I187" s="273"/>
      <c r="J187" s="273"/>
      <c r="K187" s="273"/>
      <c r="L187" s="273"/>
      <c r="M187" s="273"/>
    </row>
    <row r="188" spans="1:13" hidden="1">
      <c r="A188" s="245">
        <v>44085</v>
      </c>
      <c r="B188" s="245">
        <v>44088</v>
      </c>
      <c r="C188" s="273" t="s">
        <v>16</v>
      </c>
      <c r="D188" s="273">
        <v>27</v>
      </c>
      <c r="E188" s="273">
        <v>8.2714999999999996</v>
      </c>
      <c r="F188" s="273">
        <v>9.1402000000000001</v>
      </c>
      <c r="G188" s="273">
        <f t="shared" si="6"/>
        <v>0.86870000000000047</v>
      </c>
      <c r="H188" s="273"/>
      <c r="I188" s="273"/>
      <c r="J188" s="273"/>
      <c r="K188" s="273"/>
      <c r="L188" s="273"/>
      <c r="M188" s="273"/>
    </row>
    <row r="189" spans="1:13" hidden="1">
      <c r="A189" s="245">
        <v>44085</v>
      </c>
      <c r="B189" s="245">
        <v>44088</v>
      </c>
      <c r="C189" s="273" t="s">
        <v>16</v>
      </c>
      <c r="D189" s="273">
        <v>17</v>
      </c>
      <c r="E189" s="273">
        <v>7.0651000000000002</v>
      </c>
      <c r="F189" s="273">
        <v>7.7727000000000004</v>
      </c>
      <c r="G189" s="273">
        <f t="shared" si="6"/>
        <v>0.70760000000000023</v>
      </c>
      <c r="H189" s="273"/>
      <c r="I189" s="273"/>
      <c r="J189" s="273"/>
      <c r="K189" s="273"/>
      <c r="L189" s="273"/>
      <c r="M189" s="273"/>
    </row>
    <row r="190" spans="1:13" hidden="1">
      <c r="A190" s="245">
        <v>44088</v>
      </c>
      <c r="B190" s="245">
        <v>44090</v>
      </c>
      <c r="C190" s="273" t="s">
        <v>24</v>
      </c>
      <c r="D190" s="273">
        <v>1</v>
      </c>
      <c r="E190" s="273">
        <v>7.1239999999999997</v>
      </c>
      <c r="F190" s="273">
        <v>8.6934000000000005</v>
      </c>
      <c r="G190" s="273">
        <f t="shared" si="6"/>
        <v>1.5694000000000008</v>
      </c>
      <c r="H190" s="273"/>
      <c r="I190" s="273"/>
      <c r="J190" s="273"/>
      <c r="K190" s="273"/>
      <c r="L190" s="273"/>
      <c r="M190" s="273"/>
    </row>
    <row r="191" spans="1:13" hidden="1">
      <c r="A191" s="245">
        <v>44088</v>
      </c>
      <c r="B191" s="245">
        <v>44090</v>
      </c>
      <c r="C191" s="273" t="s">
        <v>24</v>
      </c>
      <c r="D191" s="273">
        <v>2</v>
      </c>
      <c r="E191" s="273">
        <v>6.3977000000000004</v>
      </c>
      <c r="F191" s="273">
        <v>6.5956000000000001</v>
      </c>
      <c r="G191" s="273">
        <f t="shared" si="6"/>
        <v>0.19789999999999974</v>
      </c>
      <c r="H191" s="273"/>
      <c r="I191" s="273"/>
      <c r="J191" s="273"/>
      <c r="K191" s="273"/>
      <c r="L191" s="273"/>
      <c r="M191" s="273"/>
    </row>
    <row r="192" spans="1:13" hidden="1">
      <c r="A192" s="245">
        <v>44088</v>
      </c>
      <c r="B192" s="245">
        <v>44090</v>
      </c>
      <c r="C192" s="273" t="s">
        <v>16</v>
      </c>
      <c r="D192" s="273">
        <v>16</v>
      </c>
      <c r="E192" s="273">
        <v>7.117</v>
      </c>
      <c r="F192" s="273">
        <v>7.3929999999999998</v>
      </c>
      <c r="G192" s="273">
        <f t="shared" si="6"/>
        <v>0.2759999999999998</v>
      </c>
      <c r="H192" s="273"/>
      <c r="I192" s="273"/>
      <c r="J192" s="273"/>
      <c r="K192" s="273"/>
      <c r="L192" s="273"/>
      <c r="M192" s="273"/>
    </row>
    <row r="193" spans="1:13" hidden="1">
      <c r="A193" s="245">
        <v>44088</v>
      </c>
      <c r="B193" s="245">
        <v>44090</v>
      </c>
      <c r="C193" s="273" t="s">
        <v>16</v>
      </c>
      <c r="D193" s="273">
        <v>17</v>
      </c>
      <c r="E193" s="273">
        <v>6.4097</v>
      </c>
      <c r="F193" s="273">
        <v>6.9165000000000001</v>
      </c>
      <c r="G193" s="273">
        <f t="shared" si="6"/>
        <v>0.50680000000000014</v>
      </c>
      <c r="H193" s="273"/>
      <c r="I193" s="273"/>
      <c r="J193" s="273"/>
      <c r="K193" s="273"/>
      <c r="L193" s="273"/>
      <c r="M193" s="273"/>
    </row>
    <row r="194" spans="1:13" hidden="1">
      <c r="A194" s="245">
        <v>44088</v>
      </c>
      <c r="B194" s="245">
        <v>44090</v>
      </c>
      <c r="C194" s="273" t="s">
        <v>16</v>
      </c>
      <c r="D194" s="273">
        <v>27</v>
      </c>
      <c r="E194" s="273">
        <v>7.3886000000000003</v>
      </c>
      <c r="F194" s="273">
        <v>8.0279000000000007</v>
      </c>
      <c r="G194" s="273">
        <f t="shared" si="6"/>
        <v>0.63930000000000042</v>
      </c>
      <c r="H194" s="273"/>
      <c r="I194" s="273"/>
      <c r="J194" s="273"/>
      <c r="K194" s="273"/>
      <c r="L194" s="273"/>
      <c r="M194" s="273"/>
    </row>
    <row r="195" spans="1:13" hidden="1">
      <c r="A195" s="245">
        <v>44088</v>
      </c>
      <c r="B195" s="245">
        <v>44090</v>
      </c>
      <c r="C195" s="273" t="s">
        <v>16</v>
      </c>
      <c r="D195" s="273">
        <v>23</v>
      </c>
      <c r="E195" s="273">
        <v>6.6864999999999997</v>
      </c>
      <c r="F195" s="273">
        <v>6.9969999999999999</v>
      </c>
      <c r="G195" s="273">
        <f t="shared" si="6"/>
        <v>0.31050000000000022</v>
      </c>
      <c r="H195" s="273"/>
      <c r="I195" s="273"/>
      <c r="J195" s="273"/>
      <c r="K195" s="273"/>
      <c r="L195" s="273"/>
      <c r="M195" s="273"/>
    </row>
    <row r="196" spans="1:13" hidden="1">
      <c r="A196" s="245">
        <v>44088</v>
      </c>
      <c r="B196" s="245">
        <v>44090</v>
      </c>
      <c r="C196" s="273" t="s">
        <v>16</v>
      </c>
      <c r="D196" s="273">
        <v>14</v>
      </c>
      <c r="E196" s="273">
        <v>6.6821000000000002</v>
      </c>
      <c r="F196" s="273">
        <v>6.8023999999999996</v>
      </c>
      <c r="G196" s="273">
        <f t="shared" si="6"/>
        <v>0.12029999999999941</v>
      </c>
      <c r="H196" s="273"/>
      <c r="I196" s="273"/>
      <c r="J196" s="273"/>
      <c r="K196" s="273"/>
      <c r="L196" s="273"/>
      <c r="M196" s="273"/>
    </row>
    <row r="197" spans="1:13" hidden="1">
      <c r="A197" s="245">
        <v>44088</v>
      </c>
      <c r="B197" s="245">
        <v>44090</v>
      </c>
      <c r="C197" s="273" t="s">
        <v>8</v>
      </c>
      <c r="D197" s="273">
        <v>1</v>
      </c>
      <c r="E197" s="273">
        <v>6.9367000000000001</v>
      </c>
      <c r="F197" s="273">
        <v>7.0949999999999998</v>
      </c>
      <c r="G197" s="273">
        <f t="shared" si="6"/>
        <v>0.15829999999999966</v>
      </c>
      <c r="H197" s="273"/>
      <c r="I197" s="273"/>
      <c r="J197" s="273"/>
      <c r="K197" s="273"/>
      <c r="L197" s="273"/>
      <c r="M197" s="273"/>
    </row>
    <row r="198" spans="1:13" hidden="1">
      <c r="A198" s="245">
        <v>44088</v>
      </c>
      <c r="B198" s="245">
        <v>44090</v>
      </c>
      <c r="C198" s="273" t="s">
        <v>8</v>
      </c>
      <c r="D198" s="273">
        <v>2</v>
      </c>
      <c r="E198" s="273">
        <v>6.7179000000000002</v>
      </c>
      <c r="F198" s="273">
        <v>7.5975000000000001</v>
      </c>
      <c r="G198" s="273">
        <f t="shared" si="6"/>
        <v>0.87959999999999994</v>
      </c>
      <c r="H198" s="273"/>
      <c r="I198" s="273"/>
      <c r="J198" s="273"/>
      <c r="K198" s="273"/>
      <c r="L198" s="273"/>
      <c r="M198" s="273"/>
    </row>
    <row r="199" spans="1:13" hidden="1">
      <c r="A199" s="245">
        <v>44088</v>
      </c>
      <c r="B199" s="245">
        <v>44090</v>
      </c>
      <c r="C199" s="273" t="s">
        <v>8</v>
      </c>
      <c r="D199" s="273">
        <v>3</v>
      </c>
      <c r="E199" s="273">
        <v>6.8064999999999998</v>
      </c>
      <c r="F199" s="273">
        <v>7.7469000000000001</v>
      </c>
      <c r="G199" s="273">
        <f t="shared" si="6"/>
        <v>0.94040000000000035</v>
      </c>
      <c r="H199" s="273"/>
      <c r="I199" s="273"/>
      <c r="J199" s="273"/>
      <c r="K199" s="273"/>
      <c r="L199" s="273"/>
      <c r="M199" s="273"/>
    </row>
    <row r="200" spans="1:13" hidden="1">
      <c r="A200" s="245">
        <v>44088</v>
      </c>
      <c r="B200" s="245">
        <v>44090</v>
      </c>
      <c r="C200" s="273" t="s">
        <v>8</v>
      </c>
      <c r="D200" s="273">
        <v>4</v>
      </c>
      <c r="E200" s="273">
        <v>9.7117000000000004</v>
      </c>
      <c r="F200" s="273">
        <v>9.8483000000000001</v>
      </c>
      <c r="G200" s="273">
        <f t="shared" si="6"/>
        <v>0.13659999999999961</v>
      </c>
      <c r="H200" s="273"/>
      <c r="I200" s="273"/>
      <c r="J200" s="273"/>
      <c r="K200" s="273"/>
      <c r="L200" s="273"/>
      <c r="M200" s="273"/>
    </row>
    <row r="201" spans="1:13" hidden="1">
      <c r="A201" s="245">
        <v>44088</v>
      </c>
      <c r="B201" s="245">
        <v>44090</v>
      </c>
      <c r="C201" s="273" t="s">
        <v>8</v>
      </c>
      <c r="D201" s="273">
        <v>5</v>
      </c>
      <c r="E201" s="273">
        <v>6.7430000000000003</v>
      </c>
      <c r="F201" s="273">
        <v>6.7899000000000003</v>
      </c>
      <c r="G201" s="273">
        <f t="shared" si="6"/>
        <v>4.6899999999999942E-2</v>
      </c>
      <c r="H201" s="273"/>
      <c r="I201" s="273"/>
      <c r="J201" s="273"/>
      <c r="K201" s="273"/>
      <c r="L201" s="273"/>
      <c r="M201" s="273"/>
    </row>
    <row r="202" spans="1:13" hidden="1">
      <c r="A202" s="245">
        <v>44088</v>
      </c>
      <c r="B202" s="245">
        <v>44090</v>
      </c>
      <c r="C202" s="273" t="s">
        <v>8</v>
      </c>
      <c r="D202" s="273">
        <v>10</v>
      </c>
      <c r="E202" s="273">
        <v>7.1098999999999997</v>
      </c>
      <c r="F202" s="273">
        <v>8.1957000000000004</v>
      </c>
      <c r="G202" s="273">
        <f t="shared" si="6"/>
        <v>1.0858000000000008</v>
      </c>
      <c r="H202" s="273"/>
      <c r="I202" s="273"/>
      <c r="J202" s="273"/>
      <c r="K202" s="273"/>
      <c r="L202" s="273"/>
      <c r="M202" s="273"/>
    </row>
    <row r="203" spans="1:13" hidden="1">
      <c r="A203" s="245">
        <v>44088</v>
      </c>
      <c r="B203" s="245">
        <v>44090</v>
      </c>
      <c r="C203" s="273" t="s">
        <v>11</v>
      </c>
      <c r="D203" s="273">
        <v>8</v>
      </c>
      <c r="E203" s="273">
        <v>6.6204000000000001</v>
      </c>
      <c r="F203" s="273">
        <v>6.7927999999999997</v>
      </c>
      <c r="G203" s="273">
        <f t="shared" si="6"/>
        <v>0.17239999999999966</v>
      </c>
      <c r="H203" s="273"/>
      <c r="I203" s="273"/>
      <c r="J203" s="273"/>
      <c r="K203" s="273"/>
      <c r="L203" s="273"/>
      <c r="M203" s="273"/>
    </row>
    <row r="204" spans="1:13" hidden="1">
      <c r="A204" s="245">
        <v>44088</v>
      </c>
      <c r="B204" s="245">
        <v>44090</v>
      </c>
      <c r="C204" s="273" t="s">
        <v>11</v>
      </c>
      <c r="D204" s="273">
        <v>13</v>
      </c>
      <c r="E204" s="273">
        <v>6.5019</v>
      </c>
      <c r="F204" s="273">
        <v>6.7733999999999996</v>
      </c>
      <c r="G204" s="273">
        <f t="shared" si="6"/>
        <v>0.27149999999999963</v>
      </c>
      <c r="H204" s="273"/>
      <c r="I204" s="273"/>
      <c r="J204" s="273"/>
      <c r="K204" s="273"/>
      <c r="L204" s="273"/>
      <c r="M204" s="273"/>
    </row>
    <row r="205" spans="1:13" hidden="1">
      <c r="A205" s="245">
        <v>44088</v>
      </c>
      <c r="B205" s="245">
        <v>44090</v>
      </c>
      <c r="C205" s="273" t="s">
        <v>11</v>
      </c>
      <c r="D205" s="273">
        <v>10</v>
      </c>
      <c r="E205" s="273">
        <v>6.9013</v>
      </c>
      <c r="F205" s="273">
        <v>7.9969000000000001</v>
      </c>
      <c r="G205" s="273">
        <f t="shared" si="6"/>
        <v>1.0956000000000001</v>
      </c>
      <c r="H205" s="273"/>
      <c r="I205" s="273"/>
      <c r="J205" s="273"/>
      <c r="K205" s="273"/>
      <c r="L205" s="273"/>
      <c r="M205" s="273"/>
    </row>
    <row r="206" spans="1:13" hidden="1">
      <c r="A206" s="245">
        <v>44088</v>
      </c>
      <c r="B206" s="245">
        <v>44090</v>
      </c>
      <c r="C206" s="273" t="s">
        <v>11</v>
      </c>
      <c r="D206" s="273">
        <v>18</v>
      </c>
      <c r="E206" s="273">
        <v>7.2232000000000003</v>
      </c>
      <c r="F206" s="273">
        <v>7.4924999999999997</v>
      </c>
      <c r="G206" s="273">
        <f t="shared" si="6"/>
        <v>0.26929999999999943</v>
      </c>
      <c r="H206" s="273"/>
      <c r="I206" s="273"/>
      <c r="J206" s="273"/>
      <c r="K206" s="273"/>
      <c r="L206" s="273"/>
      <c r="M206" s="273"/>
    </row>
    <row r="207" spans="1:13" hidden="1">
      <c r="A207" s="245">
        <v>44088</v>
      </c>
      <c r="B207" s="245">
        <v>44090</v>
      </c>
      <c r="C207" s="273" t="s">
        <v>11</v>
      </c>
      <c r="D207" s="273">
        <v>11</v>
      </c>
      <c r="E207" s="273">
        <v>6.5628000000000002</v>
      </c>
      <c r="F207" s="273">
        <v>6.9459</v>
      </c>
      <c r="G207" s="273">
        <f t="shared" si="6"/>
        <v>0.38309999999999977</v>
      </c>
      <c r="H207" s="273"/>
      <c r="I207" s="273"/>
      <c r="J207" s="273"/>
      <c r="K207" s="273"/>
      <c r="L207" s="273"/>
      <c r="M207" s="273"/>
    </row>
    <row r="208" spans="1:13" hidden="1">
      <c r="A208" s="245">
        <v>44088</v>
      </c>
      <c r="B208" s="245">
        <v>44090</v>
      </c>
      <c r="C208" s="273" t="s">
        <v>11</v>
      </c>
      <c r="D208" s="273">
        <v>21</v>
      </c>
      <c r="E208" s="273">
        <v>6.9280999999999997</v>
      </c>
      <c r="F208" s="273">
        <v>7.7803000000000004</v>
      </c>
      <c r="G208" s="273">
        <f t="shared" si="6"/>
        <v>0.85220000000000073</v>
      </c>
      <c r="H208" s="273"/>
      <c r="I208" s="273"/>
      <c r="J208" s="273"/>
      <c r="K208" s="273"/>
      <c r="L208" s="273"/>
      <c r="M208" s="273"/>
    </row>
    <row r="209" spans="1:13" hidden="1">
      <c r="A209" s="245">
        <v>44089</v>
      </c>
      <c r="B209" s="245">
        <v>44092</v>
      </c>
      <c r="C209" s="273" t="s">
        <v>19</v>
      </c>
      <c r="D209" s="273">
        <v>3</v>
      </c>
      <c r="E209" s="273">
        <v>6.7489999999999997</v>
      </c>
      <c r="F209" s="273">
        <v>7.07</v>
      </c>
      <c r="G209" s="273">
        <f t="shared" si="6"/>
        <v>0.32100000000000062</v>
      </c>
      <c r="H209" s="273"/>
      <c r="I209" s="273"/>
      <c r="J209" s="273"/>
      <c r="K209" s="273"/>
      <c r="L209" s="273"/>
      <c r="M209" s="273"/>
    </row>
    <row r="210" spans="1:13" hidden="1">
      <c r="A210" s="245">
        <v>44090</v>
      </c>
      <c r="B210" s="245">
        <v>44092</v>
      </c>
      <c r="C210" s="273" t="s">
        <v>19</v>
      </c>
      <c r="D210" s="273">
        <v>3</v>
      </c>
      <c r="E210" s="273">
        <v>8.3120999999999992</v>
      </c>
      <c r="F210" s="273">
        <v>8.5955999999999992</v>
      </c>
      <c r="G210" s="273">
        <f t="shared" si="6"/>
        <v>0.28350000000000009</v>
      </c>
      <c r="H210" s="273"/>
      <c r="I210" s="273"/>
      <c r="J210" s="273"/>
      <c r="K210" s="273"/>
      <c r="L210" s="273"/>
      <c r="M210" s="273"/>
    </row>
    <row r="211" spans="1:13" hidden="1">
      <c r="A211" s="245">
        <v>44090</v>
      </c>
      <c r="B211" s="245">
        <v>44092</v>
      </c>
      <c r="C211" s="273" t="s">
        <v>24</v>
      </c>
      <c r="D211" s="273">
        <v>2</v>
      </c>
      <c r="E211" s="273">
        <v>8.0836000000000006</v>
      </c>
      <c r="F211" s="273">
        <v>11.8377</v>
      </c>
      <c r="G211" s="273">
        <f t="shared" si="6"/>
        <v>3.7540999999999993</v>
      </c>
      <c r="H211" s="273"/>
      <c r="I211" s="273"/>
      <c r="J211" s="273"/>
      <c r="K211" s="273"/>
      <c r="L211" s="273"/>
      <c r="M211" s="273"/>
    </row>
    <row r="212" spans="1:13" hidden="1">
      <c r="A212" s="245">
        <v>44090</v>
      </c>
      <c r="B212" s="245">
        <v>44092</v>
      </c>
      <c r="C212" s="273" t="s">
        <v>24</v>
      </c>
      <c r="D212" s="273">
        <v>1</v>
      </c>
      <c r="E212" s="273">
        <v>9.1132000000000009</v>
      </c>
      <c r="F212" s="273">
        <v>10.1143</v>
      </c>
      <c r="G212" s="273">
        <f t="shared" si="6"/>
        <v>1.0010999999999992</v>
      </c>
      <c r="H212" s="273"/>
      <c r="I212" s="273"/>
      <c r="J212" s="273"/>
      <c r="K212" s="273"/>
      <c r="L212" s="273"/>
      <c r="M212" s="273"/>
    </row>
    <row r="213" spans="1:13" hidden="1">
      <c r="A213" s="245">
        <v>44090</v>
      </c>
      <c r="B213" s="245">
        <v>44092</v>
      </c>
      <c r="C213" s="273" t="s">
        <v>8</v>
      </c>
      <c r="D213" s="273">
        <v>8</v>
      </c>
      <c r="E213" s="273">
        <v>6.1380999999999997</v>
      </c>
      <c r="F213" s="273">
        <v>6.6368</v>
      </c>
      <c r="G213" s="273">
        <f t="shared" si="6"/>
        <v>0.49870000000000037</v>
      </c>
      <c r="H213" s="273"/>
      <c r="I213" s="273"/>
      <c r="J213" s="273"/>
      <c r="K213" s="273"/>
      <c r="L213" s="273"/>
      <c r="M213" s="273"/>
    </row>
    <row r="214" spans="1:13" hidden="1">
      <c r="A214" s="245">
        <v>44090</v>
      </c>
      <c r="B214" s="245">
        <v>44092</v>
      </c>
      <c r="C214" s="273" t="s">
        <v>8</v>
      </c>
      <c r="D214" s="273">
        <v>3</v>
      </c>
      <c r="E214" s="273">
        <v>8.7670999999999992</v>
      </c>
      <c r="F214" s="273">
        <v>10.116899999999999</v>
      </c>
      <c r="G214" s="273">
        <f t="shared" si="6"/>
        <v>1.3498000000000001</v>
      </c>
      <c r="H214" s="273"/>
      <c r="I214" s="273"/>
      <c r="J214" s="273"/>
      <c r="K214" s="273"/>
      <c r="L214" s="273"/>
      <c r="M214" s="273"/>
    </row>
    <row r="215" spans="1:13" hidden="1">
      <c r="A215" s="245">
        <v>44090</v>
      </c>
      <c r="B215" s="245">
        <v>44092</v>
      </c>
      <c r="C215" s="273" t="s">
        <v>8</v>
      </c>
      <c r="D215" s="273">
        <v>6</v>
      </c>
      <c r="E215" s="273">
        <v>7.9615999999999998</v>
      </c>
      <c r="F215" s="273">
        <v>8.0220000000000002</v>
      </c>
      <c r="G215" s="273">
        <f t="shared" si="6"/>
        <v>6.0400000000000453E-2</v>
      </c>
      <c r="H215" s="273"/>
      <c r="I215" s="273"/>
      <c r="J215" s="273"/>
      <c r="K215" s="273"/>
      <c r="L215" s="273"/>
      <c r="M215" s="273"/>
    </row>
    <row r="216" spans="1:13" hidden="1">
      <c r="A216" s="245">
        <v>44090</v>
      </c>
      <c r="B216" s="245">
        <v>44092</v>
      </c>
      <c r="C216" s="273" t="s">
        <v>8</v>
      </c>
      <c r="D216" s="273">
        <v>9</v>
      </c>
      <c r="E216" s="273">
        <v>6.7769000000000004</v>
      </c>
      <c r="F216" s="273">
        <v>7.1554000000000002</v>
      </c>
      <c r="G216" s="273">
        <f t="shared" si="6"/>
        <v>0.37849999999999984</v>
      </c>
      <c r="H216" s="273"/>
      <c r="I216" s="273"/>
      <c r="J216" s="273"/>
      <c r="K216" s="273"/>
      <c r="L216" s="273"/>
      <c r="M216" s="273"/>
    </row>
    <row r="217" spans="1:13" hidden="1">
      <c r="A217" s="245">
        <v>44090</v>
      </c>
      <c r="B217" s="245">
        <v>44092</v>
      </c>
      <c r="C217" s="273" t="s">
        <v>8</v>
      </c>
      <c r="D217" s="273">
        <v>7</v>
      </c>
      <c r="E217" s="273">
        <v>9.3224999999999998</v>
      </c>
      <c r="F217" s="273">
        <v>9.9565999999999999</v>
      </c>
      <c r="G217" s="273">
        <f t="shared" si="6"/>
        <v>0.63410000000000011</v>
      </c>
      <c r="H217" s="273"/>
      <c r="I217" s="273"/>
      <c r="J217" s="273"/>
      <c r="K217" s="273"/>
      <c r="L217" s="273"/>
      <c r="M217" s="273"/>
    </row>
    <row r="218" spans="1:13" hidden="1">
      <c r="A218" s="245">
        <v>44090</v>
      </c>
      <c r="B218" s="245">
        <v>44092</v>
      </c>
      <c r="C218" s="273" t="s">
        <v>8</v>
      </c>
      <c r="D218" s="273">
        <v>10</v>
      </c>
      <c r="E218" s="273">
        <v>9.8181999999999992</v>
      </c>
      <c r="F218" s="273">
        <v>15.0443</v>
      </c>
      <c r="G218" s="273">
        <f t="shared" si="6"/>
        <v>5.2261000000000006</v>
      </c>
      <c r="H218" s="273"/>
      <c r="I218" s="273"/>
      <c r="J218" s="273"/>
      <c r="K218" s="273"/>
      <c r="L218" s="273"/>
      <c r="M218" s="273"/>
    </row>
    <row r="219" spans="1:13" hidden="1">
      <c r="A219" s="245">
        <v>44090</v>
      </c>
      <c r="B219" s="245">
        <v>44092</v>
      </c>
      <c r="C219" s="273" t="s">
        <v>8</v>
      </c>
      <c r="D219" s="273">
        <v>1</v>
      </c>
      <c r="E219" s="273">
        <v>9.1446000000000005</v>
      </c>
      <c r="F219" s="273">
        <v>9.2230000000000008</v>
      </c>
      <c r="G219" s="273">
        <f t="shared" si="6"/>
        <v>7.8400000000000247E-2</v>
      </c>
      <c r="H219" s="273"/>
      <c r="I219" s="273"/>
      <c r="J219" s="273"/>
      <c r="K219" s="273"/>
      <c r="L219" s="273"/>
      <c r="M219" s="273"/>
    </row>
    <row r="220" spans="1:13" hidden="1">
      <c r="A220" s="245">
        <v>44090</v>
      </c>
      <c r="B220" s="245">
        <v>44092</v>
      </c>
      <c r="C220" s="273" t="s">
        <v>8</v>
      </c>
      <c r="D220" s="273">
        <v>4</v>
      </c>
      <c r="E220" s="273">
        <v>11.359500000000001</v>
      </c>
      <c r="F220" s="273">
        <v>11.6409</v>
      </c>
      <c r="G220" s="273">
        <f t="shared" si="6"/>
        <v>0.28139999999999965</v>
      </c>
      <c r="H220" s="273"/>
      <c r="I220" s="273"/>
      <c r="J220" s="273"/>
      <c r="K220" s="273"/>
      <c r="L220" s="273"/>
      <c r="M220" s="273"/>
    </row>
    <row r="221" spans="1:13" hidden="1">
      <c r="A221" s="245">
        <v>44090</v>
      </c>
      <c r="B221" s="245">
        <v>44092</v>
      </c>
      <c r="C221" s="273" t="s">
        <v>8</v>
      </c>
      <c r="D221" s="273">
        <v>2</v>
      </c>
      <c r="E221" s="273">
        <v>7.8577000000000004</v>
      </c>
      <c r="F221" s="273">
        <v>10.0509</v>
      </c>
      <c r="G221" s="273">
        <f t="shared" si="6"/>
        <v>2.1932</v>
      </c>
      <c r="H221" s="273"/>
      <c r="I221" s="273"/>
      <c r="J221" s="273"/>
      <c r="K221" s="273"/>
      <c r="L221" s="273"/>
      <c r="M221" s="273"/>
    </row>
    <row r="222" spans="1:13" hidden="1">
      <c r="A222" s="245">
        <v>44090</v>
      </c>
      <c r="B222" s="245">
        <v>44092</v>
      </c>
      <c r="C222" s="273" t="s">
        <v>11</v>
      </c>
      <c r="D222" s="273">
        <v>10</v>
      </c>
      <c r="E222" s="273">
        <v>10.950699999999999</v>
      </c>
      <c r="F222" s="273">
        <v>14.531700000000001</v>
      </c>
      <c r="G222" s="273">
        <f t="shared" si="6"/>
        <v>3.5810000000000013</v>
      </c>
      <c r="H222" s="273"/>
      <c r="I222" s="273"/>
      <c r="J222" s="273"/>
      <c r="K222" s="273"/>
      <c r="L222" s="273"/>
      <c r="M222" s="273"/>
    </row>
    <row r="223" spans="1:13" hidden="1">
      <c r="A223" s="245">
        <v>44090</v>
      </c>
      <c r="B223" s="245">
        <v>44092</v>
      </c>
      <c r="C223" s="273" t="s">
        <v>11</v>
      </c>
      <c r="D223" s="273">
        <v>11</v>
      </c>
      <c r="E223" s="273">
        <v>9.1313999999999993</v>
      </c>
      <c r="F223" s="273">
        <v>10.161</v>
      </c>
      <c r="G223" s="273">
        <f t="shared" si="6"/>
        <v>1.0296000000000003</v>
      </c>
      <c r="H223" s="273"/>
      <c r="I223" s="273"/>
      <c r="J223" s="273"/>
      <c r="K223" s="273"/>
      <c r="L223" s="273"/>
      <c r="M223" s="273"/>
    </row>
    <row r="224" spans="1:13" hidden="1">
      <c r="A224" s="245">
        <v>44090</v>
      </c>
      <c r="B224" s="245">
        <v>44092</v>
      </c>
      <c r="C224" s="273" t="s">
        <v>11</v>
      </c>
      <c r="D224" s="273">
        <v>13</v>
      </c>
      <c r="E224" s="273">
        <v>8.9675999999999991</v>
      </c>
      <c r="F224" s="273">
        <v>10.131399999999999</v>
      </c>
      <c r="G224" s="273">
        <f t="shared" si="6"/>
        <v>1.1638000000000002</v>
      </c>
      <c r="H224" s="273"/>
      <c r="I224" s="273"/>
      <c r="J224" s="273"/>
      <c r="K224" s="273"/>
      <c r="L224" s="273"/>
      <c r="M224" s="273"/>
    </row>
    <row r="225" spans="1:13" hidden="1">
      <c r="A225" s="245">
        <v>44090</v>
      </c>
      <c r="B225" s="245">
        <v>44092</v>
      </c>
      <c r="C225" s="273" t="s">
        <v>11</v>
      </c>
      <c r="D225" s="273">
        <v>18</v>
      </c>
      <c r="E225" s="273">
        <v>8.9888999999999992</v>
      </c>
      <c r="F225" s="273">
        <v>9.9098000000000006</v>
      </c>
      <c r="G225" s="273">
        <f t="shared" si="6"/>
        <v>0.92090000000000138</v>
      </c>
      <c r="H225" s="273"/>
      <c r="I225" s="273"/>
      <c r="J225" s="273"/>
      <c r="K225" s="273"/>
      <c r="L225" s="273"/>
      <c r="M225" s="273"/>
    </row>
    <row r="226" spans="1:13" hidden="1">
      <c r="A226" s="245">
        <v>44090</v>
      </c>
      <c r="B226" s="245">
        <v>44092</v>
      </c>
      <c r="C226" s="273" t="s">
        <v>11</v>
      </c>
      <c r="D226" s="273">
        <v>8</v>
      </c>
      <c r="E226" s="273">
        <v>6.8212000000000002</v>
      </c>
      <c r="F226" s="273">
        <v>6.8658000000000001</v>
      </c>
      <c r="G226" s="273">
        <f t="shared" si="6"/>
        <v>4.4599999999999973E-2</v>
      </c>
      <c r="H226" s="273"/>
      <c r="I226" s="273"/>
      <c r="J226" s="273"/>
      <c r="K226" s="273"/>
      <c r="L226" s="273"/>
      <c r="M226" s="273"/>
    </row>
    <row r="227" spans="1:13" hidden="1">
      <c r="A227" s="245">
        <v>44090</v>
      </c>
      <c r="B227" s="245">
        <v>44092</v>
      </c>
      <c r="C227" s="273" t="s">
        <v>11</v>
      </c>
      <c r="D227" s="273">
        <v>21</v>
      </c>
      <c r="E227" s="273">
        <v>9.6527999999999992</v>
      </c>
      <c r="F227" s="273">
        <v>13.640499999999999</v>
      </c>
      <c r="G227" s="273">
        <f t="shared" si="6"/>
        <v>3.9877000000000002</v>
      </c>
      <c r="H227" s="273"/>
      <c r="I227" s="273"/>
      <c r="J227" s="273"/>
      <c r="K227" s="273"/>
      <c r="L227" s="273"/>
      <c r="M227" s="273"/>
    </row>
    <row r="228" spans="1:13" hidden="1">
      <c r="A228" s="245">
        <v>44090</v>
      </c>
      <c r="B228" s="245">
        <v>44092</v>
      </c>
      <c r="C228" s="273" t="s">
        <v>11</v>
      </c>
      <c r="D228" s="273">
        <v>16</v>
      </c>
      <c r="E228" s="273">
        <v>6.7492999999999999</v>
      </c>
      <c r="F228" s="273">
        <v>7.3868</v>
      </c>
      <c r="G228" s="273">
        <f t="shared" si="6"/>
        <v>0.63750000000000018</v>
      </c>
      <c r="H228" s="273"/>
      <c r="I228" s="273"/>
      <c r="J228" s="273"/>
      <c r="K228" s="273"/>
      <c r="L228" s="273"/>
      <c r="M228" s="273"/>
    </row>
    <row r="229" spans="1:13" hidden="1">
      <c r="A229" s="245">
        <v>44090</v>
      </c>
      <c r="B229" s="245">
        <v>44092</v>
      </c>
      <c r="C229" s="273" t="s">
        <v>11</v>
      </c>
      <c r="D229" s="273">
        <v>17</v>
      </c>
      <c r="E229" s="273">
        <v>6.9912999999999998</v>
      </c>
      <c r="F229" s="273">
        <v>7.0048000000000004</v>
      </c>
      <c r="G229" s="273">
        <f t="shared" si="6"/>
        <v>1.3500000000000512E-2</v>
      </c>
      <c r="H229" s="273"/>
      <c r="I229" s="273"/>
      <c r="J229" s="273"/>
      <c r="K229" s="273"/>
      <c r="L229" s="273"/>
      <c r="M229" s="273"/>
    </row>
    <row r="230" spans="1:13" hidden="1">
      <c r="A230" s="245">
        <v>44090</v>
      </c>
      <c r="B230" s="245">
        <v>44092</v>
      </c>
      <c r="C230" s="273" t="s">
        <v>11</v>
      </c>
      <c r="D230" s="273">
        <v>12</v>
      </c>
      <c r="E230" s="273">
        <v>8.4548000000000005</v>
      </c>
      <c r="F230" s="273">
        <v>8.9621999999999993</v>
      </c>
      <c r="G230" s="273">
        <f t="shared" si="6"/>
        <v>0.50739999999999874</v>
      </c>
      <c r="H230" s="273"/>
      <c r="I230" s="273"/>
      <c r="J230" s="273"/>
      <c r="K230" s="273"/>
      <c r="L230" s="273"/>
      <c r="M230" s="273"/>
    </row>
    <row r="231" spans="1:13" hidden="1">
      <c r="A231" s="245">
        <v>44090</v>
      </c>
      <c r="B231" s="245">
        <v>44092</v>
      </c>
      <c r="C231" s="273" t="s">
        <v>11</v>
      </c>
      <c r="D231" s="273">
        <v>15</v>
      </c>
      <c r="E231" s="273">
        <v>8.3754000000000008</v>
      </c>
      <c r="F231" s="273">
        <v>9.4313000000000002</v>
      </c>
      <c r="G231" s="273">
        <f t="shared" si="6"/>
        <v>1.0558999999999994</v>
      </c>
      <c r="H231" s="273"/>
      <c r="I231" s="273"/>
      <c r="J231" s="273"/>
      <c r="K231" s="273"/>
      <c r="L231" s="273"/>
      <c r="M231" s="273"/>
    </row>
    <row r="232" spans="1:13" ht="15" hidden="1">
      <c r="A232" s="245">
        <v>44090</v>
      </c>
      <c r="B232" s="245">
        <v>44092</v>
      </c>
      <c r="C232" s="273" t="s">
        <v>16</v>
      </c>
      <c r="D232" s="273">
        <v>13</v>
      </c>
      <c r="E232" s="180">
        <v>6.5125000000000002</v>
      </c>
      <c r="F232" s="273">
        <v>7.0898000000000003</v>
      </c>
      <c r="G232" s="273">
        <f t="shared" si="6"/>
        <v>0.57730000000000015</v>
      </c>
      <c r="H232" s="273"/>
      <c r="I232" s="273"/>
      <c r="J232" s="273"/>
      <c r="K232" s="273"/>
      <c r="L232" s="273"/>
      <c r="M232" s="273"/>
    </row>
    <row r="233" spans="1:13" hidden="1">
      <c r="A233" s="245">
        <v>44090</v>
      </c>
      <c r="B233" s="245">
        <v>44092</v>
      </c>
      <c r="C233" s="273" t="s">
        <v>16</v>
      </c>
      <c r="D233" s="273">
        <v>16</v>
      </c>
      <c r="E233" s="273">
        <v>8.9111999999999991</v>
      </c>
      <c r="F233" s="273">
        <v>9.3231000000000002</v>
      </c>
      <c r="G233" s="273">
        <f t="shared" si="6"/>
        <v>0.41190000000000104</v>
      </c>
      <c r="H233" s="273"/>
      <c r="I233" s="273"/>
      <c r="J233" s="273"/>
      <c r="K233" s="273"/>
      <c r="L233" s="273"/>
      <c r="M233" s="273"/>
    </row>
    <row r="234" spans="1:13" hidden="1">
      <c r="A234" s="245">
        <v>44090</v>
      </c>
      <c r="B234" s="245">
        <v>44092</v>
      </c>
      <c r="C234" s="273" t="s">
        <v>16</v>
      </c>
      <c r="D234" s="273">
        <v>23</v>
      </c>
      <c r="E234" s="273">
        <v>9.8523999999999994</v>
      </c>
      <c r="F234" s="273">
        <v>10.8123</v>
      </c>
      <c r="G234" s="273">
        <f t="shared" ref="G234:G297" si="7">F234-E234</f>
        <v>0.95990000000000109</v>
      </c>
      <c r="H234" s="273"/>
      <c r="I234" s="273"/>
      <c r="J234" s="273"/>
      <c r="K234" s="273"/>
      <c r="L234" s="273"/>
      <c r="M234" s="273"/>
    </row>
    <row r="235" spans="1:13" hidden="1">
      <c r="A235" s="245">
        <v>44090</v>
      </c>
      <c r="B235" s="245">
        <v>44092</v>
      </c>
      <c r="C235" s="273" t="s">
        <v>16</v>
      </c>
      <c r="D235" s="273">
        <v>14</v>
      </c>
      <c r="E235" s="273">
        <v>7.2016999999999998</v>
      </c>
      <c r="F235" s="273">
        <v>7.2888000000000002</v>
      </c>
      <c r="G235" s="273">
        <f t="shared" si="7"/>
        <v>8.7100000000000399E-2</v>
      </c>
      <c r="H235" s="273"/>
      <c r="I235" s="273"/>
      <c r="J235" s="273"/>
      <c r="K235" s="273"/>
      <c r="L235" s="273"/>
      <c r="M235" s="273"/>
    </row>
    <row r="236" spans="1:13" hidden="1">
      <c r="A236" s="245">
        <v>44090</v>
      </c>
      <c r="B236" s="245">
        <v>44092</v>
      </c>
      <c r="C236" s="273" t="s">
        <v>16</v>
      </c>
      <c r="D236" s="273">
        <v>20</v>
      </c>
      <c r="E236" s="273">
        <v>8.218</v>
      </c>
      <c r="F236" s="273">
        <v>8.3850999999999996</v>
      </c>
      <c r="G236" s="273">
        <f t="shared" si="7"/>
        <v>0.16709999999999958</v>
      </c>
      <c r="H236" s="273"/>
      <c r="I236" s="273"/>
      <c r="J236" s="273"/>
      <c r="K236" s="273"/>
      <c r="L236" s="273"/>
      <c r="M236" s="273"/>
    </row>
    <row r="237" spans="1:13" hidden="1">
      <c r="A237" s="245">
        <v>44090</v>
      </c>
      <c r="B237" s="245">
        <v>44092</v>
      </c>
      <c r="C237" s="273" t="s">
        <v>16</v>
      </c>
      <c r="D237" s="273">
        <v>27</v>
      </c>
      <c r="E237" s="273">
        <v>11.2126</v>
      </c>
      <c r="F237" s="273">
        <v>12.9703</v>
      </c>
      <c r="G237" s="273">
        <f t="shared" si="7"/>
        <v>1.7576999999999998</v>
      </c>
      <c r="H237" s="273"/>
      <c r="I237" s="273"/>
      <c r="J237" s="273"/>
      <c r="K237" s="273"/>
      <c r="L237" s="273"/>
      <c r="M237" s="273"/>
    </row>
    <row r="238" spans="1:13" hidden="1">
      <c r="A238" s="245">
        <v>44090</v>
      </c>
      <c r="B238" s="245">
        <v>44092</v>
      </c>
      <c r="C238" s="273" t="s">
        <v>16</v>
      </c>
      <c r="D238" s="273">
        <v>26</v>
      </c>
      <c r="E238" s="273">
        <v>10.8917</v>
      </c>
      <c r="F238" s="273">
        <v>11.0663</v>
      </c>
      <c r="G238" s="273">
        <f t="shared" si="7"/>
        <v>0.17459999999999987</v>
      </c>
      <c r="H238" s="273"/>
      <c r="I238" s="273"/>
      <c r="J238" s="273"/>
      <c r="K238" s="273"/>
      <c r="L238" s="273"/>
      <c r="M238" s="273"/>
    </row>
    <row r="239" spans="1:13" hidden="1">
      <c r="A239" s="245">
        <v>44090</v>
      </c>
      <c r="B239" s="245">
        <v>44092</v>
      </c>
      <c r="C239" s="273" t="s">
        <v>16</v>
      </c>
      <c r="D239" s="273">
        <v>25</v>
      </c>
      <c r="E239" s="273">
        <v>7.1051000000000002</v>
      </c>
      <c r="F239" s="273">
        <v>7.0984999999999996</v>
      </c>
      <c r="G239" s="273">
        <v>0.1</v>
      </c>
      <c r="H239" s="273"/>
      <c r="I239" s="273"/>
      <c r="J239" s="273"/>
      <c r="K239" s="273"/>
      <c r="L239" s="273"/>
      <c r="M239" s="273"/>
    </row>
    <row r="240" spans="1:13" hidden="1">
      <c r="A240" s="245">
        <v>44090</v>
      </c>
      <c r="B240" s="245">
        <v>44092</v>
      </c>
      <c r="C240" s="273" t="s">
        <v>16</v>
      </c>
      <c r="D240" s="273">
        <v>17</v>
      </c>
      <c r="E240" s="273">
        <v>8.9199000000000002</v>
      </c>
      <c r="F240" s="273">
        <v>11.263999999999999</v>
      </c>
      <c r="G240" s="273">
        <f t="shared" si="7"/>
        <v>2.3440999999999992</v>
      </c>
      <c r="H240" s="273"/>
      <c r="I240" s="273"/>
      <c r="J240" s="273"/>
      <c r="K240" s="273"/>
      <c r="L240" s="273"/>
      <c r="M240" s="273"/>
    </row>
    <row r="241" spans="1:13" hidden="1">
      <c r="A241" s="245">
        <v>44090</v>
      </c>
      <c r="B241" s="245">
        <v>44092</v>
      </c>
      <c r="C241" s="273" t="s">
        <v>16</v>
      </c>
      <c r="D241" s="81">
        <v>12</v>
      </c>
      <c r="E241" s="81">
        <v>6.8151999999999999</v>
      </c>
      <c r="F241" s="81">
        <v>7.3136999999999999</v>
      </c>
      <c r="G241" s="81">
        <f t="shared" si="7"/>
        <v>0.49849999999999994</v>
      </c>
      <c r="H241" s="81"/>
      <c r="I241" s="81"/>
      <c r="J241" s="273"/>
      <c r="K241" s="273"/>
      <c r="L241" s="273"/>
      <c r="M241" s="273"/>
    </row>
    <row r="242" spans="1:13" hidden="1">
      <c r="A242" s="245">
        <v>44092</v>
      </c>
      <c r="B242" s="245">
        <v>44095</v>
      </c>
      <c r="C242" s="273" t="s">
        <v>24</v>
      </c>
      <c r="D242" s="81">
        <v>1</v>
      </c>
      <c r="E242" s="81">
        <v>9.3474000000000004</v>
      </c>
      <c r="F242" s="81">
        <v>9.7706999999999997</v>
      </c>
      <c r="G242" s="81">
        <f t="shared" si="7"/>
        <v>0.42329999999999934</v>
      </c>
      <c r="H242" s="81"/>
      <c r="I242" s="81"/>
      <c r="J242" s="273"/>
      <c r="K242" s="273"/>
      <c r="L242" s="273"/>
      <c r="M242" s="273"/>
    </row>
    <row r="243" spans="1:13" hidden="1">
      <c r="A243" s="245">
        <v>44092</v>
      </c>
      <c r="B243" s="245">
        <v>44095</v>
      </c>
      <c r="C243" s="273" t="s">
        <v>8</v>
      </c>
      <c r="D243" s="81">
        <v>2</v>
      </c>
      <c r="E243" s="81">
        <v>8.2056000000000004</v>
      </c>
      <c r="F243" s="81">
        <v>9.7561</v>
      </c>
      <c r="G243" s="81">
        <f t="shared" si="7"/>
        <v>1.5504999999999995</v>
      </c>
      <c r="H243" s="81"/>
      <c r="I243" s="81"/>
      <c r="J243" s="273"/>
      <c r="K243" s="273"/>
      <c r="L243" s="273"/>
      <c r="M243" s="273"/>
    </row>
    <row r="244" spans="1:13" hidden="1">
      <c r="A244" s="245">
        <v>44092</v>
      </c>
      <c r="B244" s="245">
        <v>44095</v>
      </c>
      <c r="C244" s="273" t="s">
        <v>8</v>
      </c>
      <c r="D244" s="81">
        <v>1</v>
      </c>
      <c r="E244" s="81">
        <v>9.0778999999999996</v>
      </c>
      <c r="F244" s="81">
        <v>10.138299999999999</v>
      </c>
      <c r="G244" s="81">
        <f t="shared" si="7"/>
        <v>1.0603999999999996</v>
      </c>
      <c r="H244" s="81"/>
      <c r="I244" s="81"/>
      <c r="J244" s="273"/>
      <c r="K244" s="273"/>
      <c r="L244" s="273"/>
      <c r="M244" s="273"/>
    </row>
    <row r="245" spans="1:13" hidden="1">
      <c r="A245" s="245">
        <v>44092</v>
      </c>
      <c r="B245" s="245">
        <v>44095</v>
      </c>
      <c r="C245" s="273" t="s">
        <v>8</v>
      </c>
      <c r="D245" s="81">
        <v>10</v>
      </c>
      <c r="E245" s="81">
        <v>8.3079999999999998</v>
      </c>
      <c r="F245" s="81">
        <v>10.4404</v>
      </c>
      <c r="G245" s="81">
        <f t="shared" si="7"/>
        <v>2.1324000000000005</v>
      </c>
      <c r="H245" s="81"/>
      <c r="I245" s="81"/>
      <c r="J245" s="273"/>
      <c r="K245" s="273"/>
      <c r="L245" s="273"/>
      <c r="M245" s="273"/>
    </row>
    <row r="246" spans="1:13" hidden="1">
      <c r="A246" s="245">
        <v>44092</v>
      </c>
      <c r="B246" s="245">
        <v>44095</v>
      </c>
      <c r="C246" s="273" t="s">
        <v>8</v>
      </c>
      <c r="D246" s="81">
        <v>4</v>
      </c>
      <c r="E246" s="81">
        <v>6.6725000000000003</v>
      </c>
      <c r="F246" s="81">
        <v>7.1139999999999999</v>
      </c>
      <c r="G246" s="81">
        <f t="shared" si="7"/>
        <v>0.44149999999999956</v>
      </c>
      <c r="H246" s="81"/>
      <c r="I246" s="81"/>
      <c r="J246" s="273"/>
      <c r="K246" s="273"/>
      <c r="L246" s="273"/>
      <c r="M246" s="273"/>
    </row>
    <row r="247" spans="1:13" hidden="1">
      <c r="A247" s="245">
        <v>44092</v>
      </c>
      <c r="B247" s="245">
        <v>44095</v>
      </c>
      <c r="C247" s="273" t="s">
        <v>8</v>
      </c>
      <c r="D247" s="81">
        <v>8</v>
      </c>
      <c r="E247" s="81">
        <v>8.4</v>
      </c>
      <c r="F247" s="81">
        <v>9.4184000000000001</v>
      </c>
      <c r="G247" s="81">
        <f t="shared" si="7"/>
        <v>1.0183999999999997</v>
      </c>
      <c r="H247" s="81"/>
      <c r="I247" s="81"/>
      <c r="J247" s="273"/>
      <c r="K247" s="273"/>
      <c r="L247" s="273"/>
      <c r="M247" s="273"/>
    </row>
    <row r="248" spans="1:13" hidden="1">
      <c r="A248" s="245">
        <v>44092</v>
      </c>
      <c r="B248" s="245">
        <v>44095</v>
      </c>
      <c r="C248" s="273" t="s">
        <v>11</v>
      </c>
      <c r="D248" s="81">
        <v>17</v>
      </c>
      <c r="E248" s="81">
        <v>10.1229</v>
      </c>
      <c r="F248" s="81">
        <v>10.4489</v>
      </c>
      <c r="G248" s="81">
        <f t="shared" si="7"/>
        <v>0.32600000000000051</v>
      </c>
      <c r="H248" s="81"/>
      <c r="I248" s="81"/>
      <c r="J248" s="273"/>
      <c r="K248" s="273"/>
      <c r="L248" s="273"/>
      <c r="M248" s="273"/>
    </row>
    <row r="249" spans="1:13" hidden="1">
      <c r="A249" s="245">
        <v>44092</v>
      </c>
      <c r="B249" s="245">
        <v>44095</v>
      </c>
      <c r="C249" s="273" t="s">
        <v>11</v>
      </c>
      <c r="D249" s="81">
        <v>15</v>
      </c>
      <c r="E249" s="81">
        <v>9.5220000000000002</v>
      </c>
      <c r="F249" s="81">
        <v>9.9217999999999993</v>
      </c>
      <c r="G249" s="81">
        <f t="shared" si="7"/>
        <v>0.39979999999999905</v>
      </c>
      <c r="H249" s="81"/>
      <c r="I249" s="81"/>
      <c r="J249" s="273"/>
      <c r="K249" s="273"/>
      <c r="L249" s="273"/>
      <c r="M249" s="273"/>
    </row>
    <row r="250" spans="1:13" hidden="1">
      <c r="A250" s="245">
        <v>44092</v>
      </c>
      <c r="B250" s="245">
        <v>44095</v>
      </c>
      <c r="C250" s="273" t="s">
        <v>11</v>
      </c>
      <c r="D250" s="81">
        <v>13</v>
      </c>
      <c r="E250" s="81">
        <v>9.3957999999999995</v>
      </c>
      <c r="F250" s="81">
        <v>9.8396000000000008</v>
      </c>
      <c r="G250" s="81">
        <f t="shared" si="7"/>
        <v>0.4438000000000013</v>
      </c>
      <c r="H250" s="81"/>
      <c r="I250" s="81"/>
      <c r="J250" s="273"/>
      <c r="K250" s="273"/>
      <c r="L250" s="273"/>
      <c r="M250" s="273"/>
    </row>
    <row r="251" spans="1:13" hidden="1">
      <c r="A251" s="245">
        <v>44092</v>
      </c>
      <c r="B251" s="245">
        <v>44095</v>
      </c>
      <c r="C251" s="273" t="s">
        <v>11</v>
      </c>
      <c r="D251" s="81">
        <v>14</v>
      </c>
      <c r="E251" s="81">
        <v>6.3826999999999998</v>
      </c>
      <c r="F251" s="81">
        <v>7.7571000000000003</v>
      </c>
      <c r="G251" s="81">
        <f t="shared" si="7"/>
        <v>1.3744000000000005</v>
      </c>
      <c r="H251" s="81"/>
      <c r="I251" s="81"/>
      <c r="J251" s="273"/>
      <c r="K251" s="273"/>
      <c r="L251" s="273"/>
      <c r="M251" s="273"/>
    </row>
    <row r="252" spans="1:13" hidden="1">
      <c r="A252" s="245">
        <v>44092</v>
      </c>
      <c r="B252" s="245">
        <v>44095</v>
      </c>
      <c r="C252" s="273" t="s">
        <v>11</v>
      </c>
      <c r="D252" s="81">
        <v>11</v>
      </c>
      <c r="E252" s="81">
        <v>9.3914000000000009</v>
      </c>
      <c r="F252" s="81">
        <v>9.6103000000000005</v>
      </c>
      <c r="G252" s="81">
        <f t="shared" si="7"/>
        <v>0.21889999999999965</v>
      </c>
      <c r="H252" s="81"/>
      <c r="I252" s="81"/>
      <c r="J252" s="273"/>
      <c r="K252" s="273"/>
      <c r="L252" s="273"/>
      <c r="M252" s="273"/>
    </row>
    <row r="253" spans="1:13" hidden="1">
      <c r="A253" s="245">
        <v>44092</v>
      </c>
      <c r="B253" s="245">
        <v>44095</v>
      </c>
      <c r="C253" s="273" t="s">
        <v>11</v>
      </c>
      <c r="D253" s="81">
        <v>18</v>
      </c>
      <c r="E253" s="81">
        <v>7.0621999999999998</v>
      </c>
      <c r="F253" s="81">
        <v>7.4105999999999996</v>
      </c>
      <c r="G253" s="81">
        <f t="shared" si="7"/>
        <v>0.34839999999999982</v>
      </c>
      <c r="H253" s="81"/>
      <c r="I253" s="81"/>
      <c r="J253" s="273"/>
      <c r="K253" s="273"/>
      <c r="L253" s="273"/>
      <c r="M253" s="273"/>
    </row>
    <row r="254" spans="1:13" hidden="1">
      <c r="A254" s="245">
        <v>44092</v>
      </c>
      <c r="B254" s="245">
        <v>44095</v>
      </c>
      <c r="C254" s="273" t="s">
        <v>16</v>
      </c>
      <c r="D254" s="81">
        <v>12</v>
      </c>
      <c r="E254" s="81">
        <v>5.9489999999999998</v>
      </c>
      <c r="F254" s="81">
        <v>7.9381000000000004</v>
      </c>
      <c r="G254" s="81">
        <f t="shared" si="7"/>
        <v>1.9891000000000005</v>
      </c>
      <c r="H254" s="81"/>
      <c r="I254" s="81"/>
      <c r="J254" s="273"/>
      <c r="K254" s="273"/>
      <c r="L254" s="273"/>
      <c r="M254" s="273"/>
    </row>
    <row r="255" spans="1:13" hidden="1">
      <c r="A255" s="245">
        <v>44092</v>
      </c>
      <c r="B255" s="245">
        <v>44095</v>
      </c>
      <c r="C255" s="273" t="s">
        <v>16</v>
      </c>
      <c r="D255" s="81">
        <v>16</v>
      </c>
      <c r="E255" s="81">
        <v>7.3357999999999999</v>
      </c>
      <c r="F255" s="81">
        <v>7.7412999999999998</v>
      </c>
      <c r="G255" s="81">
        <f t="shared" si="7"/>
        <v>0.40549999999999997</v>
      </c>
      <c r="H255" s="81"/>
      <c r="I255" s="81"/>
      <c r="J255" s="273"/>
      <c r="K255" s="273"/>
      <c r="L255" s="273"/>
      <c r="M255" s="273"/>
    </row>
    <row r="256" spans="1:13" hidden="1">
      <c r="A256" s="245">
        <v>44092</v>
      </c>
      <c r="B256" s="245">
        <v>44095</v>
      </c>
      <c r="C256" s="273" t="s">
        <v>16</v>
      </c>
      <c r="D256" s="81">
        <v>23</v>
      </c>
      <c r="E256" s="81">
        <v>8.3506</v>
      </c>
      <c r="F256" s="81">
        <v>9.0847999999999995</v>
      </c>
      <c r="G256" s="81">
        <f t="shared" si="7"/>
        <v>0.73419999999999952</v>
      </c>
      <c r="H256" s="81"/>
      <c r="I256" s="81"/>
      <c r="J256" s="273"/>
      <c r="K256" s="273"/>
      <c r="L256" s="273"/>
      <c r="M256" s="273"/>
    </row>
    <row r="257" spans="1:12" hidden="1">
      <c r="A257" s="245">
        <v>44092</v>
      </c>
      <c r="B257" s="245">
        <v>44095</v>
      </c>
      <c r="C257" s="273" t="s">
        <v>16</v>
      </c>
      <c r="D257" s="81">
        <v>27</v>
      </c>
      <c r="E257" s="81">
        <v>7.9680999999999997</v>
      </c>
      <c r="F257" s="81">
        <v>8.2164999999999999</v>
      </c>
      <c r="G257" s="81">
        <f t="shared" si="7"/>
        <v>0.24840000000000018</v>
      </c>
      <c r="H257" s="81"/>
      <c r="I257" s="81"/>
      <c r="J257" s="273"/>
      <c r="K257" s="273"/>
      <c r="L257" s="273"/>
    </row>
    <row r="258" spans="1:12" hidden="1">
      <c r="A258" s="245">
        <v>44092</v>
      </c>
      <c r="B258" s="245">
        <v>44095</v>
      </c>
      <c r="C258" s="273" t="s">
        <v>16</v>
      </c>
      <c r="D258" s="81">
        <v>20</v>
      </c>
      <c r="E258" s="81">
        <v>10.9596</v>
      </c>
      <c r="F258" s="81">
        <v>11.812099999999999</v>
      </c>
      <c r="G258" s="81">
        <f t="shared" si="7"/>
        <v>0.85249999999999915</v>
      </c>
      <c r="H258" s="81"/>
      <c r="I258" s="81"/>
      <c r="J258" s="273"/>
      <c r="K258" s="273"/>
      <c r="L258" s="273"/>
    </row>
    <row r="259" spans="1:12" hidden="1">
      <c r="A259" s="245">
        <v>44092</v>
      </c>
      <c r="B259" s="245">
        <v>44095</v>
      </c>
      <c r="C259" s="273" t="s">
        <v>16</v>
      </c>
      <c r="D259" s="81">
        <v>25</v>
      </c>
      <c r="E259" s="81">
        <v>9.2234999999999996</v>
      </c>
      <c r="F259" s="81">
        <v>10.3871</v>
      </c>
      <c r="G259" s="81">
        <f t="shared" si="7"/>
        <v>1.1636000000000006</v>
      </c>
      <c r="H259" s="81"/>
      <c r="I259" s="81"/>
      <c r="J259" s="273"/>
      <c r="K259" s="273"/>
      <c r="L259" s="273"/>
    </row>
    <row r="260" spans="1:12" hidden="1">
      <c r="A260" s="245">
        <v>44092</v>
      </c>
      <c r="B260" s="245">
        <v>44095</v>
      </c>
      <c r="C260" s="273" t="s">
        <v>16</v>
      </c>
      <c r="D260" s="81">
        <v>17</v>
      </c>
      <c r="E260" s="81">
        <v>6.4016000000000002</v>
      </c>
      <c r="F260" s="81">
        <v>8.5031999999999996</v>
      </c>
      <c r="G260" s="81">
        <f t="shared" si="7"/>
        <v>2.1015999999999995</v>
      </c>
      <c r="H260" s="81"/>
      <c r="I260" s="81"/>
      <c r="J260" s="273"/>
      <c r="K260" s="273"/>
      <c r="L260" s="273"/>
    </row>
    <row r="261" spans="1:12" hidden="1">
      <c r="A261" s="245">
        <v>44092</v>
      </c>
      <c r="B261" s="245">
        <v>44095</v>
      </c>
      <c r="C261" s="273" t="s">
        <v>16</v>
      </c>
      <c r="D261" s="81">
        <v>26</v>
      </c>
      <c r="E261" s="81">
        <v>8.7144999999999992</v>
      </c>
      <c r="F261" s="81">
        <v>10.954700000000001</v>
      </c>
      <c r="G261" s="81">
        <f t="shared" si="7"/>
        <v>2.2402000000000015</v>
      </c>
      <c r="H261" s="81"/>
      <c r="I261" s="81"/>
      <c r="J261" s="273"/>
      <c r="K261" s="273"/>
      <c r="L261" s="273"/>
    </row>
    <row r="262" spans="1:12" hidden="1">
      <c r="A262" s="245">
        <v>44092</v>
      </c>
      <c r="B262" s="245">
        <v>44095</v>
      </c>
      <c r="C262" s="273" t="s">
        <v>16</v>
      </c>
      <c r="D262" s="81">
        <v>14</v>
      </c>
      <c r="E262" s="81">
        <v>6.2986000000000004</v>
      </c>
      <c r="F262" s="81">
        <v>6.8760000000000003</v>
      </c>
      <c r="G262" s="81">
        <f t="shared" si="7"/>
        <v>0.57739999999999991</v>
      </c>
      <c r="H262" s="81"/>
      <c r="I262" s="81"/>
      <c r="J262" s="273"/>
      <c r="K262" s="273"/>
      <c r="L262" s="273"/>
    </row>
    <row r="263" spans="1:12" hidden="1">
      <c r="A263" s="245">
        <v>44092</v>
      </c>
      <c r="B263" s="245">
        <v>44095</v>
      </c>
      <c r="C263" s="273" t="s">
        <v>19</v>
      </c>
      <c r="D263" s="81">
        <v>3</v>
      </c>
      <c r="E263" s="81">
        <v>9.9532000000000007</v>
      </c>
      <c r="F263" s="81">
        <v>10.353300000000001</v>
      </c>
      <c r="G263" s="81">
        <f t="shared" si="7"/>
        <v>0.40010000000000012</v>
      </c>
      <c r="H263" s="81"/>
      <c r="I263" s="81"/>
      <c r="J263" s="273"/>
      <c r="K263" s="273"/>
      <c r="L263" s="273"/>
    </row>
    <row r="264" spans="1:12" hidden="1">
      <c r="A264" s="245">
        <v>44092</v>
      </c>
      <c r="B264" s="245">
        <v>44095</v>
      </c>
      <c r="C264" s="273" t="s">
        <v>24</v>
      </c>
      <c r="D264" s="81">
        <v>2</v>
      </c>
      <c r="E264" s="81">
        <v>9.3574999999999999</v>
      </c>
      <c r="F264" s="81">
        <v>14.4838</v>
      </c>
      <c r="G264" s="81">
        <f t="shared" si="7"/>
        <v>5.1263000000000005</v>
      </c>
      <c r="H264" s="81"/>
      <c r="I264" s="81"/>
      <c r="J264" s="273"/>
      <c r="K264" s="273"/>
      <c r="L264" s="273"/>
    </row>
    <row r="265" spans="1:12" hidden="1">
      <c r="A265" s="245">
        <v>44092</v>
      </c>
      <c r="B265" s="245">
        <v>44095</v>
      </c>
      <c r="C265" s="273" t="s">
        <v>11</v>
      </c>
      <c r="D265" s="81">
        <v>12</v>
      </c>
      <c r="E265" s="81">
        <v>7.2659000000000002</v>
      </c>
      <c r="F265" s="81">
        <v>7.42</v>
      </c>
      <c r="G265" s="81">
        <f t="shared" si="7"/>
        <v>0.15409999999999968</v>
      </c>
      <c r="H265" s="81"/>
      <c r="I265" s="81"/>
      <c r="J265" s="273"/>
      <c r="K265" s="273"/>
      <c r="L265" s="273"/>
    </row>
    <row r="266" spans="1:12" hidden="1">
      <c r="A266" s="245">
        <v>44092</v>
      </c>
      <c r="B266" s="245">
        <v>44095</v>
      </c>
      <c r="C266" s="273" t="s">
        <v>11</v>
      </c>
      <c r="D266" s="81">
        <v>10</v>
      </c>
      <c r="E266" s="81">
        <v>8.5091999999999999</v>
      </c>
      <c r="F266" s="81">
        <v>9.8691999999999993</v>
      </c>
      <c r="G266" s="81">
        <f t="shared" si="7"/>
        <v>1.3599999999999994</v>
      </c>
      <c r="H266" s="81"/>
      <c r="I266" s="81"/>
      <c r="J266" s="273"/>
      <c r="K266" s="273"/>
      <c r="L266" s="273"/>
    </row>
    <row r="267" spans="1:12" hidden="1">
      <c r="A267" s="245">
        <v>44092</v>
      </c>
      <c r="B267" s="245">
        <v>44095</v>
      </c>
      <c r="C267" s="273" t="s">
        <v>11</v>
      </c>
      <c r="D267" s="81">
        <v>16</v>
      </c>
      <c r="E267" s="81">
        <v>6.4260000000000002</v>
      </c>
      <c r="F267" s="81">
        <v>6.4836999999999998</v>
      </c>
      <c r="G267" s="81">
        <f t="shared" si="7"/>
        <v>5.769999999999964E-2</v>
      </c>
      <c r="H267" s="81"/>
      <c r="I267" s="81"/>
      <c r="J267" s="273"/>
      <c r="K267" s="273"/>
      <c r="L267" s="273"/>
    </row>
    <row r="268" spans="1:12" hidden="1">
      <c r="A268" s="245">
        <v>44092</v>
      </c>
      <c r="B268" s="245">
        <v>44095</v>
      </c>
      <c r="C268" s="273" t="s">
        <v>11</v>
      </c>
      <c r="D268" s="81">
        <v>8</v>
      </c>
      <c r="E268" s="81">
        <v>5.7188999999999997</v>
      </c>
      <c r="F268" s="81">
        <v>5.9481999999999999</v>
      </c>
      <c r="G268" s="81">
        <f t="shared" si="7"/>
        <v>0.22930000000000028</v>
      </c>
      <c r="H268" s="81"/>
      <c r="I268" s="81"/>
      <c r="J268" s="273"/>
      <c r="K268" s="273"/>
      <c r="L268" s="273"/>
    </row>
    <row r="269" spans="1:12" hidden="1">
      <c r="A269" s="245">
        <v>44092</v>
      </c>
      <c r="B269" s="245">
        <v>44095</v>
      </c>
      <c r="C269" s="273" t="s">
        <v>11</v>
      </c>
      <c r="D269" s="81">
        <v>21</v>
      </c>
      <c r="E269" s="81">
        <v>8.7727000000000004</v>
      </c>
      <c r="F269" s="81">
        <v>11.0341</v>
      </c>
      <c r="G269" s="81">
        <f t="shared" si="7"/>
        <v>2.2614000000000001</v>
      </c>
      <c r="H269" s="81"/>
      <c r="I269" s="81"/>
      <c r="J269" s="273"/>
      <c r="K269" s="273"/>
      <c r="L269" s="273"/>
    </row>
    <row r="270" spans="1:12" hidden="1">
      <c r="A270" s="245">
        <v>44092</v>
      </c>
      <c r="B270" s="245">
        <v>44095</v>
      </c>
      <c r="C270" s="273" t="s">
        <v>8</v>
      </c>
      <c r="D270" s="81">
        <v>7</v>
      </c>
      <c r="E270" s="81">
        <v>9.3431999999999995</v>
      </c>
      <c r="F270" s="81">
        <v>12.5527</v>
      </c>
      <c r="G270" s="81">
        <f t="shared" si="7"/>
        <v>3.2095000000000002</v>
      </c>
      <c r="H270" s="81"/>
      <c r="I270" s="81"/>
      <c r="J270" s="273"/>
      <c r="K270" s="273"/>
      <c r="L270" s="273"/>
    </row>
    <row r="271" spans="1:12" hidden="1">
      <c r="A271" s="245">
        <v>44092</v>
      </c>
      <c r="B271" s="245">
        <v>44095</v>
      </c>
      <c r="C271" s="273" t="s">
        <v>8</v>
      </c>
      <c r="D271" s="81">
        <v>3</v>
      </c>
      <c r="E271" s="81">
        <v>9.7332999999999998</v>
      </c>
      <c r="F271" s="81">
        <v>11.9031</v>
      </c>
      <c r="G271" s="81">
        <f t="shared" si="7"/>
        <v>2.1698000000000004</v>
      </c>
      <c r="H271" s="81"/>
      <c r="I271" s="81"/>
      <c r="J271" s="273"/>
      <c r="K271" s="273"/>
      <c r="L271" s="273"/>
    </row>
    <row r="272" spans="1:12" hidden="1">
      <c r="A272" s="245">
        <v>44092</v>
      </c>
      <c r="B272" s="245">
        <v>44095</v>
      </c>
      <c r="C272" s="273" t="s">
        <v>8</v>
      </c>
      <c r="D272" s="81">
        <v>9</v>
      </c>
      <c r="E272" s="81">
        <v>10.465</v>
      </c>
      <c r="F272" s="81">
        <v>11.288</v>
      </c>
      <c r="G272" s="81">
        <f t="shared" si="7"/>
        <v>0.8230000000000004</v>
      </c>
      <c r="H272" s="81"/>
      <c r="I272" s="81"/>
      <c r="J272" s="273"/>
      <c r="K272" s="273"/>
      <c r="L272" s="273"/>
    </row>
    <row r="273" spans="1:15" hidden="1">
      <c r="A273" s="245">
        <v>44092</v>
      </c>
      <c r="B273" s="245">
        <v>44095</v>
      </c>
      <c r="C273" s="273" t="s">
        <v>8</v>
      </c>
      <c r="D273" s="81">
        <v>6</v>
      </c>
      <c r="E273" s="81">
        <v>8.9846000000000004</v>
      </c>
      <c r="F273" s="81">
        <v>9.5455000000000005</v>
      </c>
      <c r="G273" s="81">
        <f t="shared" si="7"/>
        <v>0.56090000000000018</v>
      </c>
      <c r="H273" s="81"/>
      <c r="I273" s="81"/>
      <c r="J273" s="273"/>
      <c r="K273" s="273"/>
      <c r="L273" s="273"/>
      <c r="M273" s="273"/>
      <c r="N273" s="273"/>
      <c r="O273" s="273"/>
    </row>
    <row r="274" spans="1:15" hidden="1">
      <c r="A274" s="245">
        <v>44095</v>
      </c>
      <c r="B274" s="245">
        <v>44097</v>
      </c>
      <c r="C274" s="273" t="s">
        <v>19</v>
      </c>
      <c r="D274" s="81">
        <v>13</v>
      </c>
      <c r="E274" s="81">
        <v>6.4268999999999998</v>
      </c>
      <c r="F274" s="81">
        <v>6.5427</v>
      </c>
      <c r="G274" s="81">
        <f t="shared" si="7"/>
        <v>0.11580000000000013</v>
      </c>
      <c r="H274" s="81"/>
      <c r="I274" s="81"/>
      <c r="J274" s="273"/>
      <c r="K274" s="273"/>
      <c r="L274" s="273"/>
      <c r="M274" s="273"/>
      <c r="N274" s="273"/>
      <c r="O274" s="273"/>
    </row>
    <row r="275" spans="1:15" hidden="1">
      <c r="A275" s="245">
        <v>44095</v>
      </c>
      <c r="B275" s="245">
        <v>44097</v>
      </c>
      <c r="C275" s="273" t="s">
        <v>16</v>
      </c>
      <c r="D275" s="81">
        <v>12</v>
      </c>
      <c r="E275" s="81">
        <v>7.3833000000000002</v>
      </c>
      <c r="F275" s="81">
        <v>7.9372999999999996</v>
      </c>
      <c r="G275" s="81">
        <f t="shared" si="7"/>
        <v>0.55399999999999938</v>
      </c>
      <c r="H275" s="81"/>
      <c r="I275" s="81"/>
      <c r="J275" s="273"/>
      <c r="K275" s="273"/>
      <c r="L275" s="273"/>
      <c r="M275" s="273"/>
      <c r="N275" s="273"/>
      <c r="O275" s="273"/>
    </row>
    <row r="276" spans="1:15" hidden="1">
      <c r="A276" s="245">
        <v>44095</v>
      </c>
      <c r="B276" s="245">
        <v>44097</v>
      </c>
      <c r="C276" s="273" t="s">
        <v>16</v>
      </c>
      <c r="D276" s="81">
        <v>23</v>
      </c>
      <c r="E276" s="81">
        <v>7.5232999999999999</v>
      </c>
      <c r="F276" s="81">
        <v>7.8312999999999997</v>
      </c>
      <c r="G276" s="81">
        <f t="shared" si="7"/>
        <v>0.30799999999999983</v>
      </c>
      <c r="H276" s="81"/>
      <c r="I276" s="81"/>
      <c r="J276" s="273"/>
      <c r="K276" s="273"/>
      <c r="L276" s="273"/>
      <c r="M276" s="273"/>
      <c r="N276" s="273"/>
      <c r="O276" s="273"/>
    </row>
    <row r="277" spans="1:15" hidden="1">
      <c r="A277" s="245">
        <v>44095</v>
      </c>
      <c r="B277" s="245">
        <v>44097</v>
      </c>
      <c r="C277" s="273" t="s">
        <v>16</v>
      </c>
      <c r="D277" s="273">
        <v>14</v>
      </c>
      <c r="E277" s="273">
        <v>6.5263999999999998</v>
      </c>
      <c r="F277" s="273">
        <v>6.8169000000000004</v>
      </c>
      <c r="G277" s="81">
        <f t="shared" si="7"/>
        <v>0.29050000000000065</v>
      </c>
      <c r="H277" s="273"/>
      <c r="I277" s="273"/>
      <c r="J277" s="273"/>
      <c r="K277" s="273"/>
      <c r="L277" s="273"/>
      <c r="M277" s="273"/>
      <c r="N277" s="273"/>
      <c r="O277" s="273"/>
    </row>
    <row r="278" spans="1:15" hidden="1">
      <c r="A278" s="245">
        <v>44095</v>
      </c>
      <c r="B278" s="245">
        <v>44097</v>
      </c>
      <c r="C278" s="273" t="s">
        <v>16</v>
      </c>
      <c r="D278" s="273">
        <v>20</v>
      </c>
      <c r="E278" s="273">
        <v>7.1684000000000001</v>
      </c>
      <c r="F278" s="273">
        <v>8.18</v>
      </c>
      <c r="G278" s="81">
        <f t="shared" si="7"/>
        <v>1.0115999999999996</v>
      </c>
      <c r="H278" s="273"/>
      <c r="I278" s="273"/>
      <c r="J278" s="273"/>
      <c r="K278" s="273"/>
      <c r="L278" s="273"/>
      <c r="M278" s="273"/>
      <c r="N278" s="273"/>
      <c r="O278" s="273"/>
    </row>
    <row r="279" spans="1:15" hidden="1">
      <c r="A279" s="245">
        <v>44095</v>
      </c>
      <c r="B279" s="245">
        <v>44097</v>
      </c>
      <c r="C279" s="273" t="s">
        <v>16</v>
      </c>
      <c r="D279" s="273">
        <v>18</v>
      </c>
      <c r="E279" s="273">
        <v>6.6428000000000003</v>
      </c>
      <c r="F279" s="273">
        <v>6.6669</v>
      </c>
      <c r="G279" s="81">
        <f t="shared" si="7"/>
        <v>2.4099999999999788E-2</v>
      </c>
      <c r="H279" s="273"/>
      <c r="I279" s="273"/>
      <c r="J279" s="273"/>
      <c r="K279" s="273"/>
      <c r="L279" s="273"/>
      <c r="M279" s="273"/>
      <c r="N279" s="273"/>
      <c r="O279" s="273"/>
    </row>
    <row r="280" spans="1:15" hidden="1">
      <c r="A280" s="245">
        <v>44095</v>
      </c>
      <c r="B280" s="245">
        <v>44097</v>
      </c>
      <c r="C280" s="273" t="s">
        <v>16</v>
      </c>
      <c r="D280" s="273">
        <v>27</v>
      </c>
      <c r="E280" s="273">
        <v>6.1604999999999999</v>
      </c>
      <c r="F280" s="273">
        <v>6.5808</v>
      </c>
      <c r="G280" s="81">
        <f t="shared" si="7"/>
        <v>0.42030000000000012</v>
      </c>
      <c r="H280" s="273"/>
      <c r="I280" s="273"/>
      <c r="J280" s="273"/>
      <c r="K280" s="273"/>
      <c r="L280" s="273"/>
      <c r="M280" s="273"/>
      <c r="N280" s="273"/>
      <c r="O280" s="273"/>
    </row>
    <row r="281" spans="1:15" hidden="1">
      <c r="A281" s="245">
        <v>44095</v>
      </c>
      <c r="B281" s="245">
        <v>44097</v>
      </c>
      <c r="C281" s="273" t="s">
        <v>16</v>
      </c>
      <c r="D281" s="273">
        <v>25</v>
      </c>
      <c r="E281" s="273">
        <v>6.4516</v>
      </c>
      <c r="F281" s="273">
        <v>7.0153999999999996</v>
      </c>
      <c r="G281" s="81">
        <f t="shared" si="7"/>
        <v>0.56379999999999963</v>
      </c>
      <c r="H281" s="273"/>
      <c r="I281" s="273"/>
      <c r="J281" s="273"/>
      <c r="K281" s="273"/>
      <c r="L281" s="273"/>
      <c r="M281" s="273"/>
      <c r="N281" s="273"/>
      <c r="O281" s="273"/>
    </row>
    <row r="282" spans="1:15" hidden="1">
      <c r="A282" s="245">
        <v>44095</v>
      </c>
      <c r="B282" s="245">
        <v>44097</v>
      </c>
      <c r="C282" s="273" t="s">
        <v>16</v>
      </c>
      <c r="D282" s="273">
        <v>26</v>
      </c>
      <c r="E282" s="273">
        <v>6.9108999999999998</v>
      </c>
      <c r="F282" s="273">
        <v>7.4707999999999997</v>
      </c>
      <c r="G282" s="81">
        <f t="shared" si="7"/>
        <v>0.55989999999999984</v>
      </c>
      <c r="H282" s="273"/>
      <c r="I282" s="273"/>
      <c r="J282" s="273"/>
      <c r="K282" s="273"/>
      <c r="L282" s="273"/>
      <c r="M282" s="273"/>
      <c r="N282" s="273"/>
      <c r="O282" s="273"/>
    </row>
    <row r="283" spans="1:15" hidden="1">
      <c r="A283" s="245">
        <v>44095</v>
      </c>
      <c r="B283" s="245">
        <v>44097</v>
      </c>
      <c r="C283" s="273" t="s">
        <v>16</v>
      </c>
      <c r="D283" s="273">
        <v>17</v>
      </c>
      <c r="E283" s="273">
        <v>6.0803000000000003</v>
      </c>
      <c r="F283" s="273">
        <v>7.1406999999999998</v>
      </c>
      <c r="G283" s="81">
        <f t="shared" si="7"/>
        <v>1.0603999999999996</v>
      </c>
      <c r="H283" s="273"/>
      <c r="I283" s="273"/>
      <c r="J283" s="273"/>
      <c r="K283" s="273"/>
      <c r="L283" s="273"/>
      <c r="M283" s="273"/>
      <c r="N283" s="273"/>
      <c r="O283" s="273"/>
    </row>
    <row r="284" spans="1:15" hidden="1">
      <c r="A284" s="245">
        <v>44095</v>
      </c>
      <c r="B284" s="245">
        <v>44097</v>
      </c>
      <c r="C284" s="273" t="s">
        <v>24</v>
      </c>
      <c r="D284" s="273">
        <v>1</v>
      </c>
      <c r="E284" s="273">
        <v>7.9970999999999997</v>
      </c>
      <c r="F284" s="273">
        <v>8.2635000000000005</v>
      </c>
      <c r="G284" s="81">
        <f t="shared" si="7"/>
        <v>0.26640000000000086</v>
      </c>
      <c r="H284" s="273"/>
      <c r="I284" s="273"/>
      <c r="J284" s="273"/>
      <c r="K284" s="273"/>
      <c r="L284" s="273"/>
      <c r="M284" s="273"/>
      <c r="N284" s="273"/>
      <c r="O284" s="273"/>
    </row>
    <row r="285" spans="1:15" hidden="1">
      <c r="A285" s="245">
        <v>44095</v>
      </c>
      <c r="B285" s="245">
        <v>44097</v>
      </c>
      <c r="C285" s="273" t="s">
        <v>24</v>
      </c>
      <c r="D285" s="273">
        <v>2</v>
      </c>
      <c r="E285" s="273">
        <v>9.1237999999999992</v>
      </c>
      <c r="F285" s="273">
        <v>12.7302</v>
      </c>
      <c r="G285" s="81">
        <f t="shared" si="7"/>
        <v>3.6064000000000007</v>
      </c>
      <c r="H285" s="273"/>
      <c r="I285" s="273"/>
      <c r="J285" s="273"/>
      <c r="K285" s="273"/>
      <c r="L285" s="273"/>
      <c r="M285" s="273"/>
      <c r="N285" s="273"/>
      <c r="O285" s="273"/>
    </row>
    <row r="286" spans="1:15" hidden="1">
      <c r="A286" s="245">
        <v>44095</v>
      </c>
      <c r="B286" s="245">
        <v>44097</v>
      </c>
      <c r="C286" s="273" t="s">
        <v>11</v>
      </c>
      <c r="D286" s="273">
        <v>10</v>
      </c>
      <c r="E286" s="273">
        <v>5.8333000000000004</v>
      </c>
      <c r="F286" s="273">
        <v>6.8589000000000002</v>
      </c>
      <c r="G286" s="81">
        <f t="shared" si="7"/>
        <v>1.0255999999999998</v>
      </c>
      <c r="H286" s="273"/>
      <c r="I286" s="273"/>
      <c r="J286" s="273"/>
      <c r="K286" s="273"/>
      <c r="L286" s="273"/>
      <c r="M286" s="273"/>
      <c r="N286" s="273"/>
      <c r="O286" s="273"/>
    </row>
    <row r="287" spans="1:15" hidden="1">
      <c r="A287" s="245">
        <v>44095</v>
      </c>
      <c r="B287" s="245">
        <v>44097</v>
      </c>
      <c r="C287" s="273" t="s">
        <v>11</v>
      </c>
      <c r="D287" s="273">
        <v>21</v>
      </c>
      <c r="E287" s="273">
        <v>6.8375000000000004</v>
      </c>
      <c r="F287" s="273">
        <v>8.4291999999999998</v>
      </c>
      <c r="G287" s="81">
        <f t="shared" si="7"/>
        <v>1.5916999999999994</v>
      </c>
      <c r="H287" s="273"/>
      <c r="I287" s="273"/>
      <c r="J287" s="273"/>
      <c r="K287" s="273"/>
      <c r="L287" s="273"/>
      <c r="M287" s="273"/>
      <c r="N287" s="273"/>
      <c r="O287" s="273"/>
    </row>
    <row r="288" spans="1:15" hidden="1">
      <c r="A288" s="245">
        <v>44095</v>
      </c>
      <c r="B288" s="245">
        <v>44097</v>
      </c>
      <c r="C288" s="273" t="s">
        <v>11</v>
      </c>
      <c r="D288" s="273">
        <v>17</v>
      </c>
      <c r="E288" s="273">
        <v>7.0121000000000002</v>
      </c>
      <c r="F288" s="273">
        <v>7.6186999999999996</v>
      </c>
      <c r="G288" s="81">
        <f t="shared" si="7"/>
        <v>0.60659999999999936</v>
      </c>
      <c r="H288" s="273"/>
      <c r="I288" s="273"/>
      <c r="J288" s="273"/>
      <c r="K288" s="273"/>
      <c r="L288" s="273"/>
      <c r="M288" s="273"/>
      <c r="N288" s="273"/>
      <c r="O288" s="273"/>
    </row>
    <row r="289" spans="1:8" hidden="1">
      <c r="A289" s="245">
        <v>44095</v>
      </c>
      <c r="B289" s="245">
        <v>44097</v>
      </c>
      <c r="C289" s="273" t="s">
        <v>11</v>
      </c>
      <c r="D289" s="273">
        <v>13</v>
      </c>
      <c r="E289" s="273">
        <v>7.7488999999999999</v>
      </c>
      <c r="F289" s="273">
        <v>7.8775000000000004</v>
      </c>
      <c r="G289" s="81">
        <f t="shared" si="7"/>
        <v>0.12860000000000049</v>
      </c>
      <c r="H289" s="273"/>
    </row>
    <row r="290" spans="1:8" hidden="1">
      <c r="A290" s="245">
        <v>44095</v>
      </c>
      <c r="B290" s="245">
        <v>44097</v>
      </c>
      <c r="C290" s="273" t="s">
        <v>11</v>
      </c>
      <c r="D290" s="273">
        <v>15</v>
      </c>
      <c r="E290" s="273">
        <v>7.2321999999999997</v>
      </c>
      <c r="F290" s="273">
        <v>7.6258999999999997</v>
      </c>
      <c r="G290" s="81">
        <f t="shared" si="7"/>
        <v>0.39369999999999994</v>
      </c>
      <c r="H290" s="273"/>
    </row>
    <row r="291" spans="1:8" hidden="1">
      <c r="A291" s="245">
        <v>44095</v>
      </c>
      <c r="B291" s="245">
        <v>44097</v>
      </c>
      <c r="C291" s="273" t="s">
        <v>11</v>
      </c>
      <c r="D291" s="273">
        <v>14</v>
      </c>
      <c r="E291" s="273">
        <v>7.1540999999999997</v>
      </c>
      <c r="F291" s="273">
        <v>8.8120999999999992</v>
      </c>
      <c r="G291" s="81">
        <f t="shared" si="7"/>
        <v>1.6579999999999995</v>
      </c>
      <c r="H291" s="273"/>
    </row>
    <row r="292" spans="1:8" hidden="1">
      <c r="A292" s="245">
        <v>44095</v>
      </c>
      <c r="B292" s="245">
        <v>44097</v>
      </c>
      <c r="C292" s="273" t="s">
        <v>11</v>
      </c>
      <c r="D292" s="273">
        <v>18</v>
      </c>
      <c r="E292" s="273">
        <v>6.5437000000000003</v>
      </c>
      <c r="F292" s="273">
        <v>6.8051000000000004</v>
      </c>
      <c r="G292" s="81">
        <f t="shared" si="7"/>
        <v>0.26140000000000008</v>
      </c>
      <c r="H292" s="273"/>
    </row>
    <row r="293" spans="1:8" hidden="1">
      <c r="A293" s="245">
        <v>44095</v>
      </c>
      <c r="B293" s="245">
        <v>44097</v>
      </c>
      <c r="C293" s="273" t="s">
        <v>11</v>
      </c>
      <c r="D293" s="273">
        <v>12</v>
      </c>
      <c r="E293" s="273">
        <v>6.6668000000000003</v>
      </c>
      <c r="F293" s="273">
        <v>6.7492999999999999</v>
      </c>
      <c r="G293" s="81">
        <f t="shared" si="7"/>
        <v>8.2499999999999574E-2</v>
      </c>
      <c r="H293" s="273"/>
    </row>
    <row r="294" spans="1:8" hidden="1">
      <c r="A294" s="245">
        <v>44095</v>
      </c>
      <c r="B294" s="245">
        <v>44097</v>
      </c>
      <c r="C294" s="273" t="s">
        <v>11</v>
      </c>
      <c r="D294" s="273">
        <v>8</v>
      </c>
      <c r="E294" s="273">
        <v>7.3113999999999999</v>
      </c>
      <c r="F294" s="273">
        <v>7.7138</v>
      </c>
      <c r="G294" s="81">
        <f t="shared" si="7"/>
        <v>0.40240000000000009</v>
      </c>
      <c r="H294" s="273"/>
    </row>
    <row r="295" spans="1:8" hidden="1">
      <c r="A295" s="245">
        <v>44095</v>
      </c>
      <c r="B295" s="245">
        <v>44097</v>
      </c>
      <c r="C295" s="273" t="s">
        <v>8</v>
      </c>
      <c r="D295" s="273">
        <v>7</v>
      </c>
      <c r="E295" s="273">
        <v>6.5111999999999997</v>
      </c>
      <c r="F295" s="273">
        <v>9.2876999999999992</v>
      </c>
      <c r="G295" s="81">
        <f t="shared" si="7"/>
        <v>2.7764999999999995</v>
      </c>
      <c r="H295" s="273"/>
    </row>
    <row r="296" spans="1:8" hidden="1">
      <c r="A296" s="245">
        <v>44095</v>
      </c>
      <c r="B296" s="245">
        <v>44097</v>
      </c>
      <c r="C296" s="273" t="s">
        <v>8</v>
      </c>
      <c r="D296" s="273">
        <v>3</v>
      </c>
      <c r="E296" s="273">
        <v>6.7827000000000002</v>
      </c>
      <c r="F296" s="273">
        <v>7.3623000000000003</v>
      </c>
      <c r="G296" s="81">
        <f t="shared" si="7"/>
        <v>0.57960000000000012</v>
      </c>
      <c r="H296" s="273"/>
    </row>
    <row r="297" spans="1:8" hidden="1">
      <c r="A297" s="245">
        <v>44095</v>
      </c>
      <c r="B297" s="245">
        <v>44097</v>
      </c>
      <c r="C297" s="273" t="s">
        <v>8</v>
      </c>
      <c r="D297" s="273">
        <v>9</v>
      </c>
      <c r="E297" s="273">
        <v>7.6897000000000002</v>
      </c>
      <c r="F297" s="273">
        <v>8.9702000000000002</v>
      </c>
      <c r="G297" s="81">
        <f t="shared" si="7"/>
        <v>1.2805</v>
      </c>
      <c r="H297" s="273"/>
    </row>
    <row r="298" spans="1:8" hidden="1">
      <c r="A298" s="245">
        <v>44095</v>
      </c>
      <c r="B298" s="245">
        <v>44097</v>
      </c>
      <c r="C298" s="273" t="s">
        <v>8</v>
      </c>
      <c r="D298" s="273">
        <v>6</v>
      </c>
      <c r="E298" s="273">
        <v>6.6295999999999999</v>
      </c>
      <c r="F298" s="273">
        <v>7.2775999999999996</v>
      </c>
      <c r="G298" s="81">
        <f t="shared" ref="G298:G303" si="8">F298-E298</f>
        <v>0.64799999999999969</v>
      </c>
      <c r="H298" s="273"/>
    </row>
    <row r="299" spans="1:8" hidden="1">
      <c r="A299" s="245">
        <v>44095</v>
      </c>
      <c r="B299" s="245">
        <v>44097</v>
      </c>
      <c r="C299" s="273" t="s">
        <v>8</v>
      </c>
      <c r="D299" s="273">
        <v>2</v>
      </c>
      <c r="E299" s="273">
        <v>7.2131999999999996</v>
      </c>
      <c r="F299" s="273">
        <v>7.4432</v>
      </c>
      <c r="G299" s="81">
        <f t="shared" si="8"/>
        <v>0.23000000000000043</v>
      </c>
      <c r="H299" s="273"/>
    </row>
    <row r="300" spans="1:8" hidden="1">
      <c r="A300" s="245">
        <v>44095</v>
      </c>
      <c r="B300" s="245">
        <v>44097</v>
      </c>
      <c r="C300" s="273" t="s">
        <v>8</v>
      </c>
      <c r="D300" s="273">
        <v>10</v>
      </c>
      <c r="E300" s="273">
        <v>5.7804000000000002</v>
      </c>
      <c r="F300" s="273">
        <v>7.7163000000000004</v>
      </c>
      <c r="G300" s="81">
        <f t="shared" si="8"/>
        <v>1.9359000000000002</v>
      </c>
      <c r="H300" s="273"/>
    </row>
    <row r="301" spans="1:8" hidden="1">
      <c r="A301" s="245">
        <v>44095</v>
      </c>
      <c r="B301" s="245">
        <v>44097</v>
      </c>
      <c r="C301" s="273" t="s">
        <v>8</v>
      </c>
      <c r="D301" s="273">
        <v>1</v>
      </c>
      <c r="E301" s="273">
        <v>7.1109</v>
      </c>
      <c r="F301" s="273">
        <v>7.6749000000000001</v>
      </c>
      <c r="G301" s="81">
        <f t="shared" si="8"/>
        <v>0.56400000000000006</v>
      </c>
      <c r="H301" s="273"/>
    </row>
    <row r="302" spans="1:8" hidden="1">
      <c r="A302" s="245">
        <v>44095</v>
      </c>
      <c r="B302" s="245">
        <v>44097</v>
      </c>
      <c r="C302" s="273" t="s">
        <v>8</v>
      </c>
      <c r="D302" s="273">
        <v>4</v>
      </c>
      <c r="E302" s="273">
        <v>6.4545000000000003</v>
      </c>
      <c r="F302" s="273">
        <v>6.9226999999999999</v>
      </c>
      <c r="G302" s="81">
        <f t="shared" si="8"/>
        <v>0.46819999999999951</v>
      </c>
      <c r="H302" s="273"/>
    </row>
    <row r="303" spans="1:8" hidden="1">
      <c r="A303" s="245">
        <v>44095</v>
      </c>
      <c r="B303" s="245">
        <v>44097</v>
      </c>
      <c r="C303" s="273" t="s">
        <v>8</v>
      </c>
      <c r="D303" s="273">
        <v>8</v>
      </c>
      <c r="E303" s="273">
        <v>6.8912000000000004</v>
      </c>
      <c r="F303" s="273">
        <v>8.3879000000000001</v>
      </c>
      <c r="G303" s="81">
        <f t="shared" si="8"/>
        <v>1.4966999999999997</v>
      </c>
      <c r="H303" s="273"/>
    </row>
    <row r="304" spans="1:8" hidden="1">
      <c r="A304" s="245">
        <v>44097</v>
      </c>
      <c r="B304" s="245">
        <v>44099</v>
      </c>
      <c r="C304" s="273" t="s">
        <v>11</v>
      </c>
      <c r="D304" s="273">
        <v>10</v>
      </c>
      <c r="E304" s="273">
        <v>7.1872999999999996</v>
      </c>
      <c r="F304" s="273">
        <v>8.1630000000000003</v>
      </c>
      <c r="G304" s="273">
        <f>F304-E304</f>
        <v>0.97570000000000068</v>
      </c>
      <c r="H304" s="273">
        <f>SUM(G304:G309)</f>
        <v>3.7015000000000002</v>
      </c>
    </row>
    <row r="305" spans="1:8" hidden="1">
      <c r="A305" s="245">
        <v>44097</v>
      </c>
      <c r="B305" s="245">
        <v>44099</v>
      </c>
      <c r="C305" s="273" t="s">
        <v>11</v>
      </c>
      <c r="D305" s="273">
        <v>22</v>
      </c>
      <c r="E305" s="273">
        <v>6.3236999999999997</v>
      </c>
      <c r="F305" s="273">
        <v>6.6313000000000004</v>
      </c>
      <c r="G305" s="273">
        <f>F305-E305</f>
        <v>0.30760000000000076</v>
      </c>
      <c r="H305" s="273"/>
    </row>
    <row r="306" spans="1:8" hidden="1">
      <c r="A306" s="245">
        <v>44097</v>
      </c>
      <c r="B306" s="245">
        <v>44099</v>
      </c>
      <c r="C306" s="273" t="s">
        <v>11</v>
      </c>
      <c r="D306" s="273">
        <v>15</v>
      </c>
      <c r="E306" s="273">
        <v>8.0020000000000007</v>
      </c>
      <c r="F306" s="273">
        <v>8.3635000000000002</v>
      </c>
      <c r="G306" s="273">
        <f>F306-E306</f>
        <v>0.36149999999999949</v>
      </c>
      <c r="H306" s="273"/>
    </row>
    <row r="307" spans="1:8" hidden="1">
      <c r="A307" s="245">
        <v>44097</v>
      </c>
      <c r="B307" s="245">
        <v>44099</v>
      </c>
      <c r="C307" s="273" t="s">
        <v>11</v>
      </c>
      <c r="D307" s="273">
        <v>21</v>
      </c>
      <c r="E307" s="273">
        <v>7.1539999999999999</v>
      </c>
      <c r="F307" s="273">
        <v>7.6125999999999996</v>
      </c>
      <c r="G307" s="273">
        <f>F307-E307</f>
        <v>0.45859999999999967</v>
      </c>
      <c r="H307" s="273"/>
    </row>
    <row r="308" spans="1:8" hidden="1">
      <c r="A308" s="245">
        <v>44097</v>
      </c>
      <c r="B308" s="245">
        <v>44099</v>
      </c>
      <c r="C308" s="273" t="s">
        <v>11</v>
      </c>
      <c r="D308" s="273">
        <v>20</v>
      </c>
      <c r="E308" s="273">
        <v>7.0189000000000004</v>
      </c>
      <c r="F308" s="273">
        <v>8.3841000000000001</v>
      </c>
      <c r="G308" s="273">
        <f>F308-E308</f>
        <v>1.3651999999999997</v>
      </c>
      <c r="H308" s="273"/>
    </row>
    <row r="309" spans="1:8" hidden="1">
      <c r="A309" s="245">
        <v>44097</v>
      </c>
      <c r="B309" s="245">
        <v>44099</v>
      </c>
      <c r="C309" s="273" t="s">
        <v>11</v>
      </c>
      <c r="D309" s="273">
        <v>17</v>
      </c>
      <c r="E309" s="273">
        <v>7.4173</v>
      </c>
      <c r="F309" s="273">
        <v>7.6501999999999999</v>
      </c>
      <c r="G309" s="273">
        <f>F309-E309</f>
        <v>0.23289999999999988</v>
      </c>
      <c r="H309" s="273"/>
    </row>
    <row r="310" spans="1:8" hidden="1">
      <c r="A310" s="245">
        <v>44097</v>
      </c>
      <c r="B310" s="245">
        <v>44099</v>
      </c>
      <c r="C310" s="273" t="s">
        <v>11</v>
      </c>
      <c r="D310" s="273">
        <v>19</v>
      </c>
      <c r="E310" s="273">
        <v>8.5309000000000008</v>
      </c>
      <c r="F310" s="273">
        <v>9.7309000000000001</v>
      </c>
      <c r="G310" s="273">
        <f>F310-E310</f>
        <v>1.1999999999999993</v>
      </c>
      <c r="H310" s="273">
        <f>SUM(G310:G314)</f>
        <v>3.1002999999999981</v>
      </c>
    </row>
    <row r="311" spans="1:8" hidden="1">
      <c r="A311" s="245">
        <v>44097</v>
      </c>
      <c r="B311" s="245">
        <v>44099</v>
      </c>
      <c r="C311" s="273" t="s">
        <v>11</v>
      </c>
      <c r="D311" s="273">
        <v>13</v>
      </c>
      <c r="E311" s="273">
        <v>6.5519999999999996</v>
      </c>
      <c r="F311" s="273">
        <v>6.5732999999999997</v>
      </c>
      <c r="G311" s="273">
        <f>F311-E311</f>
        <v>2.1300000000000097E-2</v>
      </c>
      <c r="H311" s="273"/>
    </row>
    <row r="312" spans="1:8" hidden="1">
      <c r="A312" s="245">
        <v>44097</v>
      </c>
      <c r="B312" s="245">
        <v>44099</v>
      </c>
      <c r="C312" s="273" t="s">
        <v>11</v>
      </c>
      <c r="D312" s="273">
        <v>11</v>
      </c>
      <c r="E312" s="273">
        <v>7.4013</v>
      </c>
      <c r="F312" s="273">
        <v>7.3807</v>
      </c>
      <c r="G312" s="273">
        <f>F312-E312</f>
        <v>-2.0599999999999952E-2</v>
      </c>
      <c r="H312" s="273"/>
    </row>
    <row r="313" spans="1:8" hidden="1">
      <c r="A313" s="245">
        <v>44097</v>
      </c>
      <c r="B313" s="245">
        <v>44099</v>
      </c>
      <c r="C313" s="273" t="s">
        <v>11</v>
      </c>
      <c r="D313" s="273">
        <v>14</v>
      </c>
      <c r="E313" s="273">
        <v>8.0510000000000002</v>
      </c>
      <c r="F313" s="273">
        <v>9.8707999999999991</v>
      </c>
      <c r="G313" s="273">
        <f>F313-E313</f>
        <v>1.819799999999999</v>
      </c>
      <c r="H313" s="273"/>
    </row>
    <row r="314" spans="1:8" hidden="1">
      <c r="A314" s="245">
        <v>44097</v>
      </c>
      <c r="B314" s="245">
        <v>44099</v>
      </c>
      <c r="C314" s="273" t="s">
        <v>11</v>
      </c>
      <c r="D314" s="273">
        <v>18</v>
      </c>
      <c r="E314" s="273">
        <v>6.3285</v>
      </c>
      <c r="F314" s="273">
        <v>6.4082999999999997</v>
      </c>
      <c r="G314" s="273">
        <f>F314-E314</f>
        <v>7.9799999999999649E-2</v>
      </c>
      <c r="H314" s="273"/>
    </row>
    <row r="315" spans="1:8" hidden="1">
      <c r="A315" s="245">
        <v>44097</v>
      </c>
      <c r="B315" s="245">
        <v>44099</v>
      </c>
      <c r="C315" s="273" t="s">
        <v>16</v>
      </c>
      <c r="D315" s="273">
        <v>24</v>
      </c>
      <c r="E315" s="273">
        <v>6.2720000000000002</v>
      </c>
      <c r="F315" s="273">
        <v>6.3971</v>
      </c>
      <c r="G315" s="273">
        <f>F315-E315</f>
        <v>0.12509999999999977</v>
      </c>
      <c r="H315" s="273">
        <f>SUM(G315:G325)</f>
        <v>4.677299999999998</v>
      </c>
    </row>
    <row r="316" spans="1:8" hidden="1">
      <c r="A316" s="245">
        <v>44097</v>
      </c>
      <c r="B316" s="245">
        <v>44099</v>
      </c>
      <c r="C316" s="273" t="s">
        <v>16</v>
      </c>
      <c r="D316" s="273">
        <v>19</v>
      </c>
      <c r="E316" s="273">
        <v>7.1630000000000003</v>
      </c>
      <c r="F316" s="273">
        <v>7.6148999999999996</v>
      </c>
      <c r="G316" s="273">
        <f>F316-E316</f>
        <v>0.4518999999999993</v>
      </c>
      <c r="H316" s="273"/>
    </row>
    <row r="317" spans="1:8" hidden="1">
      <c r="A317" s="245">
        <v>44097</v>
      </c>
      <c r="B317" s="245">
        <v>44099</v>
      </c>
      <c r="C317" s="273" t="s">
        <v>16</v>
      </c>
      <c r="D317" s="273">
        <v>17</v>
      </c>
      <c r="E317" s="273">
        <v>5.3639999999999999</v>
      </c>
      <c r="F317" s="273">
        <v>5.6726999999999999</v>
      </c>
      <c r="G317" s="273">
        <f>F317-E317</f>
        <v>0.30869999999999997</v>
      </c>
      <c r="H317" s="273"/>
    </row>
    <row r="318" spans="1:8" hidden="1">
      <c r="A318" s="245">
        <v>44097</v>
      </c>
      <c r="B318" s="245">
        <v>44099</v>
      </c>
      <c r="C318" s="273" t="s">
        <v>16</v>
      </c>
      <c r="D318" s="273">
        <v>20</v>
      </c>
      <c r="E318" s="273">
        <v>6.6265000000000001</v>
      </c>
      <c r="F318" s="273">
        <v>7.7721999999999998</v>
      </c>
      <c r="G318" s="273">
        <f>F318-E318</f>
        <v>1.1456999999999997</v>
      </c>
      <c r="H318" s="273"/>
    </row>
    <row r="319" spans="1:8" hidden="1">
      <c r="A319" s="245">
        <v>44097</v>
      </c>
      <c r="B319" s="245">
        <v>44099</v>
      </c>
      <c r="C319" s="273" t="s">
        <v>16</v>
      </c>
      <c r="D319" s="273">
        <v>16</v>
      </c>
      <c r="E319" s="273">
        <v>7.9066000000000001</v>
      </c>
      <c r="F319" s="273">
        <v>7.8609</v>
      </c>
      <c r="G319" s="273">
        <f>F319-E319</f>
        <v>-4.5700000000000074E-2</v>
      </c>
      <c r="H319" s="273"/>
    </row>
    <row r="320" spans="1:8" hidden="1">
      <c r="A320" s="245">
        <v>44097</v>
      </c>
      <c r="B320" s="245">
        <v>44099</v>
      </c>
      <c r="C320" s="273" t="s">
        <v>16</v>
      </c>
      <c r="D320" s="273">
        <v>22</v>
      </c>
      <c r="E320" s="273">
        <v>7.8097000000000003</v>
      </c>
      <c r="F320" s="273">
        <v>9.3658000000000001</v>
      </c>
      <c r="G320" s="273">
        <f>F320-E320</f>
        <v>1.5560999999999998</v>
      </c>
      <c r="H320" s="273"/>
    </row>
    <row r="321" spans="1:8" hidden="1">
      <c r="A321" s="245">
        <v>44097</v>
      </c>
      <c r="B321" s="245">
        <v>44099</v>
      </c>
      <c r="C321" s="273" t="s">
        <v>16</v>
      </c>
      <c r="D321" s="273">
        <v>26</v>
      </c>
      <c r="E321" s="273">
        <v>7.3803999999999998</v>
      </c>
      <c r="F321" s="273">
        <v>7.6936999999999998</v>
      </c>
      <c r="G321" s="273">
        <f>F321-E321</f>
        <v>0.31329999999999991</v>
      </c>
      <c r="H321" s="273"/>
    </row>
    <row r="322" spans="1:8" hidden="1">
      <c r="A322" s="245">
        <v>44097</v>
      </c>
      <c r="B322" s="245">
        <v>44099</v>
      </c>
      <c r="C322" s="273" t="s">
        <v>16</v>
      </c>
      <c r="D322" s="273">
        <v>27</v>
      </c>
      <c r="E322" s="273">
        <v>7.4852999999999996</v>
      </c>
      <c r="F322" s="273">
        <v>7.6231999999999998</v>
      </c>
      <c r="G322" s="273">
        <f>F322-E322</f>
        <v>0.13790000000000013</v>
      </c>
      <c r="H322" s="273"/>
    </row>
    <row r="323" spans="1:8" hidden="1">
      <c r="A323" s="245">
        <v>44097</v>
      </c>
      <c r="B323" s="245">
        <v>44099</v>
      </c>
      <c r="C323" s="273" t="s">
        <v>16</v>
      </c>
      <c r="D323" s="273">
        <v>25</v>
      </c>
      <c r="E323" s="273">
        <v>7.7969999999999997</v>
      </c>
      <c r="F323" s="273">
        <v>8.3765999999999998</v>
      </c>
      <c r="G323" s="273">
        <f>F323-E323</f>
        <v>0.57960000000000012</v>
      </c>
      <c r="H323" s="273"/>
    </row>
    <row r="324" spans="1:8" hidden="1">
      <c r="A324" s="245">
        <v>44097</v>
      </c>
      <c r="B324" s="245">
        <v>44099</v>
      </c>
      <c r="C324" s="273" t="s">
        <v>16</v>
      </c>
      <c r="D324" s="273">
        <v>23</v>
      </c>
      <c r="E324" s="273">
        <v>7.8444000000000003</v>
      </c>
      <c r="F324" s="273">
        <v>7.9532999999999996</v>
      </c>
      <c r="G324" s="273">
        <f>F324-E324</f>
        <v>0.10889999999999933</v>
      </c>
      <c r="H324" s="273"/>
    </row>
    <row r="325" spans="1:8" hidden="1">
      <c r="A325" s="245">
        <v>44097</v>
      </c>
      <c r="B325" s="245">
        <v>44099</v>
      </c>
      <c r="C325" s="273" t="s">
        <v>16</v>
      </c>
      <c r="D325" s="273">
        <v>21</v>
      </c>
      <c r="E325" s="273">
        <v>6.2637</v>
      </c>
      <c r="F325" s="273">
        <v>6.2595000000000001</v>
      </c>
      <c r="G325" s="273">
        <f>F325-E325</f>
        <v>-4.1999999999999815E-3</v>
      </c>
      <c r="H325" s="273"/>
    </row>
    <row r="326" spans="1:8" hidden="1">
      <c r="A326" s="245">
        <v>44097</v>
      </c>
      <c r="B326" s="245">
        <v>44099</v>
      </c>
      <c r="C326" s="273" t="s">
        <v>19</v>
      </c>
      <c r="D326" s="273">
        <v>7</v>
      </c>
      <c r="E326" s="273">
        <v>7.3678999999999997</v>
      </c>
      <c r="F326" s="273">
        <v>13.258900000000001</v>
      </c>
      <c r="G326" s="273">
        <f>F326-E326</f>
        <v>5.8910000000000009</v>
      </c>
      <c r="H326" s="273">
        <f>G326</f>
        <v>5.8910000000000009</v>
      </c>
    </row>
    <row r="327" spans="1:8" hidden="1">
      <c r="A327" s="245">
        <v>44097</v>
      </c>
      <c r="B327" s="245">
        <v>44099</v>
      </c>
      <c r="C327" s="273" t="s">
        <v>24</v>
      </c>
      <c r="D327" s="273">
        <v>2</v>
      </c>
      <c r="E327" s="273">
        <v>7.8544</v>
      </c>
      <c r="F327" s="273">
        <v>10.0243</v>
      </c>
      <c r="G327" s="273">
        <f>F327-E327</f>
        <v>2.1699000000000002</v>
      </c>
      <c r="H327" s="273">
        <f>SUM(G327:G328)</f>
        <v>2.3075000000000001</v>
      </c>
    </row>
    <row r="328" spans="1:8" hidden="1">
      <c r="A328" s="245">
        <v>44097</v>
      </c>
      <c r="B328" s="245">
        <v>44099</v>
      </c>
      <c r="C328" s="273" t="s">
        <v>24</v>
      </c>
      <c r="D328" s="273">
        <v>1</v>
      </c>
      <c r="E328" s="273">
        <v>7.6067</v>
      </c>
      <c r="F328" s="273">
        <v>7.7443</v>
      </c>
      <c r="G328" s="273">
        <f>F328-E328</f>
        <v>0.13759999999999994</v>
      </c>
      <c r="H328" s="273"/>
    </row>
    <row r="329" spans="1:8" hidden="1">
      <c r="A329" s="245">
        <v>44097</v>
      </c>
      <c r="B329" s="245">
        <v>44099</v>
      </c>
      <c r="C329" s="273" t="s">
        <v>8</v>
      </c>
      <c r="D329" s="273">
        <v>7</v>
      </c>
      <c r="E329" s="273">
        <v>6.9851999999999999</v>
      </c>
      <c r="F329" s="273">
        <v>10.1281</v>
      </c>
      <c r="G329" s="273">
        <f>F329-E329</f>
        <v>3.1429</v>
      </c>
      <c r="H329" s="273">
        <f>SUM(G329)</f>
        <v>3.1429</v>
      </c>
    </row>
    <row r="330" spans="1:8" hidden="1">
      <c r="A330" s="245">
        <v>44097</v>
      </c>
      <c r="B330" s="245">
        <v>44099</v>
      </c>
      <c r="C330" s="273" t="s">
        <v>8</v>
      </c>
      <c r="D330" s="273">
        <v>9</v>
      </c>
      <c r="E330" s="273">
        <v>6.9137000000000004</v>
      </c>
      <c r="F330" s="273">
        <v>8.6316000000000006</v>
      </c>
      <c r="G330" s="273">
        <f>F330-E330</f>
        <v>1.7179000000000002</v>
      </c>
      <c r="H330" s="273">
        <f>SUM(G330:G333)</f>
        <v>3.3003000000000009</v>
      </c>
    </row>
    <row r="331" spans="1:8" hidden="1">
      <c r="A331" s="245">
        <v>44097</v>
      </c>
      <c r="B331" s="245">
        <v>44099</v>
      </c>
      <c r="C331" s="273" t="s">
        <v>8</v>
      </c>
      <c r="D331" s="273">
        <v>3</v>
      </c>
      <c r="E331" s="273">
        <v>6.4093999999999998</v>
      </c>
      <c r="F331" s="273">
        <v>6.5266999999999999</v>
      </c>
      <c r="G331" s="273">
        <f>F331-E331</f>
        <v>0.11730000000000018</v>
      </c>
      <c r="H331" s="273"/>
    </row>
    <row r="332" spans="1:8" hidden="1">
      <c r="A332" s="245">
        <v>44097</v>
      </c>
      <c r="B332" s="245">
        <v>44099</v>
      </c>
      <c r="C332" s="273" t="s">
        <v>8</v>
      </c>
      <c r="D332" s="273">
        <v>6</v>
      </c>
      <c r="E332" s="273">
        <v>5.5236999999999998</v>
      </c>
      <c r="F332" s="273">
        <v>6.7503000000000002</v>
      </c>
      <c r="G332" s="273">
        <f>F332-E332</f>
        <v>1.2266000000000004</v>
      </c>
      <c r="H332" s="273"/>
    </row>
    <row r="333" spans="1:8" hidden="1">
      <c r="A333" s="245">
        <v>44097</v>
      </c>
      <c r="B333" s="245">
        <v>44099</v>
      </c>
      <c r="C333" s="273" t="s">
        <v>8</v>
      </c>
      <c r="D333" s="273">
        <v>1</v>
      </c>
      <c r="E333" s="273">
        <v>6.3216999999999999</v>
      </c>
      <c r="F333" s="273">
        <v>6.5602</v>
      </c>
      <c r="G333" s="273">
        <f>F333-E333</f>
        <v>0.23850000000000016</v>
      </c>
      <c r="H333" s="273"/>
    </row>
    <row r="334" spans="1:8" hidden="1">
      <c r="A334" s="245">
        <v>44097</v>
      </c>
      <c r="B334" s="245">
        <v>44099</v>
      </c>
      <c r="C334" s="273" t="s">
        <v>8</v>
      </c>
      <c r="D334" s="273">
        <v>10</v>
      </c>
      <c r="E334" s="273">
        <v>7.76</v>
      </c>
      <c r="F334" s="273">
        <v>10.5403</v>
      </c>
      <c r="G334" s="273">
        <f>F334-E334</f>
        <v>2.7803000000000004</v>
      </c>
      <c r="H334" s="273">
        <f>SUM(G334:G337)</f>
        <v>5.0887000000000002</v>
      </c>
    </row>
    <row r="335" spans="1:8" hidden="1">
      <c r="A335" s="245">
        <v>44097</v>
      </c>
      <c r="B335" s="245">
        <v>44099</v>
      </c>
      <c r="C335" s="273" t="s">
        <v>8</v>
      </c>
      <c r="D335" s="273">
        <v>2</v>
      </c>
      <c r="E335" s="273">
        <v>7.3658000000000001</v>
      </c>
      <c r="F335" s="273">
        <v>7.6181000000000001</v>
      </c>
      <c r="G335" s="273">
        <f>F335-E335</f>
        <v>0.25229999999999997</v>
      </c>
      <c r="H335" s="273"/>
    </row>
    <row r="336" spans="1:8" hidden="1">
      <c r="A336" s="245">
        <v>44097</v>
      </c>
      <c r="B336" s="245">
        <v>44099</v>
      </c>
      <c r="C336" s="273" t="s">
        <v>8</v>
      </c>
      <c r="D336" s="273">
        <v>4</v>
      </c>
      <c r="E336" s="273">
        <v>6.2359999999999998</v>
      </c>
      <c r="F336" s="273">
        <v>6.8307000000000002</v>
      </c>
      <c r="G336" s="273">
        <f>F336-E336</f>
        <v>0.59470000000000045</v>
      </c>
      <c r="H336" s="273"/>
    </row>
    <row r="337" spans="1:8" hidden="1">
      <c r="A337" s="245">
        <v>44097</v>
      </c>
      <c r="B337" s="245">
        <v>44099</v>
      </c>
      <c r="C337" s="273" t="s">
        <v>8</v>
      </c>
      <c r="D337" s="273">
        <v>8</v>
      </c>
      <c r="E337" s="273">
        <v>6.5419999999999998</v>
      </c>
      <c r="F337" s="273">
        <v>8.0033999999999992</v>
      </c>
      <c r="G337" s="273">
        <f>F337-E337</f>
        <v>1.4613999999999994</v>
      </c>
      <c r="H337" s="273" t="s">
        <v>25</v>
      </c>
    </row>
    <row r="338" spans="1:8" hidden="1">
      <c r="A338" s="245">
        <v>44099</v>
      </c>
      <c r="B338" s="245">
        <v>44102</v>
      </c>
      <c r="C338" s="273" t="s">
        <v>8</v>
      </c>
      <c r="D338" s="273">
        <v>2</v>
      </c>
      <c r="E338" s="273">
        <v>9.9595000000000002</v>
      </c>
      <c r="F338" s="273">
        <v>10.1074</v>
      </c>
      <c r="G338" s="273">
        <f t="shared" ref="G338:G378" si="9">F338-E338</f>
        <v>0.14789999999999992</v>
      </c>
      <c r="H338" s="273">
        <f>SUM(G338:G343)</f>
        <v>5.8036000000000012</v>
      </c>
    </row>
    <row r="339" spans="1:8" hidden="1">
      <c r="A339" s="245">
        <v>44099</v>
      </c>
      <c r="B339" s="245">
        <v>44102</v>
      </c>
      <c r="C339" s="273" t="s">
        <v>8</v>
      </c>
      <c r="D339" s="273">
        <v>4</v>
      </c>
      <c r="E339" s="273">
        <v>7.3940000000000001</v>
      </c>
      <c r="F339" s="273">
        <v>7.6601999999999997</v>
      </c>
      <c r="G339" s="273">
        <f t="shared" si="9"/>
        <v>0.26619999999999955</v>
      </c>
      <c r="H339" s="273"/>
    </row>
    <row r="340" spans="1:8" hidden="1">
      <c r="A340" s="245">
        <v>44099</v>
      </c>
      <c r="B340" s="245">
        <v>44102</v>
      </c>
      <c r="C340" s="273" t="s">
        <v>8</v>
      </c>
      <c r="D340" s="273">
        <v>10</v>
      </c>
      <c r="E340" s="273">
        <v>7.9920999999999998</v>
      </c>
      <c r="F340" s="273">
        <v>9.8587000000000007</v>
      </c>
      <c r="G340" s="273">
        <f t="shared" si="9"/>
        <v>1.8666000000000009</v>
      </c>
      <c r="H340" s="273"/>
    </row>
    <row r="341" spans="1:8" hidden="1">
      <c r="A341" s="245">
        <v>44099</v>
      </c>
      <c r="B341" s="245">
        <v>44102</v>
      </c>
      <c r="C341" s="273" t="s">
        <v>8</v>
      </c>
      <c r="D341" s="273">
        <v>7</v>
      </c>
      <c r="E341" s="273">
        <v>7.3609999999999998</v>
      </c>
      <c r="F341" s="273">
        <v>9.6888000000000005</v>
      </c>
      <c r="G341" s="273">
        <f t="shared" si="9"/>
        <v>2.3278000000000008</v>
      </c>
      <c r="H341" s="273"/>
    </row>
    <row r="342" spans="1:8" hidden="1">
      <c r="A342" s="245">
        <v>44099</v>
      </c>
      <c r="B342" s="245">
        <v>44102</v>
      </c>
      <c r="C342" s="273" t="s">
        <v>8</v>
      </c>
      <c r="D342" s="273">
        <v>9</v>
      </c>
      <c r="E342" s="273">
        <v>7.3575999999999997</v>
      </c>
      <c r="F342" s="273">
        <v>8.1382999999999992</v>
      </c>
      <c r="G342" s="273">
        <f t="shared" si="9"/>
        <v>0.78069999999999951</v>
      </c>
      <c r="H342" s="273"/>
    </row>
    <row r="343" spans="1:8" hidden="1">
      <c r="A343" s="245">
        <v>44099</v>
      </c>
      <c r="B343" s="245">
        <v>44102</v>
      </c>
      <c r="C343" s="273" t="s">
        <v>8</v>
      </c>
      <c r="D343" s="273">
        <v>6</v>
      </c>
      <c r="E343" s="273">
        <v>6.3202999999999996</v>
      </c>
      <c r="F343" s="273">
        <v>6.7347000000000001</v>
      </c>
      <c r="G343" s="273">
        <f t="shared" si="9"/>
        <v>0.41440000000000055</v>
      </c>
      <c r="H343" s="273"/>
    </row>
    <row r="344" spans="1:8" hidden="1">
      <c r="A344" s="245">
        <v>44099</v>
      </c>
      <c r="B344" s="245">
        <v>44102</v>
      </c>
      <c r="C344" s="273" t="s">
        <v>19</v>
      </c>
      <c r="D344" s="273">
        <v>5</v>
      </c>
      <c r="E344" s="273">
        <v>6.1950000000000003</v>
      </c>
      <c r="F344" s="273">
        <v>6.5384000000000002</v>
      </c>
      <c r="G344" s="273">
        <f t="shared" si="9"/>
        <v>0.34339999999999993</v>
      </c>
      <c r="H344" s="273"/>
    </row>
    <row r="345" spans="1:8" hidden="1">
      <c r="A345" s="245">
        <v>44099</v>
      </c>
      <c r="B345" s="245">
        <v>44102</v>
      </c>
      <c r="C345" s="273" t="s">
        <v>19</v>
      </c>
      <c r="D345" s="273">
        <v>6</v>
      </c>
      <c r="E345" s="273">
        <v>7.2976000000000001</v>
      </c>
      <c r="F345" s="273">
        <v>7.5366</v>
      </c>
      <c r="G345" s="273">
        <f t="shared" si="9"/>
        <v>0.23899999999999988</v>
      </c>
      <c r="H345" s="273"/>
    </row>
    <row r="346" spans="1:8" hidden="1">
      <c r="A346" s="245">
        <v>44099</v>
      </c>
      <c r="B346" s="245">
        <v>44102</v>
      </c>
      <c r="C346" s="273" t="s">
        <v>19</v>
      </c>
      <c r="D346" s="273">
        <v>7</v>
      </c>
      <c r="E346" s="273">
        <v>7.3956</v>
      </c>
      <c r="F346" s="273">
        <v>8.7231000000000005</v>
      </c>
      <c r="G346" s="273">
        <f t="shared" si="9"/>
        <v>1.3275000000000006</v>
      </c>
      <c r="H346" s="273"/>
    </row>
    <row r="347" spans="1:8" hidden="1">
      <c r="A347" s="245">
        <v>44099</v>
      </c>
      <c r="B347" s="245">
        <v>44102</v>
      </c>
      <c r="C347" s="273" t="s">
        <v>11</v>
      </c>
      <c r="D347" s="273">
        <v>22</v>
      </c>
      <c r="E347" s="273">
        <v>8.26</v>
      </c>
      <c r="F347" s="273">
        <v>9.5071999999999992</v>
      </c>
      <c r="G347" s="273">
        <f t="shared" si="9"/>
        <v>1.2471999999999994</v>
      </c>
      <c r="H347" s="273">
        <f>SUM(G347:G354)</f>
        <v>3.4995000000000021</v>
      </c>
    </row>
    <row r="348" spans="1:8" hidden="1">
      <c r="A348" s="245">
        <v>44099</v>
      </c>
      <c r="B348" s="245">
        <v>44102</v>
      </c>
      <c r="C348" s="273" t="s">
        <v>11</v>
      </c>
      <c r="D348" s="273">
        <v>10</v>
      </c>
      <c r="E348" s="273">
        <v>7.3185000000000002</v>
      </c>
      <c r="F348" s="273">
        <v>7.5928000000000004</v>
      </c>
      <c r="G348" s="273">
        <f t="shared" si="9"/>
        <v>0.27430000000000021</v>
      </c>
      <c r="H348" s="273"/>
    </row>
    <row r="349" spans="1:8" hidden="1">
      <c r="A349" s="245">
        <v>44099</v>
      </c>
      <c r="B349" s="245">
        <v>44102</v>
      </c>
      <c r="C349" s="273" t="s">
        <v>11</v>
      </c>
      <c r="D349" s="273">
        <v>13</v>
      </c>
      <c r="E349" s="273">
        <v>5.5137</v>
      </c>
      <c r="F349" s="273">
        <v>5.6596000000000002</v>
      </c>
      <c r="G349" s="273">
        <f t="shared" si="9"/>
        <v>0.14590000000000014</v>
      </c>
      <c r="H349" s="273"/>
    </row>
    <row r="350" spans="1:8" hidden="1">
      <c r="A350" s="245">
        <v>44099</v>
      </c>
      <c r="B350" s="245">
        <v>44102</v>
      </c>
      <c r="C350" s="273" t="s">
        <v>11</v>
      </c>
      <c r="D350" s="273">
        <v>17</v>
      </c>
      <c r="E350" s="273">
        <v>7.5651999999999999</v>
      </c>
      <c r="F350" s="273">
        <v>7.7367999999999997</v>
      </c>
      <c r="G350" s="273">
        <f t="shared" si="9"/>
        <v>0.17159999999999975</v>
      </c>
      <c r="H350" s="273"/>
    </row>
    <row r="351" spans="1:8" hidden="1">
      <c r="A351" s="245">
        <v>44099</v>
      </c>
      <c r="B351" s="245">
        <v>44102</v>
      </c>
      <c r="C351" s="273" t="s">
        <v>11</v>
      </c>
      <c r="D351" s="273">
        <v>15</v>
      </c>
      <c r="E351" s="273">
        <v>7.0636999999999999</v>
      </c>
      <c r="F351" s="273">
        <v>7.5983000000000001</v>
      </c>
      <c r="G351" s="273">
        <f t="shared" si="9"/>
        <v>0.53460000000000019</v>
      </c>
      <c r="H351" s="273"/>
    </row>
    <row r="352" spans="1:8" hidden="1">
      <c r="A352" s="245">
        <v>44099</v>
      </c>
      <c r="B352" s="245">
        <v>44102</v>
      </c>
      <c r="C352" s="273" t="s">
        <v>11</v>
      </c>
      <c r="D352" s="273">
        <v>18</v>
      </c>
      <c r="E352" s="273">
        <v>7.8301999999999996</v>
      </c>
      <c r="F352" s="273">
        <v>7.9431000000000003</v>
      </c>
      <c r="G352" s="273">
        <f t="shared" si="9"/>
        <v>0.11290000000000067</v>
      </c>
      <c r="H352" s="273"/>
    </row>
    <row r="353" spans="1:8" hidden="1">
      <c r="A353" s="245">
        <v>44099</v>
      </c>
      <c r="B353" s="245">
        <v>44102</v>
      </c>
      <c r="C353" s="273" t="s">
        <v>11</v>
      </c>
      <c r="D353" s="273">
        <v>19</v>
      </c>
      <c r="E353" s="273">
        <v>7.8140000000000001</v>
      </c>
      <c r="F353" s="273">
        <v>8.1409000000000002</v>
      </c>
      <c r="G353" s="273">
        <f t="shared" si="9"/>
        <v>0.32690000000000019</v>
      </c>
      <c r="H353" s="273"/>
    </row>
    <row r="354" spans="1:8" hidden="1">
      <c r="A354" s="245">
        <v>44099</v>
      </c>
      <c r="B354" s="245">
        <v>44102</v>
      </c>
      <c r="C354" s="273" t="s">
        <v>11</v>
      </c>
      <c r="D354" s="273">
        <v>20</v>
      </c>
      <c r="E354" s="273">
        <v>8.5833999999999993</v>
      </c>
      <c r="F354" s="273">
        <v>9.2695000000000007</v>
      </c>
      <c r="G354" s="273">
        <f t="shared" si="9"/>
        <v>0.68610000000000149</v>
      </c>
      <c r="H354" s="273"/>
    </row>
    <row r="355" spans="1:8" hidden="1">
      <c r="A355" s="245">
        <v>44099</v>
      </c>
      <c r="B355" s="245">
        <v>44102</v>
      </c>
      <c r="C355" s="273" t="s">
        <v>16</v>
      </c>
      <c r="D355" s="273">
        <v>19</v>
      </c>
      <c r="E355" s="273">
        <v>7.6985000000000001</v>
      </c>
      <c r="F355" s="273">
        <v>7.8234000000000004</v>
      </c>
      <c r="G355" s="273">
        <f t="shared" si="9"/>
        <v>0.12490000000000023</v>
      </c>
      <c r="H355" s="273">
        <f>SUM(G355:G362)+G366+G342+G365</f>
        <v>4.1313999999999984</v>
      </c>
    </row>
    <row r="356" spans="1:8" hidden="1">
      <c r="A356" s="245">
        <v>44099</v>
      </c>
      <c r="B356" s="245">
        <v>44102</v>
      </c>
      <c r="C356" s="273" t="s">
        <v>16</v>
      </c>
      <c r="D356" s="273">
        <v>27</v>
      </c>
      <c r="E356" s="273">
        <v>8.0988000000000007</v>
      </c>
      <c r="F356" s="273">
        <v>8.2294</v>
      </c>
      <c r="G356" s="273">
        <f t="shared" si="9"/>
        <v>0.13059999999999938</v>
      </c>
      <c r="H356" s="273"/>
    </row>
    <row r="357" spans="1:8" hidden="1">
      <c r="A357" s="245">
        <v>44099</v>
      </c>
      <c r="B357" s="245">
        <v>44102</v>
      </c>
      <c r="C357" s="273" t="s">
        <v>16</v>
      </c>
      <c r="D357" s="273">
        <v>22</v>
      </c>
      <c r="E357" s="273">
        <v>8.3215000000000003</v>
      </c>
      <c r="F357" s="273">
        <v>8.7288999999999994</v>
      </c>
      <c r="G357" s="273">
        <f t="shared" si="9"/>
        <v>0.4073999999999991</v>
      </c>
      <c r="H357" s="273"/>
    </row>
    <row r="358" spans="1:8" hidden="1">
      <c r="A358" s="245">
        <v>44099</v>
      </c>
      <c r="B358" s="245">
        <v>44102</v>
      </c>
      <c r="C358" s="273" t="s">
        <v>16</v>
      </c>
      <c r="D358" s="273">
        <v>20</v>
      </c>
      <c r="E358" s="273">
        <v>5.1276000000000002</v>
      </c>
      <c r="F358" s="273">
        <v>5.6882000000000001</v>
      </c>
      <c r="G358" s="273">
        <f t="shared" si="9"/>
        <v>0.56059999999999999</v>
      </c>
      <c r="H358" s="273"/>
    </row>
    <row r="359" spans="1:8" hidden="1">
      <c r="A359" s="245">
        <v>44099</v>
      </c>
      <c r="B359" s="245">
        <v>44102</v>
      </c>
      <c r="C359" s="273" t="s">
        <v>16</v>
      </c>
      <c r="D359" s="273">
        <v>18</v>
      </c>
      <c r="E359" s="273">
        <v>6.7152000000000003</v>
      </c>
      <c r="F359" s="273">
        <v>6.8613</v>
      </c>
      <c r="G359" s="273">
        <f t="shared" si="9"/>
        <v>0.14609999999999967</v>
      </c>
      <c r="H359" s="273"/>
    </row>
    <row r="360" spans="1:8" hidden="1">
      <c r="A360" s="245">
        <v>44099</v>
      </c>
      <c r="B360" s="245">
        <v>44102</v>
      </c>
      <c r="C360" s="273" t="s">
        <v>16</v>
      </c>
      <c r="D360" s="273">
        <v>17</v>
      </c>
      <c r="E360" s="273">
        <v>6.5514999999999999</v>
      </c>
      <c r="F360" s="273">
        <v>6.7202999999999999</v>
      </c>
      <c r="G360" s="273">
        <f t="shared" si="9"/>
        <v>0.16880000000000006</v>
      </c>
      <c r="H360" s="273"/>
    </row>
    <row r="361" spans="1:8" hidden="1">
      <c r="A361" s="245">
        <v>44099</v>
      </c>
      <c r="B361" s="245">
        <v>44102</v>
      </c>
      <c r="C361" s="273" t="s">
        <v>16</v>
      </c>
      <c r="D361" s="273">
        <v>25</v>
      </c>
      <c r="E361" s="273">
        <v>7.0636999999999999</v>
      </c>
      <c r="F361" s="273">
        <v>7.3064</v>
      </c>
      <c r="G361" s="273">
        <f t="shared" si="9"/>
        <v>0.24270000000000014</v>
      </c>
      <c r="H361" s="273"/>
    </row>
    <row r="362" spans="1:8" hidden="1">
      <c r="A362" s="245">
        <v>44099</v>
      </c>
      <c r="B362" s="245">
        <v>44102</v>
      </c>
      <c r="C362" s="273" t="s">
        <v>16</v>
      </c>
      <c r="D362" s="273">
        <v>26</v>
      </c>
      <c r="E362" s="273">
        <v>8.0127000000000006</v>
      </c>
      <c r="F362" s="273">
        <v>8.1598000000000006</v>
      </c>
      <c r="G362" s="273">
        <f t="shared" si="9"/>
        <v>0.14710000000000001</v>
      </c>
      <c r="H362" s="273"/>
    </row>
    <row r="363" spans="1:8" hidden="1">
      <c r="A363" s="245">
        <v>44099</v>
      </c>
      <c r="B363" s="245">
        <v>44102</v>
      </c>
      <c r="C363" s="273" t="s">
        <v>24</v>
      </c>
      <c r="D363" s="273">
        <v>2</v>
      </c>
      <c r="E363" s="273">
        <v>7.3533999999999997</v>
      </c>
      <c r="F363" s="273">
        <v>7.4070999999999998</v>
      </c>
      <c r="G363" s="273">
        <f t="shared" si="9"/>
        <v>5.3700000000000081E-2</v>
      </c>
      <c r="H363" s="273"/>
    </row>
    <row r="364" spans="1:8" hidden="1">
      <c r="A364" s="245">
        <v>44099</v>
      </c>
      <c r="B364" s="245">
        <v>44102</v>
      </c>
      <c r="C364" s="273" t="s">
        <v>24</v>
      </c>
      <c r="D364" s="273">
        <v>2</v>
      </c>
      <c r="E364" s="273">
        <v>6.6921999999999997</v>
      </c>
      <c r="F364" s="273">
        <v>7.1276999999999999</v>
      </c>
      <c r="G364" s="273">
        <f t="shared" si="9"/>
        <v>0.43550000000000022</v>
      </c>
      <c r="H364" s="273"/>
    </row>
    <row r="365" spans="1:8" hidden="1">
      <c r="A365" s="245">
        <v>44099</v>
      </c>
      <c r="B365" s="245">
        <v>44102</v>
      </c>
      <c r="C365" s="273" t="s">
        <v>11</v>
      </c>
      <c r="D365" s="273">
        <v>14</v>
      </c>
      <c r="E365" s="273">
        <v>8.0693000000000001</v>
      </c>
      <c r="F365" s="273">
        <v>8.6918000000000006</v>
      </c>
      <c r="G365" s="273">
        <f t="shared" si="9"/>
        <v>0.6225000000000005</v>
      </c>
      <c r="H365" s="273"/>
    </row>
    <row r="366" spans="1:8" hidden="1">
      <c r="A366" s="245">
        <v>44099</v>
      </c>
      <c r="B366" s="245">
        <v>44102</v>
      </c>
      <c r="C366" s="273" t="s">
        <v>8</v>
      </c>
      <c r="D366" s="273">
        <v>8</v>
      </c>
      <c r="E366" s="273">
        <v>7.9013</v>
      </c>
      <c r="F366" s="273">
        <v>8.7012999999999998</v>
      </c>
      <c r="G366" s="273">
        <f t="shared" si="9"/>
        <v>0.79999999999999982</v>
      </c>
      <c r="H366" s="273"/>
    </row>
    <row r="367" spans="1:8" hidden="1">
      <c r="A367" s="245">
        <v>44102</v>
      </c>
      <c r="B367" s="245">
        <v>44104</v>
      </c>
      <c r="C367" s="273" t="s">
        <v>8</v>
      </c>
      <c r="D367" s="273">
        <v>10</v>
      </c>
      <c r="E367" s="273">
        <v>7.7233000000000001</v>
      </c>
      <c r="F367" s="273">
        <v>8.1890000000000001</v>
      </c>
      <c r="G367" s="273">
        <f t="shared" si="9"/>
        <v>0.4657</v>
      </c>
      <c r="H367" s="273"/>
    </row>
    <row r="368" spans="1:8" hidden="1">
      <c r="A368" s="245">
        <v>44102</v>
      </c>
      <c r="B368" s="245">
        <v>44104</v>
      </c>
      <c r="C368" s="273" t="s">
        <v>8</v>
      </c>
      <c r="D368" s="273">
        <v>2</v>
      </c>
      <c r="E368" s="273">
        <v>7.4282000000000004</v>
      </c>
      <c r="F368" s="273">
        <v>7.4759000000000002</v>
      </c>
      <c r="G368" s="273">
        <f t="shared" si="9"/>
        <v>4.7699999999999854E-2</v>
      </c>
      <c r="H368" s="273"/>
    </row>
    <row r="369" spans="1:7" hidden="1">
      <c r="A369" s="245">
        <v>44102</v>
      </c>
      <c r="B369" s="245">
        <v>44104</v>
      </c>
      <c r="C369" s="273" t="s">
        <v>8</v>
      </c>
      <c r="D369" s="273">
        <v>1</v>
      </c>
      <c r="E369" s="273">
        <v>6.2457000000000003</v>
      </c>
      <c r="F369" s="273">
        <v>6.4217000000000004</v>
      </c>
      <c r="G369" s="273">
        <f t="shared" si="9"/>
        <v>0.17600000000000016</v>
      </c>
    </row>
    <row r="370" spans="1:7" hidden="1">
      <c r="A370" s="245">
        <v>44102</v>
      </c>
      <c r="B370" s="245">
        <v>44104</v>
      </c>
      <c r="C370" s="273" t="s">
        <v>8</v>
      </c>
      <c r="D370" s="273">
        <v>8</v>
      </c>
      <c r="E370" s="273">
        <v>7.7934999999999999</v>
      </c>
      <c r="F370" s="273">
        <v>8.5709</v>
      </c>
      <c r="G370" s="273">
        <f t="shared" si="9"/>
        <v>0.77740000000000009</v>
      </c>
    </row>
    <row r="371" spans="1:7" hidden="1">
      <c r="A371" s="245">
        <v>44102</v>
      </c>
      <c r="B371" s="245">
        <v>44104</v>
      </c>
      <c r="C371" s="273" t="s">
        <v>8</v>
      </c>
      <c r="D371" s="273">
        <v>3</v>
      </c>
      <c r="E371" s="273">
        <v>6.4390999999999998</v>
      </c>
      <c r="F371" s="273">
        <v>6.7195</v>
      </c>
      <c r="G371" s="273">
        <f t="shared" si="9"/>
        <v>0.2804000000000002</v>
      </c>
    </row>
    <row r="372" spans="1:7" hidden="1">
      <c r="A372" s="245">
        <v>44102</v>
      </c>
      <c r="B372" s="245">
        <v>44104</v>
      </c>
      <c r="C372" s="273" t="s">
        <v>8</v>
      </c>
      <c r="D372" s="273">
        <v>6</v>
      </c>
      <c r="E372" s="273">
        <v>7.9691999999999998</v>
      </c>
      <c r="F372" s="273">
        <v>8.1737000000000002</v>
      </c>
      <c r="G372" s="273">
        <f t="shared" si="9"/>
        <v>0.20450000000000035</v>
      </c>
    </row>
    <row r="373" spans="1:7" hidden="1">
      <c r="A373" s="245">
        <v>44102</v>
      </c>
      <c r="B373" s="245">
        <v>44104</v>
      </c>
      <c r="C373" s="273" t="s">
        <v>8</v>
      </c>
      <c r="D373" s="273">
        <v>7</v>
      </c>
      <c r="E373" s="273">
        <v>7.1318999999999999</v>
      </c>
      <c r="F373" s="273">
        <v>7.6428000000000003</v>
      </c>
      <c r="G373" s="273">
        <f t="shared" si="9"/>
        <v>0.51090000000000035</v>
      </c>
    </row>
    <row r="374" spans="1:7" hidden="1">
      <c r="A374" s="245">
        <v>44102</v>
      </c>
      <c r="B374" s="245">
        <v>44104</v>
      </c>
      <c r="C374" s="273" t="s">
        <v>8</v>
      </c>
      <c r="D374" s="273">
        <v>9</v>
      </c>
      <c r="E374" s="273">
        <v>7.3403</v>
      </c>
      <c r="F374" s="273">
        <v>7.6745999999999999</v>
      </c>
      <c r="G374" s="273">
        <f t="shared" si="9"/>
        <v>0.33429999999999982</v>
      </c>
    </row>
    <row r="375" spans="1:7" hidden="1">
      <c r="A375" s="245">
        <v>44102</v>
      </c>
      <c r="B375" s="245">
        <v>44104</v>
      </c>
      <c r="C375" s="273" t="s">
        <v>19</v>
      </c>
      <c r="D375" s="273">
        <v>4</v>
      </c>
      <c r="E375" s="273">
        <v>6.6387999999999998</v>
      </c>
      <c r="F375" s="273">
        <v>6.8433000000000002</v>
      </c>
      <c r="G375" s="273">
        <f t="shared" si="9"/>
        <v>0.20450000000000035</v>
      </c>
    </row>
    <row r="376" spans="1:7" hidden="1">
      <c r="A376" s="245">
        <v>44102</v>
      </c>
      <c r="B376" s="245">
        <v>44104</v>
      </c>
      <c r="C376" s="273" t="s">
        <v>19</v>
      </c>
      <c r="D376" s="273">
        <v>7</v>
      </c>
      <c r="E376" s="273">
        <v>6.9199000000000002</v>
      </c>
      <c r="F376" s="273">
        <v>7.1509</v>
      </c>
      <c r="G376" s="273">
        <f t="shared" si="9"/>
        <v>0.23099999999999987</v>
      </c>
    </row>
    <row r="377" spans="1:7" hidden="1">
      <c r="A377" s="245">
        <v>44102</v>
      </c>
      <c r="B377" s="245">
        <v>44104</v>
      </c>
      <c r="C377" s="273" t="s">
        <v>19</v>
      </c>
      <c r="D377" s="273">
        <v>5</v>
      </c>
      <c r="E377" s="273">
        <v>7.2812999999999999</v>
      </c>
      <c r="F377" s="273">
        <v>7.7720000000000002</v>
      </c>
      <c r="G377" s="273">
        <f t="shared" si="9"/>
        <v>0.49070000000000036</v>
      </c>
    </row>
    <row r="378" spans="1:7" hidden="1">
      <c r="A378" s="245">
        <v>44102</v>
      </c>
      <c r="B378" s="245">
        <v>44104</v>
      </c>
      <c r="C378" s="273" t="s">
        <v>19</v>
      </c>
      <c r="D378" s="273">
        <v>6</v>
      </c>
      <c r="E378" s="273">
        <v>7.8243</v>
      </c>
      <c r="F378" s="273">
        <v>8.0107999999999997</v>
      </c>
      <c r="G378" s="273">
        <f t="shared" si="9"/>
        <v>0.18649999999999967</v>
      </c>
    </row>
    <row r="379" spans="1:7" hidden="1">
      <c r="A379" s="245">
        <v>44102</v>
      </c>
      <c r="B379" s="245">
        <v>44104</v>
      </c>
      <c r="C379" s="273" t="s">
        <v>11</v>
      </c>
      <c r="D379" s="273">
        <v>22</v>
      </c>
      <c r="E379" s="273">
        <v>6.3268000000000004</v>
      </c>
      <c r="F379" s="273">
        <v>6.5932000000000004</v>
      </c>
      <c r="G379" s="273">
        <f>F379-E379</f>
        <v>0.26639999999999997</v>
      </c>
    </row>
    <row r="380" spans="1:7" hidden="1">
      <c r="A380" s="245">
        <v>44102</v>
      </c>
      <c r="B380" s="245">
        <v>44104</v>
      </c>
      <c r="C380" s="273" t="s">
        <v>11</v>
      </c>
      <c r="D380" s="273">
        <v>15</v>
      </c>
      <c r="E380" s="273">
        <v>8.1216000000000008</v>
      </c>
      <c r="F380" s="273">
        <v>8.2012999999999998</v>
      </c>
      <c r="G380" s="273">
        <f>F380-E380</f>
        <v>7.9699999999998994E-2</v>
      </c>
    </row>
    <row r="381" spans="1:7" hidden="1">
      <c r="A381" s="245">
        <v>44102</v>
      </c>
      <c r="B381" s="245">
        <v>44104</v>
      </c>
      <c r="C381" s="273" t="s">
        <v>11</v>
      </c>
      <c r="D381" s="273">
        <v>11</v>
      </c>
      <c r="E381" s="273">
        <v>5.2732999999999999</v>
      </c>
      <c r="F381" s="273">
        <v>5.4055</v>
      </c>
      <c r="G381" s="273">
        <f>F381-E381</f>
        <v>0.1322000000000001</v>
      </c>
    </row>
    <row r="382" spans="1:7" hidden="1">
      <c r="A382" s="245">
        <v>44102</v>
      </c>
      <c r="B382" s="245">
        <v>44104</v>
      </c>
      <c r="C382" s="273" t="s">
        <v>11</v>
      </c>
      <c r="D382" s="273">
        <v>21</v>
      </c>
      <c r="E382" s="273">
        <v>6.4226999999999999</v>
      </c>
      <c r="F382" s="273">
        <v>6.5753000000000004</v>
      </c>
      <c r="G382" s="273">
        <f>F382-E382</f>
        <v>0.15260000000000051</v>
      </c>
    </row>
    <row r="383" spans="1:7" hidden="1">
      <c r="A383" s="245">
        <v>44102</v>
      </c>
      <c r="B383" s="245">
        <v>44104</v>
      </c>
      <c r="C383" s="273" t="s">
        <v>11</v>
      </c>
      <c r="D383" s="273">
        <v>20</v>
      </c>
      <c r="E383" s="273">
        <v>8.0585000000000004</v>
      </c>
      <c r="F383" s="273">
        <v>8.1557999999999993</v>
      </c>
      <c r="G383" s="273">
        <f>F383-E383</f>
        <v>9.7299999999998832E-2</v>
      </c>
    </row>
    <row r="384" spans="1:7" hidden="1">
      <c r="A384" s="245">
        <v>44102</v>
      </c>
      <c r="B384" s="245">
        <v>44104</v>
      </c>
      <c r="C384" s="273" t="s">
        <v>11</v>
      </c>
      <c r="D384" s="273">
        <v>19</v>
      </c>
      <c r="E384" s="273">
        <v>7.5065</v>
      </c>
      <c r="F384" s="273">
        <v>7.6407999999999996</v>
      </c>
      <c r="G384" s="273">
        <f>F384-E384</f>
        <v>0.13429999999999964</v>
      </c>
    </row>
    <row r="385" spans="1:7" hidden="1">
      <c r="A385" s="245">
        <v>44102</v>
      </c>
      <c r="B385" s="245">
        <v>44104</v>
      </c>
      <c r="C385" s="273" t="s">
        <v>11</v>
      </c>
      <c r="D385" s="273">
        <v>10</v>
      </c>
      <c r="E385" s="273">
        <v>6.2926000000000002</v>
      </c>
      <c r="F385" s="273">
        <v>6.5431999999999997</v>
      </c>
      <c r="G385" s="273">
        <f>F385-E385</f>
        <v>0.25059999999999949</v>
      </c>
    </row>
    <row r="386" spans="1:7" hidden="1">
      <c r="A386" s="245">
        <v>44102</v>
      </c>
      <c r="B386" s="245">
        <v>44104</v>
      </c>
      <c r="C386" s="273" t="s">
        <v>16</v>
      </c>
      <c r="D386" s="273">
        <v>18</v>
      </c>
      <c r="E386" s="273">
        <v>7.8977000000000004</v>
      </c>
      <c r="F386" s="273">
        <v>7.9699</v>
      </c>
      <c r="G386" s="273">
        <f>F386-E386</f>
        <v>7.2199999999999598E-2</v>
      </c>
    </row>
    <row r="387" spans="1:7" hidden="1">
      <c r="A387" s="245">
        <v>44102</v>
      </c>
      <c r="B387" s="245">
        <v>44104</v>
      </c>
      <c r="C387" s="273" t="s">
        <v>16</v>
      </c>
      <c r="D387" s="273">
        <v>22</v>
      </c>
      <c r="E387" s="273">
        <v>7.9854000000000003</v>
      </c>
      <c r="F387" s="273">
        <v>8.1686999999999994</v>
      </c>
      <c r="G387" s="273">
        <f>F387-E387</f>
        <v>0.18329999999999913</v>
      </c>
    </row>
    <row r="388" spans="1:7" hidden="1">
      <c r="A388" s="245">
        <v>44102</v>
      </c>
      <c r="B388" s="245">
        <v>44104</v>
      </c>
      <c r="C388" s="273" t="s">
        <v>16</v>
      </c>
      <c r="D388" s="273">
        <v>20</v>
      </c>
      <c r="E388" s="273">
        <v>6.9042000000000003</v>
      </c>
      <c r="F388" s="273">
        <v>7.0182000000000002</v>
      </c>
      <c r="G388" s="273">
        <f>F388-E388</f>
        <v>0.11399999999999988</v>
      </c>
    </row>
    <row r="389" spans="1:7" hidden="1">
      <c r="A389" s="245">
        <v>44102</v>
      </c>
      <c r="B389" s="245">
        <v>44104</v>
      </c>
      <c r="C389" s="273" t="s">
        <v>24</v>
      </c>
      <c r="D389" s="273">
        <v>2</v>
      </c>
      <c r="E389" s="273">
        <v>7.1622000000000003</v>
      </c>
      <c r="F389" s="273">
        <v>7.2511999999999999</v>
      </c>
      <c r="G389" s="273">
        <f>F389-E389</f>
        <v>8.8999999999999524E-2</v>
      </c>
    </row>
    <row r="390" spans="1:7" hidden="1">
      <c r="A390" s="245">
        <v>44104</v>
      </c>
      <c r="B390" s="245">
        <v>44106</v>
      </c>
      <c r="C390" s="273" t="s">
        <v>16</v>
      </c>
      <c r="D390" s="273">
        <v>22</v>
      </c>
      <c r="E390" s="273">
        <v>4.1478000000000002</v>
      </c>
      <c r="F390" s="273">
        <v>4.1944999999999997</v>
      </c>
      <c r="G390" s="273">
        <f t="shared" ref="G390:G420" si="10">F390-E390</f>
        <v>4.669999999999952E-2</v>
      </c>
    </row>
    <row r="391" spans="1:7" hidden="1">
      <c r="A391" s="245">
        <v>44104</v>
      </c>
      <c r="B391" s="245">
        <v>44106</v>
      </c>
      <c r="C391" s="273" t="s">
        <v>16</v>
      </c>
      <c r="D391" s="273">
        <v>28</v>
      </c>
      <c r="E391" s="273">
        <v>3.7423999999999999</v>
      </c>
      <c r="F391" s="273">
        <v>3.8235999999999999</v>
      </c>
      <c r="G391" s="273">
        <f t="shared" si="10"/>
        <v>8.1199999999999939E-2</v>
      </c>
    </row>
    <row r="392" spans="1:7" hidden="1">
      <c r="A392" s="245">
        <v>44104</v>
      </c>
      <c r="B392" s="245">
        <v>44106</v>
      </c>
      <c r="C392" s="273" t="s">
        <v>19</v>
      </c>
      <c r="D392" s="273">
        <v>4</v>
      </c>
      <c r="E392" s="273">
        <v>4.1627999999999998</v>
      </c>
      <c r="F392" s="273">
        <v>5.1098999999999997</v>
      </c>
      <c r="G392" s="273">
        <f t="shared" si="10"/>
        <v>0.94709999999999983</v>
      </c>
    </row>
    <row r="393" spans="1:7" hidden="1">
      <c r="A393" s="245">
        <v>44104</v>
      </c>
      <c r="B393" s="245">
        <v>44106</v>
      </c>
      <c r="C393" s="273" t="s">
        <v>19</v>
      </c>
      <c r="D393" s="273">
        <v>6</v>
      </c>
      <c r="E393" s="273">
        <v>4.5754000000000001</v>
      </c>
      <c r="F393" s="273">
        <v>4.7214999999999998</v>
      </c>
      <c r="G393" s="273">
        <f t="shared" si="10"/>
        <v>0.14609999999999967</v>
      </c>
    </row>
    <row r="394" spans="1:7" hidden="1">
      <c r="A394" s="245">
        <v>44104</v>
      </c>
      <c r="B394" s="245">
        <v>44106</v>
      </c>
      <c r="C394" s="273" t="s">
        <v>19</v>
      </c>
      <c r="D394" s="273">
        <v>5</v>
      </c>
      <c r="E394" s="273">
        <v>4.4859</v>
      </c>
      <c r="F394" s="273">
        <v>4.5414000000000003</v>
      </c>
      <c r="G394" s="273">
        <f t="shared" si="10"/>
        <v>5.5500000000000327E-2</v>
      </c>
    </row>
    <row r="395" spans="1:7" hidden="1">
      <c r="A395" s="245">
        <v>44104</v>
      </c>
      <c r="B395" s="245">
        <v>44106</v>
      </c>
      <c r="C395" s="273" t="s">
        <v>11</v>
      </c>
      <c r="D395" s="273">
        <v>10</v>
      </c>
      <c r="E395" s="273">
        <v>4.4454000000000002</v>
      </c>
      <c r="F395" s="273">
        <v>4.9901999999999997</v>
      </c>
      <c r="G395" s="273">
        <f t="shared" si="10"/>
        <v>0.54479999999999951</v>
      </c>
    </row>
    <row r="396" spans="1:7" hidden="1">
      <c r="A396" s="245">
        <v>44104</v>
      </c>
      <c r="B396" s="245">
        <v>44106</v>
      </c>
      <c r="C396" s="273" t="s">
        <v>11</v>
      </c>
      <c r="D396" s="273">
        <v>22</v>
      </c>
      <c r="E396" s="273">
        <v>3.9719000000000002</v>
      </c>
      <c r="F396" s="273">
        <v>6.4114000000000004</v>
      </c>
      <c r="G396" s="273">
        <f t="shared" si="10"/>
        <v>2.4395000000000002</v>
      </c>
    </row>
    <row r="397" spans="1:7" hidden="1">
      <c r="A397" s="245">
        <v>44104</v>
      </c>
      <c r="B397" s="245">
        <v>44106</v>
      </c>
      <c r="C397" s="273" t="s">
        <v>11</v>
      </c>
      <c r="D397" s="273">
        <v>19</v>
      </c>
      <c r="E397" s="273">
        <v>4.6140999999999996</v>
      </c>
      <c r="F397" s="273">
        <v>4.6773999999999996</v>
      </c>
      <c r="G397" s="273">
        <f t="shared" si="10"/>
        <v>6.3299999999999912E-2</v>
      </c>
    </row>
    <row r="398" spans="1:7" hidden="1">
      <c r="A398" s="245">
        <v>44104</v>
      </c>
      <c r="B398" s="245">
        <v>44106</v>
      </c>
      <c r="C398" s="273" t="s">
        <v>11</v>
      </c>
      <c r="D398" s="273">
        <v>20</v>
      </c>
      <c r="E398" s="273">
        <v>3.7334000000000001</v>
      </c>
      <c r="F398" s="273">
        <v>3.7625000000000002</v>
      </c>
      <c r="G398" s="273">
        <f t="shared" si="10"/>
        <v>2.9100000000000126E-2</v>
      </c>
    </row>
    <row r="399" spans="1:7" hidden="1">
      <c r="A399" s="245">
        <v>44104</v>
      </c>
      <c r="B399" s="245">
        <v>44106</v>
      </c>
      <c r="C399" s="273" t="s">
        <v>19</v>
      </c>
      <c r="D399" s="273">
        <v>7</v>
      </c>
      <c r="E399" s="273">
        <v>4.5282</v>
      </c>
      <c r="F399" s="273">
        <v>6.3857999999999997</v>
      </c>
      <c r="G399" s="273">
        <f t="shared" si="10"/>
        <v>1.8575999999999997</v>
      </c>
    </row>
    <row r="400" spans="1:7" hidden="1">
      <c r="A400" s="245">
        <v>44104</v>
      </c>
      <c r="B400" s="245">
        <v>44106</v>
      </c>
      <c r="C400" s="273" t="s">
        <v>8</v>
      </c>
      <c r="D400" s="273">
        <v>9</v>
      </c>
      <c r="E400" s="273">
        <v>4.5929000000000002</v>
      </c>
      <c r="F400" s="273">
        <v>4.7946</v>
      </c>
      <c r="G400" s="273">
        <f t="shared" si="10"/>
        <v>0.20169999999999977</v>
      </c>
    </row>
    <row r="401" spans="1:7" hidden="1">
      <c r="A401" s="245">
        <v>44104</v>
      </c>
      <c r="B401" s="245">
        <v>44106</v>
      </c>
      <c r="C401" s="273" t="s">
        <v>8</v>
      </c>
      <c r="D401" s="273">
        <v>7</v>
      </c>
      <c r="E401" s="273">
        <v>4.8407999999999998</v>
      </c>
      <c r="F401" s="273">
        <v>5.3883000000000001</v>
      </c>
      <c r="G401" s="273">
        <f t="shared" si="10"/>
        <v>0.54750000000000032</v>
      </c>
    </row>
    <row r="402" spans="1:7" hidden="1">
      <c r="A402" s="245">
        <v>44104</v>
      </c>
      <c r="B402" s="245">
        <v>44106</v>
      </c>
      <c r="C402" s="273" t="s">
        <v>8</v>
      </c>
      <c r="D402" s="273">
        <v>8</v>
      </c>
      <c r="E402" s="273">
        <v>4.0697999999999999</v>
      </c>
      <c r="F402" s="273">
        <v>4.5449000000000002</v>
      </c>
      <c r="G402" s="273">
        <f t="shared" si="10"/>
        <v>0.4751000000000003</v>
      </c>
    </row>
    <row r="403" spans="1:7" hidden="1">
      <c r="A403" s="245">
        <v>44104</v>
      </c>
      <c r="B403" s="245">
        <v>44106</v>
      </c>
      <c r="C403" s="273" t="s">
        <v>8</v>
      </c>
      <c r="D403" s="273">
        <v>10</v>
      </c>
      <c r="E403" s="273">
        <v>3.1781999999999999</v>
      </c>
      <c r="F403" s="273">
        <v>3.2118000000000002</v>
      </c>
      <c r="G403" s="273">
        <f t="shared" si="10"/>
        <v>3.3600000000000296E-2</v>
      </c>
    </row>
    <row r="404" spans="1:7" hidden="1">
      <c r="A404" s="245">
        <v>44104</v>
      </c>
      <c r="B404" s="245">
        <v>44106</v>
      </c>
      <c r="C404" s="273" t="s">
        <v>8</v>
      </c>
      <c r="D404" s="273">
        <v>3</v>
      </c>
      <c r="E404" s="273">
        <v>4.3632</v>
      </c>
      <c r="F404" s="273">
        <v>4.5677000000000003</v>
      </c>
      <c r="G404" s="273">
        <f t="shared" si="10"/>
        <v>0.20450000000000035</v>
      </c>
    </row>
    <row r="405" spans="1:7" hidden="1">
      <c r="A405" s="245">
        <v>44104</v>
      </c>
      <c r="B405" s="245">
        <v>44106</v>
      </c>
      <c r="C405" s="273" t="s">
        <v>8</v>
      </c>
      <c r="D405" s="273">
        <v>6</v>
      </c>
      <c r="E405" s="273">
        <v>3.7214999999999998</v>
      </c>
      <c r="F405" s="273">
        <v>3.9140000000000001</v>
      </c>
      <c r="G405" s="273">
        <f t="shared" si="10"/>
        <v>0.19250000000000034</v>
      </c>
    </row>
    <row r="406" spans="1:7" hidden="1">
      <c r="A406" s="245">
        <v>44106</v>
      </c>
      <c r="B406" s="245">
        <v>44109</v>
      </c>
      <c r="C406" s="273" t="s">
        <v>8</v>
      </c>
      <c r="D406" s="273">
        <v>3</v>
      </c>
      <c r="E406" s="273">
        <v>2.9119999999999999</v>
      </c>
      <c r="F406" s="273">
        <v>2.9119999999999999</v>
      </c>
      <c r="G406" s="273">
        <f t="shared" si="10"/>
        <v>0</v>
      </c>
    </row>
    <row r="407" spans="1:7" hidden="1">
      <c r="A407" s="245">
        <v>44106</v>
      </c>
      <c r="B407" s="245">
        <v>44109</v>
      </c>
      <c r="C407" s="273" t="s">
        <v>8</v>
      </c>
      <c r="D407" s="273">
        <v>6</v>
      </c>
      <c r="E407" s="273">
        <v>4.3280000000000003</v>
      </c>
      <c r="F407" s="273">
        <v>4.3868</v>
      </c>
      <c r="G407" s="273">
        <f t="shared" si="10"/>
        <v>5.8799999999999741E-2</v>
      </c>
    </row>
    <row r="408" spans="1:7" hidden="1">
      <c r="A408" s="245">
        <v>44106</v>
      </c>
      <c r="B408" s="245">
        <v>44109</v>
      </c>
      <c r="C408" s="273" t="s">
        <v>8</v>
      </c>
      <c r="D408" s="273">
        <v>7</v>
      </c>
      <c r="E408" s="273">
        <v>4.4009</v>
      </c>
      <c r="F408" s="273">
        <v>4.4775</v>
      </c>
      <c r="G408" s="273">
        <f t="shared" si="10"/>
        <v>7.6600000000000001E-2</v>
      </c>
    </row>
    <row r="409" spans="1:7" hidden="1">
      <c r="A409" s="245">
        <v>44106</v>
      </c>
      <c r="B409" s="245">
        <v>44109</v>
      </c>
      <c r="C409" s="273" t="s">
        <v>8</v>
      </c>
      <c r="D409" s="273">
        <v>8</v>
      </c>
      <c r="E409" s="273">
        <v>3.0903</v>
      </c>
      <c r="F409" s="273">
        <v>3.2818999999999998</v>
      </c>
      <c r="G409" s="273">
        <f t="shared" si="10"/>
        <v>0.19159999999999977</v>
      </c>
    </row>
    <row r="410" spans="1:7" hidden="1">
      <c r="A410" s="245">
        <v>44106</v>
      </c>
      <c r="B410" s="245">
        <v>44109</v>
      </c>
      <c r="C410" s="273" t="s">
        <v>8</v>
      </c>
      <c r="D410" s="273">
        <v>9</v>
      </c>
      <c r="E410" s="273">
        <v>3.6360000000000001</v>
      </c>
      <c r="F410" s="273">
        <v>3.661</v>
      </c>
      <c r="G410" s="273">
        <f t="shared" si="10"/>
        <v>2.4999999999999911E-2</v>
      </c>
    </row>
    <row r="411" spans="1:7" hidden="1">
      <c r="A411" s="245">
        <v>44106</v>
      </c>
      <c r="B411" s="245">
        <v>44109</v>
      </c>
      <c r="C411" s="273" t="s">
        <v>16</v>
      </c>
      <c r="D411" s="273">
        <v>28</v>
      </c>
      <c r="E411" s="273">
        <v>3.7867999999999999</v>
      </c>
      <c r="F411" s="273">
        <v>4.4888000000000003</v>
      </c>
      <c r="G411" s="273">
        <f t="shared" si="10"/>
        <v>0.7020000000000004</v>
      </c>
    </row>
    <row r="412" spans="1:7" hidden="1">
      <c r="A412" s="245">
        <v>44106</v>
      </c>
      <c r="B412" s="245">
        <v>44109</v>
      </c>
      <c r="C412" s="273" t="s">
        <v>16</v>
      </c>
      <c r="D412" s="273">
        <v>31</v>
      </c>
      <c r="E412" s="273">
        <v>3.4723000000000002</v>
      </c>
      <c r="F412" s="273">
        <v>4.1522100000000002</v>
      </c>
      <c r="G412" s="273">
        <f t="shared" si="10"/>
        <v>0.67991000000000001</v>
      </c>
    </row>
    <row r="413" spans="1:7" hidden="1">
      <c r="A413" s="245">
        <v>44106</v>
      </c>
      <c r="B413" s="245">
        <v>44109</v>
      </c>
      <c r="C413" s="273" t="s">
        <v>11</v>
      </c>
      <c r="D413" s="273">
        <v>10</v>
      </c>
      <c r="E413" s="273">
        <v>3.7382</v>
      </c>
      <c r="F413" s="273">
        <v>3.8984000000000001</v>
      </c>
      <c r="G413" s="273">
        <f t="shared" si="10"/>
        <v>0.16020000000000012</v>
      </c>
    </row>
    <row r="414" spans="1:7" hidden="1">
      <c r="A414" s="245">
        <v>44106</v>
      </c>
      <c r="B414" s="245">
        <v>44109</v>
      </c>
      <c r="C414" s="273" t="s">
        <v>11</v>
      </c>
      <c r="D414" s="273">
        <v>22</v>
      </c>
      <c r="E414" s="273">
        <v>3.3338999999999999</v>
      </c>
      <c r="F414" s="273">
        <v>4.0914000000000001</v>
      </c>
      <c r="G414" s="273">
        <f t="shared" si="10"/>
        <v>0.75750000000000028</v>
      </c>
    </row>
    <row r="415" spans="1:7" hidden="1">
      <c r="A415" s="245">
        <v>44106</v>
      </c>
      <c r="B415" s="245">
        <v>44109</v>
      </c>
      <c r="C415" s="273" t="s">
        <v>11</v>
      </c>
      <c r="D415" s="273">
        <v>23</v>
      </c>
      <c r="E415" s="273">
        <v>3.6425999999999998</v>
      </c>
      <c r="F415" s="273">
        <v>4.5118</v>
      </c>
      <c r="G415" s="273">
        <f t="shared" si="10"/>
        <v>0.86920000000000019</v>
      </c>
    </row>
    <row r="416" spans="1:7" hidden="1">
      <c r="A416" s="245">
        <v>44106</v>
      </c>
      <c r="B416" s="245">
        <v>44109</v>
      </c>
      <c r="C416" s="273" t="s">
        <v>19</v>
      </c>
      <c r="D416" s="273">
        <v>4</v>
      </c>
      <c r="E416" s="273">
        <v>4.5952999999999999</v>
      </c>
      <c r="F416" s="273">
        <v>4.6654</v>
      </c>
      <c r="G416" s="273">
        <f t="shared" si="10"/>
        <v>7.0100000000000051E-2</v>
      </c>
    </row>
    <row r="417" spans="1:9" hidden="1">
      <c r="A417" s="245">
        <v>44106</v>
      </c>
      <c r="B417" s="245">
        <v>44109</v>
      </c>
      <c r="C417" s="273" t="s">
        <v>19</v>
      </c>
      <c r="D417" s="273">
        <v>5</v>
      </c>
      <c r="E417" s="273">
        <v>3.8784999999999998</v>
      </c>
      <c r="F417" s="273">
        <v>4.0728</v>
      </c>
      <c r="G417" s="273">
        <f t="shared" si="10"/>
        <v>0.19430000000000014</v>
      </c>
      <c r="H417" s="273"/>
      <c r="I417" s="273"/>
    </row>
    <row r="418" spans="1:9" hidden="1">
      <c r="A418" s="245">
        <v>44106</v>
      </c>
      <c r="B418" s="245">
        <v>44109</v>
      </c>
      <c r="C418" s="273" t="s">
        <v>19</v>
      </c>
      <c r="D418" s="273">
        <v>6</v>
      </c>
      <c r="E418" s="273">
        <v>4.2919999999999998</v>
      </c>
      <c r="F418" s="273">
        <v>5.0102000000000002</v>
      </c>
      <c r="G418" s="273">
        <f t="shared" si="10"/>
        <v>0.71820000000000039</v>
      </c>
      <c r="H418" s="273"/>
      <c r="I418" s="273"/>
    </row>
    <row r="419" spans="1:9" hidden="1">
      <c r="A419" s="245">
        <v>44106</v>
      </c>
      <c r="B419" s="245">
        <v>44109</v>
      </c>
      <c r="C419" s="273" t="s">
        <v>19</v>
      </c>
      <c r="D419" s="273">
        <v>7</v>
      </c>
      <c r="E419" s="273">
        <v>3.633</v>
      </c>
      <c r="F419" s="273">
        <v>4.5640000000000001</v>
      </c>
      <c r="G419" s="273">
        <f t="shared" si="10"/>
        <v>0.93100000000000005</v>
      </c>
      <c r="H419" s="273"/>
      <c r="I419" s="273"/>
    </row>
    <row r="420" spans="1:9" hidden="1">
      <c r="A420" s="245">
        <v>44106</v>
      </c>
      <c r="B420" s="245">
        <v>44109</v>
      </c>
      <c r="C420" s="273" t="s">
        <v>19</v>
      </c>
      <c r="D420" s="273">
        <v>8</v>
      </c>
      <c r="E420" s="273">
        <v>4.8771000000000004</v>
      </c>
      <c r="F420" s="273">
        <v>6.2202000000000002</v>
      </c>
      <c r="G420" s="273">
        <f t="shared" si="10"/>
        <v>1.3430999999999997</v>
      </c>
      <c r="H420" s="273"/>
      <c r="I420" s="273"/>
    </row>
    <row r="421" spans="1:9" hidden="1">
      <c r="A421" s="245">
        <v>44109</v>
      </c>
      <c r="B421" s="245">
        <v>44111</v>
      </c>
      <c r="C421" s="273" t="s">
        <v>8</v>
      </c>
      <c r="D421" s="273">
        <v>8</v>
      </c>
      <c r="E421" s="273">
        <v>3.8189000000000002</v>
      </c>
      <c r="F421" s="273">
        <v>3.8189000000000002</v>
      </c>
      <c r="G421" s="273">
        <f>F421-E421</f>
        <v>0</v>
      </c>
      <c r="H421" s="273"/>
      <c r="I421" s="273"/>
    </row>
    <row r="422" spans="1:9" hidden="1">
      <c r="A422" s="245">
        <v>44109</v>
      </c>
      <c r="B422" s="245">
        <v>44111</v>
      </c>
      <c r="C422" s="273" t="s">
        <v>19</v>
      </c>
      <c r="D422" s="273">
        <v>4</v>
      </c>
      <c r="E422" s="273">
        <v>3.6541999999999999</v>
      </c>
      <c r="F422" s="273">
        <v>3.7229000000000001</v>
      </c>
      <c r="G422" s="273">
        <f>F422-E422</f>
        <v>6.8700000000000205E-2</v>
      </c>
      <c r="H422" s="273"/>
      <c r="I422" s="273"/>
    </row>
    <row r="423" spans="1:9" hidden="1">
      <c r="A423" s="245">
        <v>44109</v>
      </c>
      <c r="B423" s="245">
        <v>44111</v>
      </c>
      <c r="C423" s="273" t="s">
        <v>19</v>
      </c>
      <c r="D423" s="273">
        <v>5</v>
      </c>
      <c r="E423" s="273">
        <v>4.1906999999999996</v>
      </c>
      <c r="F423" s="273">
        <v>5.6962999999999999</v>
      </c>
      <c r="G423" s="273">
        <f>F423-E423</f>
        <v>1.5056000000000003</v>
      </c>
      <c r="H423" s="273"/>
      <c r="I423" s="273">
        <f>SUM(G422:G424,G426:G432)</f>
        <v>7.6697000000000006</v>
      </c>
    </row>
    <row r="424" spans="1:9" hidden="1">
      <c r="A424" s="245">
        <v>44109</v>
      </c>
      <c r="B424" s="245">
        <v>44111</v>
      </c>
      <c r="C424" s="273" t="s">
        <v>19</v>
      </c>
      <c r="D424" s="273">
        <v>6</v>
      </c>
      <c r="E424" s="273">
        <v>4.9577</v>
      </c>
      <c r="F424" s="273">
        <v>5.8105000000000002</v>
      </c>
      <c r="G424" s="273">
        <f>F424-E424</f>
        <v>0.85280000000000022</v>
      </c>
      <c r="H424" s="273"/>
      <c r="I424" s="273"/>
    </row>
    <row r="425" spans="1:9" hidden="1">
      <c r="A425" s="245">
        <v>44109</v>
      </c>
      <c r="B425" s="245">
        <v>44111</v>
      </c>
      <c r="C425" s="273" t="s">
        <v>19</v>
      </c>
      <c r="D425" s="273">
        <v>7</v>
      </c>
      <c r="E425" s="273">
        <v>4.7976999999999999</v>
      </c>
      <c r="F425" s="273">
        <v>8.3025000000000002</v>
      </c>
      <c r="G425" s="273">
        <f>F425-E425</f>
        <v>3.5048000000000004</v>
      </c>
      <c r="H425" s="273"/>
      <c r="I425" s="273"/>
    </row>
    <row r="426" spans="1:9" hidden="1">
      <c r="A426" s="245">
        <v>44109</v>
      </c>
      <c r="B426" s="245">
        <v>44111</v>
      </c>
      <c r="C426" s="273" t="s">
        <v>19</v>
      </c>
      <c r="D426" s="273">
        <v>8</v>
      </c>
      <c r="E426" s="273">
        <v>5.5609000000000002</v>
      </c>
      <c r="F426" s="273">
        <v>6.6032999999999999</v>
      </c>
      <c r="G426" s="273">
        <f>F426-E426</f>
        <v>1.0423999999999998</v>
      </c>
      <c r="H426" s="273"/>
      <c r="I426" s="273"/>
    </row>
    <row r="427" spans="1:9" hidden="1">
      <c r="A427" s="245">
        <v>44109</v>
      </c>
      <c r="B427" s="245">
        <v>44111</v>
      </c>
      <c r="C427" s="273" t="s">
        <v>11</v>
      </c>
      <c r="D427" s="273">
        <v>10</v>
      </c>
      <c r="E427" s="273">
        <v>3.5994000000000002</v>
      </c>
      <c r="F427" s="273">
        <v>3.7448999999999999</v>
      </c>
      <c r="G427" s="273">
        <f>F427-E427</f>
        <v>0.14549999999999974</v>
      </c>
      <c r="H427" s="273"/>
      <c r="I427" s="273"/>
    </row>
    <row r="428" spans="1:9" hidden="1">
      <c r="A428" s="245">
        <v>44109</v>
      </c>
      <c r="B428" s="245">
        <v>44111</v>
      </c>
      <c r="C428" s="273" t="s">
        <v>11</v>
      </c>
      <c r="D428" s="273">
        <v>20</v>
      </c>
      <c r="E428" s="273">
        <v>3.9403000000000001</v>
      </c>
      <c r="F428" s="273">
        <v>3.9403000000000001</v>
      </c>
      <c r="G428" s="273">
        <f>F428-E428</f>
        <v>0</v>
      </c>
      <c r="H428" s="273"/>
      <c r="I428" s="273"/>
    </row>
    <row r="429" spans="1:9" hidden="1">
      <c r="A429" s="245">
        <v>44109</v>
      </c>
      <c r="B429" s="245">
        <v>44111</v>
      </c>
      <c r="C429" s="273" t="s">
        <v>11</v>
      </c>
      <c r="D429" s="273">
        <v>23</v>
      </c>
      <c r="E429" s="273">
        <f>3.4215+4.9024</f>
        <v>8.3239000000000001</v>
      </c>
      <c r="F429" s="273">
        <f>5.5108+5.8824</f>
        <v>11.3932</v>
      </c>
      <c r="G429" s="273">
        <f>F429-E429</f>
        <v>3.0693000000000001</v>
      </c>
      <c r="H429" s="273"/>
      <c r="I429" s="273"/>
    </row>
    <row r="430" spans="1:9" hidden="1">
      <c r="A430" s="245">
        <v>44109</v>
      </c>
      <c r="B430" s="245">
        <v>44111</v>
      </c>
      <c r="C430" s="273" t="s">
        <v>16</v>
      </c>
      <c r="D430" s="273">
        <v>28</v>
      </c>
      <c r="E430" s="273">
        <v>5.3361999999999998</v>
      </c>
      <c r="F430" s="273">
        <v>5.7853000000000003</v>
      </c>
      <c r="G430" s="273">
        <f>F430-E430</f>
        <v>0.4491000000000005</v>
      </c>
      <c r="H430" s="273"/>
      <c r="I430" s="273"/>
    </row>
    <row r="431" spans="1:9" hidden="1">
      <c r="A431" s="245">
        <v>44109</v>
      </c>
      <c r="B431" s="245">
        <v>44111</v>
      </c>
      <c r="C431" s="273" t="s">
        <v>16</v>
      </c>
      <c r="D431" s="273">
        <v>29</v>
      </c>
      <c r="E431" s="273">
        <v>4.7271000000000001</v>
      </c>
      <c r="F431" s="273">
        <v>4.7987000000000002</v>
      </c>
      <c r="G431" s="273">
        <f>F431-E431</f>
        <v>7.1600000000000108E-2</v>
      </c>
      <c r="H431" s="273"/>
      <c r="I431" s="273"/>
    </row>
    <row r="432" spans="1:9" hidden="1">
      <c r="A432" s="245">
        <v>44109</v>
      </c>
      <c r="B432" s="245">
        <v>44111</v>
      </c>
      <c r="C432" s="273" t="s">
        <v>16</v>
      </c>
      <c r="D432" s="273">
        <v>31</v>
      </c>
      <c r="E432" s="273">
        <v>3.9291</v>
      </c>
      <c r="F432" s="273">
        <v>4.3937999999999997</v>
      </c>
      <c r="G432" s="273">
        <f>F432-E432</f>
        <v>0.46469999999999967</v>
      </c>
      <c r="H432" s="273"/>
      <c r="I432" s="273"/>
    </row>
    <row r="433" spans="1:8" hidden="1">
      <c r="A433" s="245">
        <v>44111</v>
      </c>
      <c r="B433" s="245">
        <v>44113</v>
      </c>
      <c r="C433" s="273" t="s">
        <v>19</v>
      </c>
      <c r="D433" s="273">
        <v>4</v>
      </c>
      <c r="E433" s="273">
        <v>3.9129</v>
      </c>
      <c r="F433" s="273">
        <v>3.9251</v>
      </c>
      <c r="G433" s="273">
        <f>F433-E433</f>
        <v>1.2199999999999989E-2</v>
      </c>
      <c r="H433" s="273"/>
    </row>
    <row r="434" spans="1:8" hidden="1">
      <c r="A434" s="245">
        <v>44111</v>
      </c>
      <c r="B434" s="245">
        <v>44113</v>
      </c>
      <c r="C434" s="273" t="s">
        <v>19</v>
      </c>
      <c r="D434" s="273">
        <v>5</v>
      </c>
      <c r="E434" s="273">
        <v>4.1360999999999999</v>
      </c>
      <c r="F434" s="273">
        <v>5.3624999999999998</v>
      </c>
      <c r="G434" s="273">
        <f>F434-E434</f>
        <v>1.2263999999999999</v>
      </c>
      <c r="H434" s="273">
        <f>G434+G437+G435+G433</f>
        <v>2.8533999999999997</v>
      </c>
    </row>
    <row r="435" spans="1:8" hidden="1">
      <c r="A435" s="245">
        <v>44111</v>
      </c>
      <c r="B435" s="245">
        <v>44113</v>
      </c>
      <c r="C435" s="273" t="s">
        <v>19</v>
      </c>
      <c r="D435" s="273">
        <v>6</v>
      </c>
      <c r="E435" s="273">
        <v>3.7195999999999998</v>
      </c>
      <c r="F435" s="273">
        <v>4.1608999999999998</v>
      </c>
      <c r="G435" s="273">
        <f>F435-E435</f>
        <v>0.44130000000000003</v>
      </c>
      <c r="H435" s="273">
        <v>5.5388999999999999</v>
      </c>
    </row>
    <row r="436" spans="1:8" hidden="1">
      <c r="A436" s="245">
        <v>44111</v>
      </c>
      <c r="B436" s="245">
        <v>44113</v>
      </c>
      <c r="C436" s="273" t="s">
        <v>19</v>
      </c>
      <c r="D436" s="273">
        <v>7</v>
      </c>
      <c r="E436" s="273">
        <v>3.8096999999999999</v>
      </c>
      <c r="F436" s="273">
        <v>9.3485999999999994</v>
      </c>
      <c r="G436" s="273">
        <f>F436-E436</f>
        <v>5.5388999999999999</v>
      </c>
      <c r="H436" s="273"/>
    </row>
    <row r="437" spans="1:8" hidden="1">
      <c r="A437" s="245">
        <v>44111</v>
      </c>
      <c r="B437" s="245">
        <v>44113</v>
      </c>
      <c r="C437" s="273" t="s">
        <v>19</v>
      </c>
      <c r="D437" s="273">
        <v>8</v>
      </c>
      <c r="E437" s="273">
        <v>4.9706000000000001</v>
      </c>
      <c r="F437" s="273">
        <v>6.1440999999999999</v>
      </c>
      <c r="G437" s="273">
        <f>F437-E437</f>
        <v>1.1734999999999998</v>
      </c>
      <c r="H437" s="273"/>
    </row>
    <row r="438" spans="1:8" hidden="1">
      <c r="A438" s="245">
        <v>44111</v>
      </c>
      <c r="B438" s="245">
        <v>44113</v>
      </c>
      <c r="C438" s="273" t="s">
        <v>16</v>
      </c>
      <c r="D438" s="273">
        <v>28</v>
      </c>
      <c r="E438" s="273">
        <v>6.3514999999999997</v>
      </c>
      <c r="F438" s="273">
        <v>6.6547999999999998</v>
      </c>
      <c r="G438" s="273">
        <f>F438-E438</f>
        <v>0.30330000000000013</v>
      </c>
      <c r="H438" s="273">
        <f>SUM(G438:G443)</f>
        <v>1.9601999999999995</v>
      </c>
    </row>
    <row r="439" spans="1:8" hidden="1">
      <c r="A439" s="245">
        <v>44111</v>
      </c>
      <c r="B439" s="245">
        <v>44113</v>
      </c>
      <c r="C439" s="273" t="s">
        <v>16</v>
      </c>
      <c r="D439" s="273">
        <v>29</v>
      </c>
      <c r="E439" s="273">
        <v>3.4220999999999999</v>
      </c>
      <c r="F439" s="273">
        <v>3.7349999999999999</v>
      </c>
      <c r="G439" s="273">
        <f>F439-E439</f>
        <v>0.31289999999999996</v>
      </c>
      <c r="H439" s="273"/>
    </row>
    <row r="440" spans="1:8" hidden="1">
      <c r="A440" s="245">
        <v>44111</v>
      </c>
      <c r="B440" s="245">
        <v>44113</v>
      </c>
      <c r="C440" s="273" t="s">
        <v>16</v>
      </c>
      <c r="D440" s="273">
        <v>30</v>
      </c>
      <c r="E440" s="273">
        <v>5.7141999999999999</v>
      </c>
      <c r="F440" s="273">
        <v>6.2649999999999997</v>
      </c>
      <c r="G440" s="273">
        <f>F440-E440</f>
        <v>0.55079999999999973</v>
      </c>
      <c r="H440" s="273"/>
    </row>
    <row r="441" spans="1:8" hidden="1">
      <c r="A441" s="245">
        <v>44111</v>
      </c>
      <c r="B441" s="245">
        <v>44113</v>
      </c>
      <c r="C441" s="273" t="s">
        <v>16</v>
      </c>
      <c r="D441" s="273">
        <v>31</v>
      </c>
      <c r="E441" s="273">
        <v>3.4390000000000001</v>
      </c>
      <c r="F441" s="273">
        <v>3.8578999999999999</v>
      </c>
      <c r="G441" s="273">
        <f>F441-E441</f>
        <v>0.41889999999999983</v>
      </c>
      <c r="H441" s="273"/>
    </row>
    <row r="442" spans="1:8" hidden="1">
      <c r="A442" s="245">
        <v>44111</v>
      </c>
      <c r="B442" s="245">
        <v>44113</v>
      </c>
      <c r="C442" s="273" t="s">
        <v>16</v>
      </c>
      <c r="D442" s="273">
        <v>33</v>
      </c>
      <c r="E442" s="273">
        <v>4.8102999999999998</v>
      </c>
      <c r="F442" s="273">
        <v>4.9734999999999996</v>
      </c>
      <c r="G442" s="273">
        <f>F442-E442</f>
        <v>0.16319999999999979</v>
      </c>
      <c r="H442" s="273"/>
    </row>
    <row r="443" spans="1:8" hidden="1">
      <c r="A443" s="245">
        <v>44111</v>
      </c>
      <c r="B443" s="245">
        <v>44113</v>
      </c>
      <c r="C443" s="273" t="s">
        <v>16</v>
      </c>
      <c r="D443" s="273">
        <v>34</v>
      </c>
      <c r="E443" s="273">
        <v>4.8860000000000001</v>
      </c>
      <c r="F443" s="273">
        <v>5.0971000000000002</v>
      </c>
      <c r="G443" s="273">
        <f>F443-E443</f>
        <v>0.21110000000000007</v>
      </c>
      <c r="H443" s="273"/>
    </row>
    <row r="444" spans="1:8" hidden="1">
      <c r="A444" s="245">
        <v>44111</v>
      </c>
      <c r="B444" s="245">
        <v>44113</v>
      </c>
      <c r="C444" s="273" t="s">
        <v>11</v>
      </c>
      <c r="D444" s="273">
        <v>10</v>
      </c>
      <c r="E444" s="273">
        <v>2.9923000000000002</v>
      </c>
      <c r="F444" s="273">
        <v>2.9708000000000001</v>
      </c>
      <c r="G444" s="273">
        <f>F444-E444</f>
        <v>-2.1500000000000075E-2</v>
      </c>
      <c r="H444" s="273">
        <f>G446+G447+G449</f>
        <v>5.1289000000000007</v>
      </c>
    </row>
    <row r="445" spans="1:8" hidden="1">
      <c r="A445" s="245">
        <v>44111</v>
      </c>
      <c r="B445" s="245">
        <v>44113</v>
      </c>
      <c r="C445" s="273" t="s">
        <v>11</v>
      </c>
      <c r="D445" s="273">
        <v>20</v>
      </c>
      <c r="E445" s="273">
        <v>3.6282000000000001</v>
      </c>
      <c r="F445" s="273">
        <v>3.5958000000000001</v>
      </c>
      <c r="G445" s="273">
        <f>F445-E445</f>
        <v>-3.2399999999999984E-2</v>
      </c>
      <c r="H445" s="273"/>
    </row>
    <row r="446" spans="1:8" hidden="1">
      <c r="A446" s="245">
        <v>44111</v>
      </c>
      <c r="B446" s="245">
        <v>44113</v>
      </c>
      <c r="C446" s="273" t="s">
        <v>11</v>
      </c>
      <c r="D446" s="273">
        <v>22</v>
      </c>
      <c r="E446" s="273">
        <v>3.4266000000000001</v>
      </c>
      <c r="F446" s="273">
        <v>6.5099</v>
      </c>
      <c r="G446" s="273">
        <f>F446-E446</f>
        <v>3.0832999999999999</v>
      </c>
      <c r="H446" s="273"/>
    </row>
    <row r="447" spans="1:8" hidden="1">
      <c r="A447" s="245">
        <v>44111</v>
      </c>
      <c r="B447" s="245">
        <v>44113</v>
      </c>
      <c r="C447" s="273" t="s">
        <v>11</v>
      </c>
      <c r="D447" s="273">
        <v>23</v>
      </c>
      <c r="E447" s="273">
        <v>4.5742000000000003</v>
      </c>
      <c r="F447" s="273">
        <v>5.5547000000000004</v>
      </c>
      <c r="G447" s="273">
        <f>F447-E447</f>
        <v>0.98050000000000015</v>
      </c>
      <c r="H447" s="273"/>
    </row>
    <row r="448" spans="1:8" hidden="1">
      <c r="A448" s="245">
        <v>44111</v>
      </c>
      <c r="B448" s="245">
        <v>44113</v>
      </c>
      <c r="C448" s="273" t="s">
        <v>11</v>
      </c>
      <c r="D448" s="273">
        <v>24</v>
      </c>
      <c r="E448" s="273">
        <v>3.8407</v>
      </c>
      <c r="F448" s="273">
        <v>3.9007999999999998</v>
      </c>
      <c r="G448" s="273">
        <f>F448-E448</f>
        <v>6.009999999999982E-2</v>
      </c>
      <c r="H448" s="273"/>
    </row>
    <row r="449" spans="1:7" hidden="1">
      <c r="A449" s="245">
        <v>44111</v>
      </c>
      <c r="B449" s="245">
        <v>44113</v>
      </c>
      <c r="C449" s="273" t="s">
        <v>11</v>
      </c>
      <c r="D449" s="273">
        <v>25</v>
      </c>
      <c r="E449" s="273">
        <v>5.5197000000000003</v>
      </c>
      <c r="F449" s="273">
        <v>6.5848000000000004</v>
      </c>
      <c r="G449" s="273">
        <f>F449-E449</f>
        <v>1.0651000000000002</v>
      </c>
    </row>
    <row r="450" spans="1:7" hidden="1">
      <c r="A450" s="245">
        <v>44111</v>
      </c>
      <c r="B450" s="245">
        <v>44113</v>
      </c>
      <c r="C450" s="273" t="s">
        <v>11</v>
      </c>
      <c r="D450" s="273">
        <v>26</v>
      </c>
      <c r="E450" s="273">
        <v>3.7048000000000001</v>
      </c>
      <c r="F450" s="273">
        <v>4.0083000000000002</v>
      </c>
      <c r="G450" s="273">
        <f>F450-E450</f>
        <v>0.3035000000000001</v>
      </c>
    </row>
    <row r="451" spans="1:7" hidden="1">
      <c r="A451" s="245">
        <v>44111</v>
      </c>
      <c r="B451" s="245">
        <v>44113</v>
      </c>
      <c r="C451" s="273" t="s">
        <v>11</v>
      </c>
      <c r="D451" s="273">
        <v>27</v>
      </c>
      <c r="E451" s="273">
        <v>3.5604</v>
      </c>
      <c r="F451" s="273">
        <v>3.7751999999999999</v>
      </c>
      <c r="G451" s="273">
        <f>F451-E451</f>
        <v>0.21479999999999988</v>
      </c>
    </row>
    <row r="452" spans="1:7" hidden="1">
      <c r="A452" s="245">
        <v>44113</v>
      </c>
      <c r="B452" s="245">
        <v>44116</v>
      </c>
      <c r="C452" s="273" t="s">
        <v>19</v>
      </c>
      <c r="D452" s="273">
        <v>6</v>
      </c>
      <c r="E452" s="273">
        <v>5.5936000000000003</v>
      </c>
      <c r="F452" s="273">
        <v>5.6292999999999997</v>
      </c>
      <c r="G452" s="273">
        <f>F452-E452</f>
        <v>3.5699999999999399E-2</v>
      </c>
    </row>
    <row r="453" spans="1:7" hidden="1">
      <c r="A453" s="245">
        <v>44113</v>
      </c>
      <c r="B453" s="245">
        <v>44116</v>
      </c>
      <c r="C453" s="273" t="s">
        <v>19</v>
      </c>
      <c r="D453" s="273">
        <v>7</v>
      </c>
      <c r="E453" s="273">
        <v>5.4474999999999998</v>
      </c>
      <c r="F453" s="273">
        <v>7.5454999999999997</v>
      </c>
      <c r="G453" s="273">
        <f>F453-E453</f>
        <v>2.0979999999999999</v>
      </c>
    </row>
    <row r="454" spans="1:7" hidden="1">
      <c r="A454" s="245">
        <v>44113</v>
      </c>
      <c r="B454" s="245">
        <v>44116</v>
      </c>
      <c r="C454" s="273" t="s">
        <v>19</v>
      </c>
      <c r="D454" s="273">
        <v>8</v>
      </c>
      <c r="E454" s="273">
        <v>4.3098000000000001</v>
      </c>
      <c r="F454" s="273">
        <v>5.5132000000000003</v>
      </c>
      <c r="G454" s="273">
        <f>F454-E454</f>
        <v>1.2034000000000002</v>
      </c>
    </row>
    <row r="455" spans="1:7" hidden="1">
      <c r="A455" s="245">
        <v>44113</v>
      </c>
      <c r="B455" s="245">
        <v>44116</v>
      </c>
      <c r="C455" s="273" t="s">
        <v>19</v>
      </c>
      <c r="D455" s="273">
        <v>5</v>
      </c>
      <c r="E455" s="273">
        <v>4.3494999999999999</v>
      </c>
      <c r="F455" s="273">
        <v>4.4363000000000001</v>
      </c>
      <c r="G455" s="273">
        <f>F455-E455</f>
        <v>8.680000000000021E-2</v>
      </c>
    </row>
    <row r="456" spans="1:7" hidden="1">
      <c r="A456" s="245">
        <v>44113</v>
      </c>
      <c r="B456" s="245">
        <v>44116</v>
      </c>
      <c r="C456" s="273" t="s">
        <v>19</v>
      </c>
      <c r="D456" s="273">
        <v>4</v>
      </c>
      <c r="E456" s="273">
        <v>5.1725000000000003</v>
      </c>
      <c r="F456" s="273">
        <v>5.1839000000000004</v>
      </c>
      <c r="G456" s="273">
        <f>F456-E456</f>
        <v>1.1400000000000077E-2</v>
      </c>
    </row>
    <row r="457" spans="1:7" hidden="1">
      <c r="A457" s="245">
        <v>44113</v>
      </c>
      <c r="B457" s="245">
        <v>44116</v>
      </c>
      <c r="C457" s="273" t="s">
        <v>11</v>
      </c>
      <c r="D457" s="273">
        <v>10</v>
      </c>
      <c r="E457" s="273">
        <v>4.0175000000000001</v>
      </c>
      <c r="F457" s="273">
        <v>4.0227000000000004</v>
      </c>
      <c r="G457" s="273">
        <f>F457-E457</f>
        <v>5.2000000000003155E-3</v>
      </c>
    </row>
    <row r="458" spans="1:7" hidden="1">
      <c r="A458" s="245">
        <v>44113</v>
      </c>
      <c r="B458" s="245">
        <v>44116</v>
      </c>
      <c r="C458" s="273" t="s">
        <v>11</v>
      </c>
      <c r="D458" s="273">
        <v>27</v>
      </c>
      <c r="E458" s="273">
        <v>4.2507000000000001</v>
      </c>
      <c r="F458" s="273">
        <v>5.0269000000000004</v>
      </c>
      <c r="G458" s="273">
        <f>F458-E458</f>
        <v>0.77620000000000022</v>
      </c>
    </row>
    <row r="459" spans="1:7" hidden="1">
      <c r="A459" s="245">
        <v>44113</v>
      </c>
      <c r="B459" s="245">
        <v>44116</v>
      </c>
      <c r="C459" s="273" t="s">
        <v>11</v>
      </c>
      <c r="D459" s="273">
        <v>22</v>
      </c>
      <c r="E459" s="273">
        <v>4.1010999999999997</v>
      </c>
      <c r="F459" s="273">
        <v>4.4988999999999999</v>
      </c>
      <c r="G459" s="273">
        <f>F459-E459</f>
        <v>0.39780000000000015</v>
      </c>
    </row>
    <row r="460" spans="1:7" hidden="1">
      <c r="A460" s="245">
        <v>44113</v>
      </c>
      <c r="B460" s="245">
        <v>44116</v>
      </c>
      <c r="C460" s="273" t="s">
        <v>11</v>
      </c>
      <c r="D460" s="273">
        <v>23</v>
      </c>
      <c r="E460" s="273">
        <v>4.7051999999999996</v>
      </c>
      <c r="F460" s="273">
        <v>5.4021999999999997</v>
      </c>
      <c r="G460" s="273">
        <f>F460-E460</f>
        <v>0.69700000000000006</v>
      </c>
    </row>
    <row r="461" spans="1:7" hidden="1">
      <c r="A461" s="245">
        <v>44113</v>
      </c>
      <c r="B461" s="245">
        <v>44116</v>
      </c>
      <c r="C461" s="273" t="s">
        <v>11</v>
      </c>
      <c r="D461" s="273">
        <v>24</v>
      </c>
      <c r="E461" s="273">
        <v>4.4471999999999996</v>
      </c>
      <c r="F461" s="273">
        <v>4.5448000000000004</v>
      </c>
      <c r="G461" s="273">
        <f>F461-E461</f>
        <v>9.7600000000000797E-2</v>
      </c>
    </row>
    <row r="462" spans="1:7" hidden="1">
      <c r="A462" s="245">
        <v>44113</v>
      </c>
      <c r="B462" s="245">
        <v>44116</v>
      </c>
      <c r="C462" s="273" t="s">
        <v>11</v>
      </c>
      <c r="D462" s="273">
        <v>25</v>
      </c>
      <c r="E462" s="273">
        <v>4.5805999999999996</v>
      </c>
      <c r="F462" s="273">
        <v>5.6794000000000002</v>
      </c>
      <c r="G462" s="273">
        <f>F462-E462</f>
        <v>1.0988000000000007</v>
      </c>
    </row>
    <row r="463" spans="1:7" hidden="1">
      <c r="A463" s="245">
        <v>44113</v>
      </c>
      <c r="B463" s="245">
        <v>44116</v>
      </c>
      <c r="C463" s="273" t="s">
        <v>11</v>
      </c>
      <c r="D463" s="273">
        <v>26</v>
      </c>
      <c r="E463" s="273">
        <v>4.2332000000000001</v>
      </c>
      <c r="F463" s="273">
        <v>4.3117000000000001</v>
      </c>
      <c r="G463" s="273">
        <f>F463-E463</f>
        <v>7.8500000000000014E-2</v>
      </c>
    </row>
    <row r="464" spans="1:7" hidden="1">
      <c r="A464" s="245">
        <v>44113</v>
      </c>
      <c r="B464" s="245">
        <v>44116</v>
      </c>
      <c r="C464" s="273" t="s">
        <v>16</v>
      </c>
      <c r="D464" s="273">
        <v>31</v>
      </c>
      <c r="E464" s="273">
        <v>4.5411000000000001</v>
      </c>
      <c r="F464" s="273">
        <v>5.1463000000000001</v>
      </c>
      <c r="G464" s="273">
        <f>F464-E464</f>
        <v>0.60519999999999996</v>
      </c>
    </row>
    <row r="465" spans="1:8" hidden="1">
      <c r="A465" s="245">
        <v>44113</v>
      </c>
      <c r="B465" s="245">
        <v>44116</v>
      </c>
      <c r="C465" s="273" t="s">
        <v>16</v>
      </c>
      <c r="D465" s="273">
        <v>28</v>
      </c>
      <c r="E465" s="273">
        <v>4.2218</v>
      </c>
      <c r="F465" s="273">
        <v>4.2384000000000004</v>
      </c>
      <c r="G465" s="273">
        <f>F465-E465</f>
        <v>1.6600000000000392E-2</v>
      </c>
      <c r="H465" s="273"/>
    </row>
    <row r="466" spans="1:8" hidden="1">
      <c r="A466" s="245">
        <v>44113</v>
      </c>
      <c r="B466" s="245">
        <v>44116</v>
      </c>
      <c r="C466" s="273" t="s">
        <v>16</v>
      </c>
      <c r="D466" s="273">
        <v>30</v>
      </c>
      <c r="E466" s="273">
        <v>4.3916000000000004</v>
      </c>
      <c r="F466" s="273">
        <v>5.7070999999999996</v>
      </c>
      <c r="G466" s="273">
        <f>F466-E466</f>
        <v>1.3154999999999992</v>
      </c>
      <c r="H466" s="273"/>
    </row>
    <row r="467" spans="1:8" hidden="1">
      <c r="A467" s="245">
        <v>44113</v>
      </c>
      <c r="B467" s="245">
        <v>44116</v>
      </c>
      <c r="C467" s="273" t="s">
        <v>16</v>
      </c>
      <c r="D467" s="273">
        <v>32</v>
      </c>
      <c r="E467" s="273">
        <v>3.9952000000000001</v>
      </c>
      <c r="F467" s="273">
        <v>4.5833000000000004</v>
      </c>
      <c r="G467" s="273">
        <f>F467-E467</f>
        <v>0.58810000000000029</v>
      </c>
      <c r="H467" s="273"/>
    </row>
    <row r="468" spans="1:8" hidden="1">
      <c r="A468" s="245">
        <v>44113</v>
      </c>
      <c r="B468" s="245">
        <v>44116</v>
      </c>
      <c r="C468" s="273" t="s">
        <v>16</v>
      </c>
      <c r="D468" s="273">
        <v>33</v>
      </c>
      <c r="E468" s="273">
        <v>4.8642000000000003</v>
      </c>
      <c r="F468" s="273">
        <v>4.9557000000000002</v>
      </c>
      <c r="G468" s="273">
        <f>F468-E468</f>
        <v>9.1499999999999915E-2</v>
      </c>
      <c r="H468" s="273"/>
    </row>
    <row r="469" spans="1:8" hidden="1">
      <c r="A469" s="245">
        <v>44113</v>
      </c>
      <c r="B469" s="245">
        <v>44116</v>
      </c>
      <c r="C469" s="273" t="s">
        <v>16</v>
      </c>
      <c r="D469" s="273">
        <v>34</v>
      </c>
      <c r="E469" s="273">
        <v>4.9882</v>
      </c>
      <c r="F469" s="273">
        <v>5.1527000000000003</v>
      </c>
      <c r="G469" s="273">
        <f>F469-E469</f>
        <v>0.16450000000000031</v>
      </c>
      <c r="H469" s="273"/>
    </row>
    <row r="470" spans="1:8" hidden="1">
      <c r="A470" s="245">
        <v>44113</v>
      </c>
      <c r="B470" s="245">
        <v>44116</v>
      </c>
      <c r="C470" s="273" t="s">
        <v>16</v>
      </c>
      <c r="D470" s="273">
        <v>29</v>
      </c>
      <c r="E470" s="273">
        <v>4.5640999999999998</v>
      </c>
      <c r="F470" s="273">
        <v>5.1300999999999997</v>
      </c>
      <c r="G470" s="273">
        <f>F470-E470</f>
        <v>0.56599999999999984</v>
      </c>
      <c r="H470" s="273"/>
    </row>
    <row r="471" spans="1:8" s="218" customFormat="1" hidden="1">
      <c r="A471" s="245">
        <v>44116</v>
      </c>
      <c r="B471" s="245">
        <v>44118</v>
      </c>
      <c r="C471" s="273" t="s">
        <v>19</v>
      </c>
      <c r="D471" s="273">
        <v>7</v>
      </c>
      <c r="E471" s="273">
        <v>4.8887999999999998</v>
      </c>
      <c r="F471" s="273">
        <v>5.1360999999999999</v>
      </c>
      <c r="G471" s="273">
        <f>F471-E471</f>
        <v>0.24730000000000008</v>
      </c>
      <c r="H471" s="273">
        <f>G471+G474+G475+G476+G477+G478+G479+G481+G482+G484+G485+G486+G487+G490</f>
        <v>6.4558999999999997</v>
      </c>
    </row>
    <row r="472" spans="1:8" s="218" customFormat="1" hidden="1">
      <c r="A472" s="245">
        <v>44116</v>
      </c>
      <c r="B472" s="245">
        <v>44118</v>
      </c>
      <c r="C472" s="273" t="s">
        <v>19</v>
      </c>
      <c r="D472" s="273">
        <v>6</v>
      </c>
      <c r="E472" s="273">
        <v>4.6237000000000004</v>
      </c>
      <c r="F472" s="273">
        <v>4.6443500000000002</v>
      </c>
      <c r="G472" s="273">
        <f>F472-E472</f>
        <v>2.0649999999999835E-2</v>
      </c>
      <c r="H472" s="273"/>
    </row>
    <row r="473" spans="1:8" s="218" customFormat="1" hidden="1">
      <c r="A473" s="245">
        <v>44116</v>
      </c>
      <c r="B473" s="245">
        <v>44118</v>
      </c>
      <c r="C473" s="273" t="s">
        <v>19</v>
      </c>
      <c r="D473" s="273">
        <v>4</v>
      </c>
      <c r="E473" s="273">
        <v>3.5562</v>
      </c>
      <c r="F473" s="273">
        <v>3.5139999999999998</v>
      </c>
      <c r="G473" s="273">
        <f>F473-E473</f>
        <v>-4.2200000000000237E-2</v>
      </c>
      <c r="H473" s="273"/>
    </row>
    <row r="474" spans="1:8" s="218" customFormat="1" hidden="1">
      <c r="A474" s="245">
        <v>44116</v>
      </c>
      <c r="B474" s="245">
        <v>44118</v>
      </c>
      <c r="C474" s="273" t="s">
        <v>19</v>
      </c>
      <c r="D474" s="273">
        <v>8</v>
      </c>
      <c r="E474" s="273">
        <v>4.2469999999999999</v>
      </c>
      <c r="F474" s="273">
        <v>4.9436999999999998</v>
      </c>
      <c r="G474" s="273">
        <f>F474-E474</f>
        <v>0.69669999999999987</v>
      </c>
      <c r="H474" s="273"/>
    </row>
    <row r="475" spans="1:8" s="218" customFormat="1" hidden="1">
      <c r="A475" s="245">
        <v>44116</v>
      </c>
      <c r="B475" s="245">
        <v>44118</v>
      </c>
      <c r="C475" s="273" t="s">
        <v>11</v>
      </c>
      <c r="D475" s="273">
        <v>22</v>
      </c>
      <c r="E475" s="273">
        <v>4.3017000000000003</v>
      </c>
      <c r="F475" s="273">
        <v>4.6116000000000001</v>
      </c>
      <c r="G475" s="273">
        <f>F475-E475</f>
        <v>0.30989999999999984</v>
      </c>
      <c r="H475" s="273"/>
    </row>
    <row r="476" spans="1:8" s="218" customFormat="1" hidden="1">
      <c r="A476" s="245">
        <v>44116</v>
      </c>
      <c r="B476" s="245">
        <v>44118</v>
      </c>
      <c r="C476" s="273" t="s">
        <v>11</v>
      </c>
      <c r="D476" s="273">
        <v>24</v>
      </c>
      <c r="E476" s="273">
        <v>3.7528999999999999</v>
      </c>
      <c r="F476" s="273">
        <v>3.8555999999999999</v>
      </c>
      <c r="G476" s="273">
        <f>F476-E476</f>
        <v>0.10270000000000001</v>
      </c>
      <c r="H476" s="273"/>
    </row>
    <row r="477" spans="1:8" s="218" customFormat="1" hidden="1">
      <c r="A477" s="245">
        <v>44116</v>
      </c>
      <c r="B477" s="245">
        <v>44118</v>
      </c>
      <c r="C477" s="273" t="s">
        <v>11</v>
      </c>
      <c r="D477" s="273">
        <v>23</v>
      </c>
      <c r="E477" s="273">
        <v>4.2937000000000003</v>
      </c>
      <c r="F477" s="273">
        <v>4.9034000000000004</v>
      </c>
      <c r="G477" s="273">
        <f>F477-E477</f>
        <v>0.60970000000000013</v>
      </c>
      <c r="H477" s="273"/>
    </row>
    <row r="478" spans="1:8" s="218" customFormat="1" hidden="1">
      <c r="A478" s="245">
        <v>44116</v>
      </c>
      <c r="B478" s="245">
        <v>44118</v>
      </c>
      <c r="C478" s="273" t="s">
        <v>11</v>
      </c>
      <c r="D478" s="273">
        <v>25</v>
      </c>
      <c r="E478" s="273">
        <v>4.3463000000000003</v>
      </c>
      <c r="F478" s="273">
        <v>4.6627000000000001</v>
      </c>
      <c r="G478" s="273">
        <f>F478-E478</f>
        <v>0.31639999999999979</v>
      </c>
      <c r="H478" s="273"/>
    </row>
    <row r="479" spans="1:8" s="218" customFormat="1" hidden="1">
      <c r="A479" s="245">
        <v>44116</v>
      </c>
      <c r="B479" s="245">
        <v>44118</v>
      </c>
      <c r="C479" s="273" t="s">
        <v>11</v>
      </c>
      <c r="D479" s="273">
        <v>27</v>
      </c>
      <c r="E479" s="273">
        <v>4.1871</v>
      </c>
      <c r="F479" s="273">
        <v>4.3936000000000002</v>
      </c>
      <c r="G479" s="273">
        <f>F479-E479</f>
        <v>0.20650000000000013</v>
      </c>
      <c r="H479" s="273"/>
    </row>
    <row r="480" spans="1:8" s="218" customFormat="1" hidden="1">
      <c r="A480" s="245">
        <v>44116</v>
      </c>
      <c r="B480" s="245">
        <v>44118</v>
      </c>
      <c r="C480" s="273" t="s">
        <v>11</v>
      </c>
      <c r="D480" s="273">
        <v>26</v>
      </c>
      <c r="E480" s="273">
        <v>4.0528000000000004</v>
      </c>
      <c r="F480" s="273">
        <v>4.0720999999999998</v>
      </c>
      <c r="G480" s="273">
        <f>F480-E480</f>
        <v>1.9299999999999429E-2</v>
      </c>
      <c r="H480" s="273"/>
    </row>
    <row r="481" spans="1:8" s="218" customFormat="1" hidden="1">
      <c r="A481" s="245">
        <v>44116</v>
      </c>
      <c r="B481" s="245">
        <v>44118</v>
      </c>
      <c r="C481" s="273" t="s">
        <v>11</v>
      </c>
      <c r="D481" s="273">
        <v>29</v>
      </c>
      <c r="E481" s="273">
        <v>4.4679000000000002</v>
      </c>
      <c r="F481" s="273">
        <v>4.6064999999999996</v>
      </c>
      <c r="G481" s="273">
        <f>F481-E481</f>
        <v>0.13859999999999939</v>
      </c>
      <c r="H481" s="273"/>
    </row>
    <row r="482" spans="1:8" s="218" customFormat="1" hidden="1">
      <c r="A482" s="245">
        <v>44116</v>
      </c>
      <c r="B482" s="245">
        <v>44118</v>
      </c>
      <c r="C482" s="273" t="s">
        <v>11</v>
      </c>
      <c r="D482" s="273">
        <v>28</v>
      </c>
      <c r="E482" s="273">
        <v>4.3312999999999997</v>
      </c>
      <c r="F482" s="273">
        <v>5.2587999999999999</v>
      </c>
      <c r="G482" s="273">
        <f>F482-E482</f>
        <v>0.92750000000000021</v>
      </c>
      <c r="H482" s="273"/>
    </row>
    <row r="483" spans="1:8" s="218" customFormat="1" hidden="1">
      <c r="A483" s="245">
        <v>44116</v>
      </c>
      <c r="B483" s="245">
        <v>44118</v>
      </c>
      <c r="C483" s="273" t="s">
        <v>16</v>
      </c>
      <c r="D483" s="273">
        <v>33</v>
      </c>
      <c r="E483" s="273">
        <v>3.9478</v>
      </c>
      <c r="F483" s="273">
        <v>3.9944999999999999</v>
      </c>
      <c r="G483" s="273">
        <f>F483-E483</f>
        <v>4.6699999999999964E-2</v>
      </c>
      <c r="H483" s="273"/>
    </row>
    <row r="484" spans="1:8" s="218" customFormat="1" hidden="1">
      <c r="A484" s="245">
        <v>44116</v>
      </c>
      <c r="B484" s="245">
        <v>44118</v>
      </c>
      <c r="C484" s="273" t="s">
        <v>16</v>
      </c>
      <c r="D484" s="273">
        <v>31</v>
      </c>
      <c r="E484" s="273">
        <v>4.4690000000000003</v>
      </c>
      <c r="F484" s="273">
        <v>4.6955999999999998</v>
      </c>
      <c r="G484" s="273">
        <f>F484-E484</f>
        <v>0.22659999999999947</v>
      </c>
      <c r="H484" s="273"/>
    </row>
    <row r="485" spans="1:8" s="218" customFormat="1" hidden="1">
      <c r="A485" s="245">
        <v>44116</v>
      </c>
      <c r="B485" s="245">
        <v>44118</v>
      </c>
      <c r="C485" s="273" t="s">
        <v>16</v>
      </c>
      <c r="D485" s="273">
        <v>30</v>
      </c>
      <c r="E485" s="273">
        <v>5.9603999999999999</v>
      </c>
      <c r="F485" s="273">
        <v>6.3548999999999998</v>
      </c>
      <c r="G485" s="273">
        <f>F485-E485</f>
        <v>0.39449999999999985</v>
      </c>
      <c r="H485" s="273"/>
    </row>
    <row r="486" spans="1:8" s="218" customFormat="1" hidden="1">
      <c r="A486" s="245">
        <v>44116</v>
      </c>
      <c r="B486" s="245">
        <v>44118</v>
      </c>
      <c r="C486" s="273" t="s">
        <v>16</v>
      </c>
      <c r="D486" s="273">
        <v>29</v>
      </c>
      <c r="E486" s="273">
        <v>4.6166999999999998</v>
      </c>
      <c r="F486" s="273">
        <v>5.1971999999999996</v>
      </c>
      <c r="G486" s="273">
        <f>F486-E486</f>
        <v>0.58049999999999979</v>
      </c>
      <c r="H486" s="273"/>
    </row>
    <row r="487" spans="1:8" s="218" customFormat="1" hidden="1">
      <c r="A487" s="245">
        <v>44116</v>
      </c>
      <c r="B487" s="245">
        <v>44118</v>
      </c>
      <c r="C487" s="273" t="s">
        <v>16</v>
      </c>
      <c r="D487" s="273">
        <v>32</v>
      </c>
      <c r="E487" s="273">
        <v>4.5377999999999998</v>
      </c>
      <c r="F487" s="273">
        <v>4.9599000000000002</v>
      </c>
      <c r="G487" s="273">
        <f>F487-E487</f>
        <v>0.42210000000000036</v>
      </c>
      <c r="H487" s="273"/>
    </row>
    <row r="488" spans="1:8" s="218" customFormat="1" hidden="1">
      <c r="A488" s="245">
        <v>44116</v>
      </c>
      <c r="B488" s="245">
        <v>44118</v>
      </c>
      <c r="C488" s="273" t="s">
        <v>16</v>
      </c>
      <c r="D488" s="273">
        <v>36</v>
      </c>
      <c r="E488" s="273">
        <v>4.0446999999999997</v>
      </c>
      <c r="F488" s="273">
        <v>4.0984999999999996</v>
      </c>
      <c r="G488" s="273">
        <f>F488-E488</f>
        <v>5.3799999999999848E-2</v>
      </c>
      <c r="H488" s="273"/>
    </row>
    <row r="489" spans="1:8" s="218" customFormat="1" hidden="1">
      <c r="A489" s="245">
        <v>44116</v>
      </c>
      <c r="B489" s="245">
        <v>44118</v>
      </c>
      <c r="C489" s="273" t="s">
        <v>16</v>
      </c>
      <c r="D489" s="273">
        <v>35</v>
      </c>
      <c r="E489" s="273">
        <v>4.2786</v>
      </c>
      <c r="F489" s="273">
        <v>4.3011999999999997</v>
      </c>
      <c r="G489" s="273">
        <f>F489-E489</f>
        <v>2.2599999999999731E-2</v>
      </c>
      <c r="H489" s="273"/>
    </row>
    <row r="490" spans="1:8" s="218" customFormat="1" hidden="1">
      <c r="A490" s="245">
        <v>44116</v>
      </c>
      <c r="B490" s="245">
        <v>44118</v>
      </c>
      <c r="C490" s="273" t="s">
        <v>16</v>
      </c>
      <c r="D490" s="273">
        <v>34</v>
      </c>
      <c r="E490" s="273">
        <v>5.1963999999999997</v>
      </c>
      <c r="F490" s="273">
        <v>6.4733000000000001</v>
      </c>
      <c r="G490" s="273">
        <f>F490-E490</f>
        <v>1.2769000000000004</v>
      </c>
      <c r="H490" s="273"/>
    </row>
    <row r="491" spans="1:8" s="218" customFormat="1" hidden="1">
      <c r="A491" s="245">
        <v>44116</v>
      </c>
      <c r="B491" s="245">
        <v>44118</v>
      </c>
      <c r="C491" s="273" t="s">
        <v>18</v>
      </c>
      <c r="D491" s="273"/>
      <c r="E491" s="273">
        <v>4.1684000000000001</v>
      </c>
      <c r="F491" s="273">
        <v>4.1924999999999999</v>
      </c>
      <c r="G491" s="273">
        <f>F491-E491</f>
        <v>2.4099999999999788E-2</v>
      </c>
      <c r="H491" s="273"/>
    </row>
    <row r="492" spans="1:8" hidden="1">
      <c r="A492" s="245">
        <v>44118</v>
      </c>
      <c r="B492" s="245">
        <v>44120</v>
      </c>
      <c r="C492" s="273" t="s">
        <v>19</v>
      </c>
      <c r="D492" s="273">
        <v>8</v>
      </c>
      <c r="E492" s="273">
        <v>4.7438000000000002</v>
      </c>
      <c r="F492" s="273">
        <v>5.3869999999999996</v>
      </c>
      <c r="G492" s="273">
        <f>F492-E492</f>
        <v>0.64319999999999933</v>
      </c>
      <c r="H492" s="273"/>
    </row>
    <row r="493" spans="1:8" hidden="1">
      <c r="A493" s="245">
        <v>44118</v>
      </c>
      <c r="B493" s="245">
        <v>44120</v>
      </c>
      <c r="C493" s="273" t="s">
        <v>19</v>
      </c>
      <c r="D493" s="273">
        <v>7</v>
      </c>
      <c r="E493" s="273">
        <v>4.2243000000000004</v>
      </c>
      <c r="F493" s="273">
        <v>4.3540000000000001</v>
      </c>
      <c r="G493" s="273">
        <f>F493-E493</f>
        <v>0.1296999999999997</v>
      </c>
      <c r="H493" s="273"/>
    </row>
    <row r="494" spans="1:8" hidden="1">
      <c r="A494" s="245">
        <v>44118</v>
      </c>
      <c r="B494" s="245">
        <v>44120</v>
      </c>
      <c r="C494" s="273" t="s">
        <v>16</v>
      </c>
      <c r="D494" s="273">
        <v>36</v>
      </c>
      <c r="E494" s="273">
        <v>4.4387999999999996</v>
      </c>
      <c r="F494" s="273">
        <v>5.8291000000000004</v>
      </c>
      <c r="G494" s="273">
        <f>F494-E494</f>
        <v>1.3903000000000008</v>
      </c>
      <c r="H494" s="273">
        <f>SUM(G494:G496)+G503</f>
        <v>4.1884999999999994</v>
      </c>
    </row>
    <row r="495" spans="1:8" hidden="1">
      <c r="A495" s="245">
        <v>44118</v>
      </c>
      <c r="B495" s="245">
        <v>44120</v>
      </c>
      <c r="C495" s="273" t="s">
        <v>16</v>
      </c>
      <c r="D495" s="273">
        <v>32</v>
      </c>
      <c r="E495" s="273">
        <v>4.7435</v>
      </c>
      <c r="F495" s="273">
        <v>5.1430999999999996</v>
      </c>
      <c r="G495" s="273">
        <f>F495-E495</f>
        <v>0.39959999999999951</v>
      </c>
      <c r="H495" s="273"/>
    </row>
    <row r="496" spans="1:8" hidden="1">
      <c r="A496" s="245">
        <v>44118</v>
      </c>
      <c r="B496" s="245">
        <v>44120</v>
      </c>
      <c r="C496" s="273" t="s">
        <v>16</v>
      </c>
      <c r="D496" s="273">
        <v>35</v>
      </c>
      <c r="E496" s="273">
        <v>4.5452000000000004</v>
      </c>
      <c r="F496" s="273">
        <v>5.9592999999999998</v>
      </c>
      <c r="G496" s="273">
        <f>F496-E496</f>
        <v>1.4140999999999995</v>
      </c>
      <c r="H496" s="273"/>
    </row>
    <row r="497" spans="1:14" hidden="1">
      <c r="A497" s="245">
        <v>44118</v>
      </c>
      <c r="B497" s="245">
        <v>44120</v>
      </c>
      <c r="C497" s="273" t="s">
        <v>16</v>
      </c>
      <c r="D497" s="273">
        <v>34</v>
      </c>
      <c r="E497" s="273">
        <v>4.7329999999999997</v>
      </c>
      <c r="F497" s="273">
        <v>8.4552999999999994</v>
      </c>
      <c r="G497" s="273">
        <f>F497-E497</f>
        <v>3.7222999999999997</v>
      </c>
      <c r="H497" s="273">
        <f>SUM(G497:G504)-G503</f>
        <v>5.0055000000000005</v>
      </c>
      <c r="I497" s="273"/>
      <c r="J497" s="273"/>
      <c r="K497" s="273"/>
      <c r="L497" s="273"/>
      <c r="M497" s="273"/>
      <c r="N497" s="273"/>
    </row>
    <row r="498" spans="1:14" hidden="1">
      <c r="A498" s="245">
        <v>44118</v>
      </c>
      <c r="B498" s="245">
        <v>44120</v>
      </c>
      <c r="C498" s="273" t="s">
        <v>16</v>
      </c>
      <c r="D498" s="273">
        <v>31</v>
      </c>
      <c r="E498" s="273">
        <v>4.2786</v>
      </c>
      <c r="F498" s="273">
        <v>4.3338000000000001</v>
      </c>
      <c r="G498" s="273">
        <f>F498-E498</f>
        <v>5.5200000000000138E-2</v>
      </c>
      <c r="H498" s="273"/>
      <c r="I498" s="273"/>
      <c r="J498" s="273"/>
      <c r="K498" s="273"/>
      <c r="L498" s="273"/>
      <c r="M498" s="273"/>
      <c r="N498" s="273"/>
    </row>
    <row r="499" spans="1:14" hidden="1">
      <c r="A499" s="245">
        <v>44118</v>
      </c>
      <c r="B499" s="245">
        <v>44120</v>
      </c>
      <c r="C499" s="273" t="s">
        <v>16</v>
      </c>
      <c r="D499" s="273">
        <v>30</v>
      </c>
      <c r="E499" s="273">
        <v>4.8033000000000001</v>
      </c>
      <c r="F499" s="273">
        <v>4.9617000000000004</v>
      </c>
      <c r="G499" s="273">
        <f>F499-E499</f>
        <v>0.15840000000000032</v>
      </c>
      <c r="H499" s="273"/>
      <c r="I499" s="273"/>
      <c r="J499" s="273"/>
      <c r="K499" s="273"/>
      <c r="L499" s="273"/>
      <c r="M499" s="273"/>
      <c r="N499" s="273"/>
    </row>
    <row r="500" spans="1:14" hidden="1">
      <c r="A500" s="245">
        <v>44118</v>
      </c>
      <c r="B500" s="245">
        <v>44120</v>
      </c>
      <c r="C500" s="273" t="s">
        <v>16</v>
      </c>
      <c r="D500" s="273">
        <v>29</v>
      </c>
      <c r="E500" s="273">
        <v>4.0674999999999999</v>
      </c>
      <c r="F500" s="273">
        <v>4.4774000000000003</v>
      </c>
      <c r="G500" s="273">
        <f>F500-E500</f>
        <v>0.40990000000000038</v>
      </c>
      <c r="H500" s="273"/>
      <c r="I500" s="273"/>
      <c r="J500" s="273"/>
      <c r="K500" s="273"/>
      <c r="L500" s="273"/>
      <c r="M500" s="273"/>
      <c r="N500" s="273"/>
    </row>
    <row r="501" spans="1:14" hidden="1">
      <c r="A501" s="245">
        <v>44118</v>
      </c>
      <c r="B501" s="245">
        <v>44120</v>
      </c>
      <c r="C501" s="273" t="s">
        <v>16</v>
      </c>
      <c r="D501" s="273">
        <v>37</v>
      </c>
      <c r="E501" s="273">
        <v>4.0034000000000001</v>
      </c>
      <c r="F501" s="273">
        <v>4.5697999999999999</v>
      </c>
      <c r="G501" s="273">
        <f>F501-E501</f>
        <v>0.56639999999999979</v>
      </c>
      <c r="H501" s="273"/>
      <c r="I501" s="273"/>
      <c r="J501" s="273"/>
      <c r="K501" s="273"/>
      <c r="L501" s="273"/>
      <c r="M501" s="273"/>
      <c r="N501" s="273"/>
    </row>
    <row r="502" spans="1:14" hidden="1">
      <c r="A502" s="245">
        <v>44118</v>
      </c>
      <c r="B502" s="245">
        <v>44120</v>
      </c>
      <c r="C502" s="273" t="s">
        <v>16</v>
      </c>
      <c r="D502" s="273">
        <v>38</v>
      </c>
      <c r="E502" s="273">
        <v>4.0888999999999998</v>
      </c>
      <c r="F502" s="273">
        <v>4.1868999999999996</v>
      </c>
      <c r="G502" s="273">
        <f>F502-E502</f>
        <v>9.7999999999999865E-2</v>
      </c>
      <c r="H502" s="273"/>
      <c r="I502" s="273"/>
      <c r="J502" s="273"/>
      <c r="K502" s="273"/>
      <c r="L502" s="273"/>
      <c r="M502" s="273"/>
      <c r="N502" s="273"/>
    </row>
    <row r="503" spans="1:14" hidden="1">
      <c r="A503" s="245">
        <v>44118</v>
      </c>
      <c r="B503" s="245">
        <v>44120</v>
      </c>
      <c r="C503" s="273" t="s">
        <v>16</v>
      </c>
      <c r="D503" s="273">
        <v>39</v>
      </c>
      <c r="E503" s="273">
        <v>4.4610000000000003</v>
      </c>
      <c r="F503" s="273">
        <v>5.4455</v>
      </c>
      <c r="G503" s="273">
        <f>F503-E503</f>
        <v>0.98449999999999971</v>
      </c>
      <c r="H503" s="273"/>
      <c r="I503" s="273"/>
      <c r="J503" s="273"/>
      <c r="K503" s="273"/>
      <c r="L503" s="273"/>
      <c r="M503" s="273"/>
      <c r="N503" s="273"/>
    </row>
    <row r="504" spans="1:14" hidden="1">
      <c r="A504" s="245">
        <v>44118</v>
      </c>
      <c r="B504" s="245">
        <v>44120</v>
      </c>
      <c r="C504" s="273" t="s">
        <v>16</v>
      </c>
      <c r="D504" s="273">
        <v>42</v>
      </c>
      <c r="E504" s="273">
        <v>4.0237999999999996</v>
      </c>
      <c r="F504" s="273">
        <v>4.0190999999999999</v>
      </c>
      <c r="G504" s="273">
        <f>F504-E504</f>
        <v>-4.6999999999997044E-3</v>
      </c>
      <c r="H504" s="273"/>
      <c r="I504" s="273"/>
      <c r="J504" s="273"/>
      <c r="K504" s="273"/>
      <c r="L504" s="273"/>
      <c r="M504" s="273"/>
      <c r="N504" s="273"/>
    </row>
    <row r="505" spans="1:14" hidden="1">
      <c r="A505" s="245">
        <v>44118</v>
      </c>
      <c r="B505" s="245">
        <v>44120</v>
      </c>
      <c r="C505" s="273" t="s">
        <v>11</v>
      </c>
      <c r="D505" s="273">
        <v>23</v>
      </c>
      <c r="E505" s="273">
        <v>3.9586999999999999</v>
      </c>
      <c r="F505" s="273">
        <v>4.5422000000000002</v>
      </c>
      <c r="G505" s="273">
        <f>F505-E505</f>
        <v>0.58350000000000035</v>
      </c>
      <c r="H505" s="273">
        <f>SUM(G505:G512)-G507</f>
        <v>4.5487000000000002</v>
      </c>
      <c r="I505" s="273"/>
      <c r="J505" s="273"/>
      <c r="K505" s="273"/>
      <c r="L505" s="273"/>
      <c r="M505" s="273"/>
      <c r="N505" s="273"/>
    </row>
    <row r="506" spans="1:14" hidden="1">
      <c r="A506" s="245">
        <v>44118</v>
      </c>
      <c r="B506" s="245">
        <v>44120</v>
      </c>
      <c r="C506" s="273" t="s">
        <v>11</v>
      </c>
      <c r="D506" s="273">
        <v>24</v>
      </c>
      <c r="E506" s="273">
        <v>4.4146000000000001</v>
      </c>
      <c r="F506" s="273">
        <v>5.0911999999999997</v>
      </c>
      <c r="G506" s="273">
        <f>F506-E506</f>
        <v>0.67659999999999965</v>
      </c>
      <c r="H506" s="273"/>
      <c r="I506" s="273"/>
      <c r="J506" s="273"/>
      <c r="K506" s="273"/>
      <c r="L506" s="273"/>
      <c r="M506" s="273"/>
      <c r="N506" s="273"/>
    </row>
    <row r="507" spans="1:14" hidden="1">
      <c r="A507" s="245">
        <v>44118</v>
      </c>
      <c r="B507" s="245">
        <v>44120</v>
      </c>
      <c r="C507" s="273" t="s">
        <v>11</v>
      </c>
      <c r="D507" s="273">
        <v>28</v>
      </c>
      <c r="E507" s="273">
        <v>3.9601999999999999</v>
      </c>
      <c r="F507" s="273">
        <v>7.8258999999999999</v>
      </c>
      <c r="G507" s="273">
        <f t="shared" ref="G507:G570" si="11">F507-E507</f>
        <v>3.8656999999999999</v>
      </c>
      <c r="H507" s="273">
        <f>G507</f>
        <v>3.8656999999999999</v>
      </c>
      <c r="I507" s="273"/>
      <c r="J507" s="273"/>
      <c r="K507" s="273"/>
      <c r="L507" s="273"/>
      <c r="M507" s="273"/>
      <c r="N507" s="273"/>
    </row>
    <row r="508" spans="1:14" hidden="1">
      <c r="A508" s="245">
        <v>44118</v>
      </c>
      <c r="B508" s="245">
        <v>44120</v>
      </c>
      <c r="C508" s="273" t="s">
        <v>11</v>
      </c>
      <c r="D508" s="273">
        <v>29</v>
      </c>
      <c r="E508" s="273">
        <v>4.2516999999999996</v>
      </c>
      <c r="F508" s="273">
        <v>6.1592000000000002</v>
      </c>
      <c r="G508" s="273">
        <f t="shared" si="11"/>
        <v>1.9075000000000006</v>
      </c>
      <c r="H508" s="273"/>
      <c r="I508" s="273"/>
      <c r="J508" s="273"/>
      <c r="K508" s="273"/>
      <c r="L508" s="273"/>
      <c r="M508" s="273"/>
      <c r="N508" s="273"/>
    </row>
    <row r="509" spans="1:14" hidden="1">
      <c r="A509" s="245">
        <v>44118</v>
      </c>
      <c r="B509" s="245">
        <v>44120</v>
      </c>
      <c r="C509" s="273" t="s">
        <v>11</v>
      </c>
      <c r="D509" s="273">
        <v>25</v>
      </c>
      <c r="E509" s="273">
        <v>4.0693999999999999</v>
      </c>
      <c r="F509" s="273">
        <v>4.6721000000000004</v>
      </c>
      <c r="G509" s="273">
        <f t="shared" si="11"/>
        <v>0.60270000000000046</v>
      </c>
      <c r="H509" s="273"/>
      <c r="I509" s="273"/>
      <c r="J509" s="273"/>
      <c r="K509" s="273"/>
      <c r="L509" s="273"/>
      <c r="M509" s="273"/>
      <c r="N509" s="273"/>
    </row>
    <row r="510" spans="1:14" hidden="1">
      <c r="A510" s="245">
        <v>44118</v>
      </c>
      <c r="B510" s="245">
        <v>44120</v>
      </c>
      <c r="C510" s="273" t="s">
        <v>11</v>
      </c>
      <c r="D510" s="273">
        <v>26</v>
      </c>
      <c r="E510" s="273">
        <v>3.8254000000000001</v>
      </c>
      <c r="F510" s="273">
        <v>4.1037999999999997</v>
      </c>
      <c r="G510" s="273">
        <f t="shared" si="11"/>
        <v>0.27839999999999954</v>
      </c>
      <c r="H510" s="273"/>
      <c r="I510" s="273"/>
      <c r="J510" s="273"/>
      <c r="K510" s="273"/>
      <c r="L510" s="273"/>
      <c r="M510" s="273"/>
      <c r="N510" s="273"/>
    </row>
    <row r="511" spans="1:14" hidden="1">
      <c r="A511" s="245">
        <v>44118</v>
      </c>
      <c r="B511" s="245">
        <v>44120</v>
      </c>
      <c r="C511" s="273" t="s">
        <v>11</v>
      </c>
      <c r="D511" s="273">
        <v>22</v>
      </c>
      <c r="E511" s="273">
        <v>4.1757999999999997</v>
      </c>
      <c r="F511" s="273">
        <v>4.2930999999999999</v>
      </c>
      <c r="G511" s="273">
        <f t="shared" si="11"/>
        <v>0.11730000000000018</v>
      </c>
      <c r="H511" s="273"/>
      <c r="I511" s="273"/>
      <c r="J511" s="273"/>
      <c r="K511" s="273"/>
      <c r="L511" s="273"/>
      <c r="M511" s="273"/>
      <c r="N511" s="273"/>
    </row>
    <row r="512" spans="1:14" hidden="1">
      <c r="A512" s="245">
        <v>44118</v>
      </c>
      <c r="B512" s="245">
        <v>44120</v>
      </c>
      <c r="C512" s="273" t="s">
        <v>11</v>
      </c>
      <c r="D512" s="273">
        <v>27</v>
      </c>
      <c r="E512" s="273">
        <v>4.5910000000000002</v>
      </c>
      <c r="F512" s="273">
        <v>4.9737</v>
      </c>
      <c r="G512" s="273">
        <f t="shared" si="11"/>
        <v>0.38269999999999982</v>
      </c>
      <c r="H512" s="273"/>
      <c r="I512" s="273"/>
      <c r="J512" s="273"/>
      <c r="K512" s="273"/>
      <c r="L512" s="273"/>
      <c r="M512" s="273"/>
      <c r="N512" s="273"/>
    </row>
    <row r="513" spans="1:7" hidden="1">
      <c r="A513" s="245">
        <v>44120</v>
      </c>
      <c r="B513" s="245">
        <v>44123</v>
      </c>
      <c r="C513" s="273" t="s">
        <v>19</v>
      </c>
      <c r="D513" s="273">
        <v>8</v>
      </c>
      <c r="E513" s="273">
        <v>3.2654999999999998</v>
      </c>
      <c r="F513" s="273">
        <v>3.2682000000000002</v>
      </c>
      <c r="G513" s="273">
        <f t="shared" si="11"/>
        <v>2.7000000000003688E-3</v>
      </c>
    </row>
    <row r="514" spans="1:7" hidden="1">
      <c r="A514" s="245">
        <v>44120</v>
      </c>
      <c r="B514" s="245">
        <v>44123</v>
      </c>
      <c r="C514" s="273" t="s">
        <v>18</v>
      </c>
      <c r="D514" s="273"/>
      <c r="E514" s="273">
        <v>3.6261999999999999</v>
      </c>
      <c r="F514" s="273">
        <v>4.0145</v>
      </c>
      <c r="G514" s="273">
        <f t="shared" si="11"/>
        <v>0.38830000000000009</v>
      </c>
    </row>
    <row r="515" spans="1:7" hidden="1">
      <c r="A515" s="245">
        <v>44120</v>
      </c>
      <c r="B515" s="245">
        <v>44123</v>
      </c>
      <c r="C515" s="273" t="s">
        <v>18</v>
      </c>
      <c r="D515" s="273"/>
      <c r="E515" s="273">
        <v>4.0871000000000004</v>
      </c>
      <c r="F515" s="273">
        <v>4.3403</v>
      </c>
      <c r="G515" s="273">
        <f t="shared" si="11"/>
        <v>0.25319999999999965</v>
      </c>
    </row>
    <row r="516" spans="1:7" hidden="1">
      <c r="A516" s="245">
        <v>44120</v>
      </c>
      <c r="B516" s="245">
        <v>44123</v>
      </c>
      <c r="C516" s="273" t="s">
        <v>16</v>
      </c>
      <c r="D516" s="273">
        <v>42</v>
      </c>
      <c r="E516" s="273">
        <v>3.7856000000000001</v>
      </c>
      <c r="F516" s="273">
        <v>4.4924999999999997</v>
      </c>
      <c r="G516" s="273">
        <f t="shared" si="11"/>
        <v>0.70689999999999964</v>
      </c>
    </row>
    <row r="517" spans="1:7" hidden="1">
      <c r="A517" s="245">
        <v>44120</v>
      </c>
      <c r="B517" s="245">
        <v>44123</v>
      </c>
      <c r="C517" s="273" t="s">
        <v>16</v>
      </c>
      <c r="D517" s="273">
        <v>40</v>
      </c>
      <c r="E517" s="273">
        <v>2.9573999999999998</v>
      </c>
      <c r="F517" s="273">
        <v>3.3292999999999999</v>
      </c>
      <c r="G517" s="273">
        <f t="shared" si="11"/>
        <v>0.37190000000000012</v>
      </c>
    </row>
    <row r="518" spans="1:7" hidden="1">
      <c r="A518" s="245">
        <v>44120</v>
      </c>
      <c r="B518" s="245">
        <v>44123</v>
      </c>
      <c r="C518" s="273" t="s">
        <v>16</v>
      </c>
      <c r="D518" s="273">
        <v>32</v>
      </c>
      <c r="E518" s="273">
        <v>7.3239999999999998</v>
      </c>
      <c r="F518" s="273">
        <v>7.4591000000000003</v>
      </c>
      <c r="G518" s="273">
        <f t="shared" si="11"/>
        <v>0.13510000000000044</v>
      </c>
    </row>
    <row r="519" spans="1:7" hidden="1">
      <c r="A519" s="245">
        <v>44120</v>
      </c>
      <c r="B519" s="245">
        <v>44123</v>
      </c>
      <c r="C519" s="273" t="s">
        <v>16</v>
      </c>
      <c r="D519" s="273">
        <v>41</v>
      </c>
      <c r="E519" s="273">
        <v>3.5653999999999999</v>
      </c>
      <c r="F519" s="273">
        <v>3.7016</v>
      </c>
      <c r="G519" s="273">
        <f t="shared" si="11"/>
        <v>0.1362000000000001</v>
      </c>
    </row>
    <row r="520" spans="1:7" hidden="1">
      <c r="A520" s="245">
        <v>44120</v>
      </c>
      <c r="B520" s="245">
        <v>44123</v>
      </c>
      <c r="C520" s="273" t="s">
        <v>16</v>
      </c>
      <c r="D520" s="273">
        <v>33</v>
      </c>
      <c r="E520" s="273">
        <v>3.5706000000000002</v>
      </c>
      <c r="F520" s="273">
        <v>3.8487</v>
      </c>
      <c r="G520" s="273">
        <f t="shared" si="11"/>
        <v>0.27809999999999979</v>
      </c>
    </row>
    <row r="521" spans="1:7" hidden="1">
      <c r="A521" s="245">
        <v>44120</v>
      </c>
      <c r="B521" s="245">
        <v>44123</v>
      </c>
      <c r="C521" s="273" t="s">
        <v>16</v>
      </c>
      <c r="D521" s="273">
        <v>38</v>
      </c>
      <c r="E521" s="273">
        <v>3.8972000000000002</v>
      </c>
      <c r="F521" s="273">
        <v>4.4741999999999997</v>
      </c>
      <c r="G521" s="273">
        <f t="shared" si="11"/>
        <v>0.57699999999999951</v>
      </c>
    </row>
    <row r="522" spans="1:7" hidden="1">
      <c r="A522" s="245">
        <v>44120</v>
      </c>
      <c r="B522" s="245">
        <v>44123</v>
      </c>
      <c r="C522" s="273" t="s">
        <v>16</v>
      </c>
      <c r="D522" s="273">
        <v>37</v>
      </c>
      <c r="E522" s="273">
        <v>3.6004</v>
      </c>
      <c r="F522" s="273">
        <v>5.7180999999999997</v>
      </c>
      <c r="G522" s="273">
        <f t="shared" si="11"/>
        <v>2.1176999999999997</v>
      </c>
    </row>
    <row r="523" spans="1:7" hidden="1">
      <c r="A523" s="245">
        <v>44120</v>
      </c>
      <c r="B523" s="245">
        <v>44123</v>
      </c>
      <c r="C523" s="273" t="s">
        <v>16</v>
      </c>
      <c r="D523" s="273">
        <v>30</v>
      </c>
      <c r="E523" s="273">
        <v>4.4659000000000004</v>
      </c>
      <c r="F523" s="273">
        <v>4.4766000000000004</v>
      </c>
      <c r="G523" s="273">
        <f t="shared" si="11"/>
        <v>1.0699999999999932E-2</v>
      </c>
    </row>
    <row r="524" spans="1:7" hidden="1">
      <c r="A524" s="245">
        <v>44120</v>
      </c>
      <c r="B524" s="245">
        <v>44123</v>
      </c>
      <c r="C524" s="273" t="s">
        <v>16</v>
      </c>
      <c r="D524" s="273">
        <v>34</v>
      </c>
      <c r="E524" s="273">
        <v>4.7861000000000002</v>
      </c>
      <c r="F524" s="273">
        <v>6.4638999999999998</v>
      </c>
      <c r="G524" s="273">
        <f t="shared" si="11"/>
        <v>1.6777999999999995</v>
      </c>
    </row>
    <row r="525" spans="1:7" hidden="1">
      <c r="A525" s="245">
        <v>44120</v>
      </c>
      <c r="B525" s="245">
        <v>44123</v>
      </c>
      <c r="C525" s="273" t="s">
        <v>16</v>
      </c>
      <c r="D525" s="273">
        <v>39</v>
      </c>
      <c r="E525" s="273">
        <v>3.4727999999999999</v>
      </c>
      <c r="F525" s="273">
        <v>4.7253999999999996</v>
      </c>
      <c r="G525" s="273">
        <f t="shared" si="11"/>
        <v>1.2525999999999997</v>
      </c>
    </row>
    <row r="526" spans="1:7" hidden="1">
      <c r="A526" s="245">
        <v>44120</v>
      </c>
      <c r="B526" s="245">
        <v>44123</v>
      </c>
      <c r="C526" s="273" t="s">
        <v>16</v>
      </c>
      <c r="D526" s="273">
        <v>29</v>
      </c>
      <c r="E526" s="273">
        <v>3.6496</v>
      </c>
      <c r="F526" s="273">
        <v>3.6518000000000002</v>
      </c>
      <c r="G526" s="273">
        <f t="shared" si="11"/>
        <v>2.2000000000002018E-3</v>
      </c>
    </row>
    <row r="527" spans="1:7" hidden="1">
      <c r="A527" s="245">
        <v>44120</v>
      </c>
      <c r="B527" s="245">
        <v>44123</v>
      </c>
      <c r="C527" s="273" t="s">
        <v>16</v>
      </c>
      <c r="D527" s="273">
        <v>36</v>
      </c>
      <c r="E527" s="273">
        <v>4.0734000000000004</v>
      </c>
      <c r="F527" s="273">
        <v>5.2088999999999999</v>
      </c>
      <c r="G527" s="273">
        <f t="shared" si="11"/>
        <v>1.1354999999999995</v>
      </c>
    </row>
    <row r="528" spans="1:7" hidden="1">
      <c r="A528" s="245">
        <v>44120</v>
      </c>
      <c r="B528" s="245">
        <v>44123</v>
      </c>
      <c r="C528" s="273" t="s">
        <v>11</v>
      </c>
      <c r="D528" s="273">
        <v>26</v>
      </c>
      <c r="E528" s="273">
        <v>3.2568000000000001</v>
      </c>
      <c r="F528" s="273">
        <v>3.4967999999999999</v>
      </c>
      <c r="G528" s="273">
        <f t="shared" si="11"/>
        <v>0.23999999999999977</v>
      </c>
    </row>
    <row r="529" spans="1:8" hidden="1">
      <c r="A529" s="245">
        <v>44120</v>
      </c>
      <c r="B529" s="245">
        <v>44123</v>
      </c>
      <c r="C529" s="273" t="s">
        <v>11</v>
      </c>
      <c r="D529" s="273">
        <v>22</v>
      </c>
      <c r="E529" s="273">
        <v>3.1196000000000002</v>
      </c>
      <c r="F529" s="273">
        <v>3.2139000000000002</v>
      </c>
      <c r="G529" s="273">
        <f t="shared" si="11"/>
        <v>9.430000000000005E-2</v>
      </c>
      <c r="H529" s="273"/>
    </row>
    <row r="530" spans="1:8" hidden="1">
      <c r="A530" s="245">
        <v>44120</v>
      </c>
      <c r="B530" s="245">
        <v>44123</v>
      </c>
      <c r="C530" s="273" t="s">
        <v>11</v>
      </c>
      <c r="D530" s="273">
        <v>27</v>
      </c>
      <c r="E530" s="273">
        <v>4.3013000000000003</v>
      </c>
      <c r="F530" s="273">
        <v>4.9770000000000003</v>
      </c>
      <c r="G530" s="273">
        <f t="shared" si="11"/>
        <v>0.67569999999999997</v>
      </c>
      <c r="H530" s="273"/>
    </row>
    <row r="531" spans="1:8" hidden="1">
      <c r="A531" s="245">
        <v>44120</v>
      </c>
      <c r="B531" s="245">
        <v>44123</v>
      </c>
      <c r="C531" s="273" t="s">
        <v>11</v>
      </c>
      <c r="D531" s="273">
        <v>25</v>
      </c>
      <c r="E531" s="273">
        <v>3.1577999999999999</v>
      </c>
      <c r="F531" s="273">
        <v>3.68</v>
      </c>
      <c r="G531" s="273">
        <f t="shared" si="11"/>
        <v>0.52220000000000022</v>
      </c>
      <c r="H531" s="273"/>
    </row>
    <row r="532" spans="1:8" hidden="1">
      <c r="A532" s="245">
        <v>44120</v>
      </c>
      <c r="B532" s="245">
        <v>44123</v>
      </c>
      <c r="C532" s="273" t="s">
        <v>11</v>
      </c>
      <c r="D532" s="273">
        <v>23</v>
      </c>
      <c r="E532" s="273">
        <v>4.2126000000000001</v>
      </c>
      <c r="F532" s="273">
        <v>4.2742000000000004</v>
      </c>
      <c r="G532" s="273">
        <f t="shared" si="11"/>
        <v>6.1600000000000321E-2</v>
      </c>
      <c r="H532" s="273"/>
    </row>
    <row r="533" spans="1:8" hidden="1">
      <c r="A533" s="245">
        <v>44120</v>
      </c>
      <c r="B533" s="245">
        <v>44123</v>
      </c>
      <c r="C533" s="273" t="s">
        <v>11</v>
      </c>
      <c r="D533" s="273">
        <v>29</v>
      </c>
      <c r="E533" s="273">
        <v>4.2347999999999999</v>
      </c>
      <c r="F533" s="273">
        <v>6.0388999999999999</v>
      </c>
      <c r="G533" s="273">
        <f t="shared" si="11"/>
        <v>1.8041</v>
      </c>
      <c r="H533" s="273"/>
    </row>
    <row r="534" spans="1:8" hidden="1">
      <c r="A534" s="245">
        <v>44120</v>
      </c>
      <c r="B534" s="245">
        <v>44123</v>
      </c>
      <c r="C534" s="273" t="s">
        <v>11</v>
      </c>
      <c r="D534" s="273">
        <v>24</v>
      </c>
      <c r="E534" s="273">
        <v>4.3445999999999998</v>
      </c>
      <c r="F534" s="273">
        <v>4.7098000000000004</v>
      </c>
      <c r="G534" s="273">
        <f t="shared" si="11"/>
        <v>0.36520000000000064</v>
      </c>
      <c r="H534" s="273"/>
    </row>
    <row r="535" spans="1:8" hidden="1">
      <c r="A535" s="245">
        <v>44120</v>
      </c>
      <c r="B535" s="245">
        <v>44123</v>
      </c>
      <c r="C535" s="273" t="s">
        <v>16</v>
      </c>
      <c r="D535" s="273">
        <v>35</v>
      </c>
      <c r="E535" s="273">
        <v>4.2035999999999998</v>
      </c>
      <c r="F535" s="273">
        <v>5.6323999999999996</v>
      </c>
      <c r="G535" s="273">
        <f t="shared" si="11"/>
        <v>1.4287999999999998</v>
      </c>
      <c r="H535" s="273"/>
    </row>
    <row r="536" spans="1:8" hidden="1">
      <c r="A536" s="245">
        <v>44120</v>
      </c>
      <c r="B536" s="245">
        <v>44123</v>
      </c>
      <c r="C536" s="273" t="s">
        <v>11</v>
      </c>
      <c r="D536" s="273">
        <v>28</v>
      </c>
      <c r="E536" s="273">
        <v>3.8647</v>
      </c>
      <c r="F536" s="273">
        <v>6.6406999999999998</v>
      </c>
      <c r="G536" s="273">
        <f t="shared" si="11"/>
        <v>2.7759999999999998</v>
      </c>
      <c r="H536" s="273"/>
    </row>
    <row r="537" spans="1:8" hidden="1">
      <c r="A537" s="245">
        <v>44123</v>
      </c>
      <c r="B537" s="245">
        <v>44125</v>
      </c>
      <c r="C537" s="273" t="s">
        <v>11</v>
      </c>
      <c r="D537" s="273">
        <v>22</v>
      </c>
      <c r="E537" s="273">
        <v>3.3264999999999998</v>
      </c>
      <c r="F537" s="273">
        <v>3.3839999999999999</v>
      </c>
      <c r="G537" s="273">
        <f t="shared" si="11"/>
        <v>5.7500000000000107E-2</v>
      </c>
      <c r="H537" s="273"/>
    </row>
    <row r="538" spans="1:8" hidden="1">
      <c r="A538" s="245">
        <v>44123</v>
      </c>
      <c r="B538" s="245">
        <v>44125</v>
      </c>
      <c r="C538" s="273" t="s">
        <v>11</v>
      </c>
      <c r="D538" s="273">
        <v>26</v>
      </c>
      <c r="E538" s="273">
        <v>8.8679000000000006</v>
      </c>
      <c r="F538" s="273">
        <v>9.2886000000000006</v>
      </c>
      <c r="G538" s="273">
        <f t="shared" si="11"/>
        <v>0.42070000000000007</v>
      </c>
      <c r="H538" s="273"/>
    </row>
    <row r="539" spans="1:8" hidden="1">
      <c r="A539" s="245">
        <v>44123</v>
      </c>
      <c r="B539" s="245">
        <v>44125</v>
      </c>
      <c r="C539" s="273" t="s">
        <v>11</v>
      </c>
      <c r="D539" s="273">
        <v>24</v>
      </c>
      <c r="E539" s="273">
        <v>4.7104999999999997</v>
      </c>
      <c r="F539" s="273">
        <v>4.8209999999999997</v>
      </c>
      <c r="G539" s="273">
        <f t="shared" si="11"/>
        <v>0.11050000000000004</v>
      </c>
      <c r="H539" s="273"/>
    </row>
    <row r="540" spans="1:8" hidden="1">
      <c r="A540" s="245">
        <v>44123</v>
      </c>
      <c r="B540" s="245">
        <v>44125</v>
      </c>
      <c r="C540" s="273" t="s">
        <v>11</v>
      </c>
      <c r="D540" s="273">
        <v>27</v>
      </c>
      <c r="E540" s="273">
        <v>4.1325000000000003</v>
      </c>
      <c r="F540" s="273">
        <v>4.4377000000000004</v>
      </c>
      <c r="G540" s="273">
        <f t="shared" si="11"/>
        <v>0.30520000000000014</v>
      </c>
      <c r="H540" s="273"/>
    </row>
    <row r="541" spans="1:8" hidden="1">
      <c r="A541" s="245">
        <v>44123</v>
      </c>
      <c r="B541" s="245">
        <v>44125</v>
      </c>
      <c r="C541" s="273" t="s">
        <v>11</v>
      </c>
      <c r="D541" s="273">
        <v>29</v>
      </c>
      <c r="E541" s="273">
        <v>4.3491</v>
      </c>
      <c r="F541" s="273">
        <v>5.7691999999999997</v>
      </c>
      <c r="G541" s="273">
        <f t="shared" si="11"/>
        <v>1.4200999999999997</v>
      </c>
      <c r="H541" s="273"/>
    </row>
    <row r="542" spans="1:8" hidden="1">
      <c r="A542" s="245">
        <v>44123</v>
      </c>
      <c r="B542" s="245">
        <v>44125</v>
      </c>
      <c r="C542" s="273" t="s">
        <v>11</v>
      </c>
      <c r="D542" s="273">
        <v>25</v>
      </c>
      <c r="E542" s="273">
        <v>7.0143000000000004</v>
      </c>
      <c r="F542" s="273">
        <v>7.6212</v>
      </c>
      <c r="G542" s="273">
        <f t="shared" si="11"/>
        <v>0.60689999999999955</v>
      </c>
      <c r="H542" s="273"/>
    </row>
    <row r="543" spans="1:8" hidden="1">
      <c r="A543" s="245">
        <v>44123</v>
      </c>
      <c r="B543" s="245">
        <v>44125</v>
      </c>
      <c r="C543" s="273" t="s">
        <v>11</v>
      </c>
      <c r="D543" s="273">
        <v>28</v>
      </c>
      <c r="E543" s="273">
        <v>7.4714999999999998</v>
      </c>
      <c r="F543" s="273">
        <v>8.6293000000000006</v>
      </c>
      <c r="G543" s="273">
        <f t="shared" si="11"/>
        <v>1.1578000000000008</v>
      </c>
      <c r="H543" s="273"/>
    </row>
    <row r="544" spans="1:8" hidden="1">
      <c r="A544" s="245">
        <v>44123</v>
      </c>
      <c r="B544" s="245">
        <v>44125</v>
      </c>
      <c r="C544" s="273" t="s">
        <v>16</v>
      </c>
      <c r="D544" s="273">
        <v>36</v>
      </c>
      <c r="E544" s="273">
        <v>4.03</v>
      </c>
      <c r="F544" s="273">
        <v>4.2907999999999999</v>
      </c>
      <c r="G544" s="273">
        <f t="shared" si="11"/>
        <v>0.2607999999999997</v>
      </c>
      <c r="H544" s="273"/>
    </row>
    <row r="545" spans="1:9" hidden="1">
      <c r="A545" s="245">
        <v>44123</v>
      </c>
      <c r="B545" s="245">
        <v>44125</v>
      </c>
      <c r="C545" s="273" t="s">
        <v>16</v>
      </c>
      <c r="D545" s="273">
        <v>40</v>
      </c>
      <c r="E545" s="273">
        <v>3.4592999999999998</v>
      </c>
      <c r="F545" s="273">
        <v>3.5242</v>
      </c>
      <c r="G545" s="273">
        <f t="shared" si="11"/>
        <v>6.490000000000018E-2</v>
      </c>
      <c r="H545" s="273"/>
      <c r="I545" s="273"/>
    </row>
    <row r="546" spans="1:9" hidden="1">
      <c r="A546" s="245">
        <v>44123</v>
      </c>
      <c r="B546" s="245">
        <v>44125</v>
      </c>
      <c r="C546" s="273" t="s">
        <v>16</v>
      </c>
      <c r="D546" s="273">
        <v>42</v>
      </c>
      <c r="E546" s="273">
        <v>7.2283999999999997</v>
      </c>
      <c r="F546" s="273">
        <v>9.2667999999999999</v>
      </c>
      <c r="G546" s="273">
        <f t="shared" si="11"/>
        <v>2.0384000000000002</v>
      </c>
      <c r="H546" s="273"/>
      <c r="I546" s="273"/>
    </row>
    <row r="547" spans="1:9" hidden="1">
      <c r="A547" s="245">
        <v>44123</v>
      </c>
      <c r="B547" s="245">
        <v>44125</v>
      </c>
      <c r="C547" s="273" t="s">
        <v>16</v>
      </c>
      <c r="D547" s="273">
        <v>39</v>
      </c>
      <c r="E547" s="273">
        <v>7.4390999999999998</v>
      </c>
      <c r="F547" s="273">
        <v>8.2644000000000002</v>
      </c>
      <c r="G547" s="273">
        <f t="shared" si="11"/>
        <v>0.82530000000000037</v>
      </c>
      <c r="H547" s="273"/>
      <c r="I547" s="273"/>
    </row>
    <row r="548" spans="1:9" hidden="1">
      <c r="A548" s="245">
        <v>44123</v>
      </c>
      <c r="B548" s="245">
        <v>44125</v>
      </c>
      <c r="C548" s="273" t="s">
        <v>16</v>
      </c>
      <c r="D548" s="273">
        <v>41</v>
      </c>
      <c r="E548" s="273">
        <v>6.9294000000000002</v>
      </c>
      <c r="F548" s="273">
        <v>8.4101999999999997</v>
      </c>
      <c r="G548" s="273">
        <f t="shared" si="11"/>
        <v>1.4807999999999995</v>
      </c>
      <c r="H548" s="273"/>
      <c r="I548" s="273"/>
    </row>
    <row r="549" spans="1:9" hidden="1">
      <c r="A549" s="245">
        <v>44123</v>
      </c>
      <c r="B549" s="245">
        <v>44125</v>
      </c>
      <c r="C549" s="273" t="s">
        <v>16</v>
      </c>
      <c r="D549" s="273">
        <v>38</v>
      </c>
      <c r="E549" s="273">
        <v>3.5558000000000001</v>
      </c>
      <c r="F549" s="273">
        <v>4.8979999999999997</v>
      </c>
      <c r="G549" s="273">
        <f t="shared" si="11"/>
        <v>1.3421999999999996</v>
      </c>
      <c r="H549" s="273"/>
      <c r="I549" s="273"/>
    </row>
    <row r="550" spans="1:9" hidden="1">
      <c r="A550" s="245">
        <v>44123</v>
      </c>
      <c r="B550" s="245">
        <v>44125</v>
      </c>
      <c r="C550" s="273" t="s">
        <v>16</v>
      </c>
      <c r="D550" s="273">
        <v>34</v>
      </c>
      <c r="E550" s="273">
        <v>4.5193000000000003</v>
      </c>
      <c r="F550" s="273">
        <v>5.4554</v>
      </c>
      <c r="G550" s="273">
        <f t="shared" si="11"/>
        <v>0.93609999999999971</v>
      </c>
      <c r="H550" s="273"/>
      <c r="I550" s="273"/>
    </row>
    <row r="551" spans="1:9" hidden="1">
      <c r="A551" s="245">
        <v>44123</v>
      </c>
      <c r="B551" s="245">
        <v>44125</v>
      </c>
      <c r="C551" s="273" t="s">
        <v>16</v>
      </c>
      <c r="D551" s="273">
        <v>37</v>
      </c>
      <c r="E551" s="273">
        <v>3.7736999999999998</v>
      </c>
      <c r="F551" s="273">
        <v>5.3471000000000002</v>
      </c>
      <c r="G551" s="273">
        <f t="shared" si="11"/>
        <v>1.5734000000000004</v>
      </c>
      <c r="H551" s="273"/>
      <c r="I551" s="273"/>
    </row>
    <row r="552" spans="1:9" hidden="1">
      <c r="A552" s="245">
        <v>44123</v>
      </c>
      <c r="B552" s="245">
        <v>44125</v>
      </c>
      <c r="C552" s="273" t="s">
        <v>16</v>
      </c>
      <c r="D552" s="273">
        <v>33</v>
      </c>
      <c r="E552" s="273">
        <v>4.9856999999999996</v>
      </c>
      <c r="F552" s="273">
        <v>5.1687000000000003</v>
      </c>
      <c r="G552" s="273">
        <f t="shared" si="11"/>
        <v>0.18300000000000072</v>
      </c>
      <c r="H552" s="273"/>
      <c r="I552" s="273"/>
    </row>
    <row r="553" spans="1:9" hidden="1">
      <c r="A553" s="245">
        <v>44123</v>
      </c>
      <c r="B553" s="245">
        <v>44125</v>
      </c>
      <c r="C553" s="273" t="s">
        <v>16</v>
      </c>
      <c r="D553" s="273">
        <v>32</v>
      </c>
      <c r="E553" s="273">
        <v>4.2576000000000001</v>
      </c>
      <c r="F553" s="273">
        <v>4.3684000000000003</v>
      </c>
      <c r="G553" s="273">
        <f t="shared" si="11"/>
        <v>0.11080000000000023</v>
      </c>
      <c r="H553" s="273"/>
      <c r="I553" s="273"/>
    </row>
    <row r="554" spans="1:9" hidden="1">
      <c r="A554" s="245">
        <v>44125</v>
      </c>
      <c r="B554" s="245">
        <v>44127</v>
      </c>
      <c r="C554" s="273" t="s">
        <v>11</v>
      </c>
      <c r="D554" s="273">
        <v>25</v>
      </c>
      <c r="E554" s="273">
        <v>4.4843999999999999</v>
      </c>
      <c r="F554" s="273">
        <v>4.7328999999999999</v>
      </c>
      <c r="G554" s="273">
        <f t="shared" si="11"/>
        <v>0.24849999999999994</v>
      </c>
      <c r="H554" s="273"/>
      <c r="I554" s="273"/>
    </row>
    <row r="555" spans="1:9" hidden="1">
      <c r="A555" s="245">
        <v>44125</v>
      </c>
      <c r="B555" s="245">
        <v>44127</v>
      </c>
      <c r="C555" s="273" t="s">
        <v>11</v>
      </c>
      <c r="D555" s="273">
        <v>32</v>
      </c>
      <c r="E555" s="273">
        <v>3.9073000000000002</v>
      </c>
      <c r="F555" s="273">
        <v>3.9489999999999998</v>
      </c>
      <c r="G555" s="273">
        <f t="shared" si="11"/>
        <v>4.1699999999999626E-2</v>
      </c>
      <c r="H555" s="273"/>
      <c r="I555" s="273"/>
    </row>
    <row r="556" spans="1:9" hidden="1">
      <c r="A556" s="245">
        <v>44125</v>
      </c>
      <c r="B556" s="245">
        <v>44127</v>
      </c>
      <c r="C556" s="273" t="s">
        <v>11</v>
      </c>
      <c r="D556" s="273">
        <v>30</v>
      </c>
      <c r="E556" s="273">
        <v>4.3407999999999998</v>
      </c>
      <c r="F556" s="273">
        <v>4.3853999999999997</v>
      </c>
      <c r="G556" s="273">
        <f t="shared" si="11"/>
        <v>4.4599999999999973E-2</v>
      </c>
      <c r="H556" s="273"/>
      <c r="I556" s="273"/>
    </row>
    <row r="557" spans="1:9" hidden="1">
      <c r="A557" s="245">
        <v>44125</v>
      </c>
      <c r="B557" s="245">
        <v>44127</v>
      </c>
      <c r="C557" s="273" t="s">
        <v>11</v>
      </c>
      <c r="D557" s="273">
        <v>31</v>
      </c>
      <c r="E557" s="273">
        <v>3.4586999999999999</v>
      </c>
      <c r="F557" s="273">
        <v>3.5710000000000002</v>
      </c>
      <c r="G557" s="273">
        <f t="shared" si="11"/>
        <v>0.11230000000000029</v>
      </c>
      <c r="H557" s="273"/>
      <c r="I557" s="273"/>
    </row>
    <row r="558" spans="1:9" hidden="1">
      <c r="A558" s="245">
        <v>44125</v>
      </c>
      <c r="B558" s="245">
        <v>44127</v>
      </c>
      <c r="C558" s="273" t="s">
        <v>11</v>
      </c>
      <c r="D558" s="273">
        <v>27</v>
      </c>
      <c r="E558" s="273">
        <v>3.7953000000000001</v>
      </c>
      <c r="F558" s="273">
        <v>3.92</v>
      </c>
      <c r="G558" s="273">
        <f t="shared" si="11"/>
        <v>0.12469999999999981</v>
      </c>
      <c r="H558" s="273"/>
      <c r="I558" s="273"/>
    </row>
    <row r="559" spans="1:9" hidden="1">
      <c r="A559" s="245">
        <v>44125</v>
      </c>
      <c r="B559" s="245">
        <v>44127</v>
      </c>
      <c r="C559" s="273" t="s">
        <v>11</v>
      </c>
      <c r="D559" s="273">
        <v>26</v>
      </c>
      <c r="E559" s="273">
        <v>3.5045999999999999</v>
      </c>
      <c r="F559" s="273">
        <v>3.6324999999999998</v>
      </c>
      <c r="G559" s="273">
        <f t="shared" si="11"/>
        <v>0.1278999999999999</v>
      </c>
      <c r="H559" s="273"/>
      <c r="I559" s="273"/>
    </row>
    <row r="560" spans="1:9" hidden="1">
      <c r="A560" s="245">
        <v>44125</v>
      </c>
      <c r="B560" s="245">
        <v>44127</v>
      </c>
      <c r="C560" s="273" t="s">
        <v>11</v>
      </c>
      <c r="D560" s="273">
        <v>29</v>
      </c>
      <c r="E560" s="273">
        <v>3.4586000000000001</v>
      </c>
      <c r="F560" s="273">
        <v>5.7229000000000001</v>
      </c>
      <c r="G560" s="273">
        <f t="shared" si="11"/>
        <v>2.2643</v>
      </c>
      <c r="H560" s="273"/>
      <c r="I560" s="273"/>
    </row>
    <row r="561" spans="1:8" hidden="1">
      <c r="A561" s="245">
        <v>44125</v>
      </c>
      <c r="B561" s="245">
        <v>44127</v>
      </c>
      <c r="C561" s="273" t="s">
        <v>11</v>
      </c>
      <c r="D561" s="273">
        <v>33</v>
      </c>
      <c r="E561" s="273">
        <v>3.1433</v>
      </c>
      <c r="F561" s="273">
        <v>3.3104</v>
      </c>
      <c r="G561" s="273">
        <f t="shared" si="11"/>
        <v>0.16710000000000003</v>
      </c>
      <c r="H561" s="273"/>
    </row>
    <row r="562" spans="1:8" hidden="1">
      <c r="A562" s="245">
        <v>44125</v>
      </c>
      <c r="B562" s="245">
        <v>44127</v>
      </c>
      <c r="C562" s="273" t="s">
        <v>16</v>
      </c>
      <c r="D562" s="273">
        <v>42</v>
      </c>
      <c r="E562" s="273">
        <v>8.2138000000000009</v>
      </c>
      <c r="F562" s="273">
        <v>10.2148</v>
      </c>
      <c r="G562" s="273">
        <f t="shared" si="11"/>
        <v>2.0009999999999994</v>
      </c>
      <c r="H562" s="273">
        <f>SUM(G562+G564)+G571+G569</f>
        <v>5.8361999999999998</v>
      </c>
    </row>
    <row r="563" spans="1:8" hidden="1">
      <c r="A563" s="245">
        <v>44125</v>
      </c>
      <c r="B563" s="245">
        <v>44127</v>
      </c>
      <c r="C563" s="273" t="s">
        <v>16</v>
      </c>
      <c r="D563" s="273">
        <v>39</v>
      </c>
      <c r="E563" s="273">
        <v>3.2793000000000001</v>
      </c>
      <c r="F563" s="273">
        <v>5.0784000000000002</v>
      </c>
      <c r="G563" s="273">
        <f t="shared" si="11"/>
        <v>1.7991000000000001</v>
      </c>
      <c r="H563" s="273">
        <f>SUM(G563,G565:G570)-G569</f>
        <v>5.8603000000000005</v>
      </c>
    </row>
    <row r="564" spans="1:8" hidden="1">
      <c r="A564" s="245">
        <v>44125</v>
      </c>
      <c r="B564" s="245">
        <v>44127</v>
      </c>
      <c r="C564" s="273" t="s">
        <v>16</v>
      </c>
      <c r="D564" s="273">
        <v>37</v>
      </c>
      <c r="E564" s="273">
        <v>8.4743999999999993</v>
      </c>
      <c r="F564" s="273">
        <v>11.874599999999999</v>
      </c>
      <c r="G564" s="273">
        <f t="shared" si="11"/>
        <v>3.4001999999999999</v>
      </c>
      <c r="H564" s="273"/>
    </row>
    <row r="565" spans="1:8" hidden="1">
      <c r="A565" s="245">
        <v>44125</v>
      </c>
      <c r="B565" s="245">
        <v>44127</v>
      </c>
      <c r="C565" s="273" t="s">
        <v>16</v>
      </c>
      <c r="D565" s="273">
        <v>38</v>
      </c>
      <c r="E565" s="273">
        <v>4.3987999999999996</v>
      </c>
      <c r="F565" s="273">
        <v>6.1744000000000003</v>
      </c>
      <c r="G565" s="273">
        <f t="shared" si="11"/>
        <v>1.7756000000000007</v>
      </c>
      <c r="H565" s="273"/>
    </row>
    <row r="566" spans="1:8" hidden="1">
      <c r="A566" s="245">
        <v>44125</v>
      </c>
      <c r="B566" s="245">
        <v>44127</v>
      </c>
      <c r="C566" s="273" t="s">
        <v>16</v>
      </c>
      <c r="D566" s="273">
        <v>40</v>
      </c>
      <c r="E566" s="273">
        <v>3.234</v>
      </c>
      <c r="F566" s="273">
        <v>3.4988000000000001</v>
      </c>
      <c r="G566" s="273">
        <f t="shared" si="11"/>
        <v>0.26480000000000015</v>
      </c>
      <c r="H566" s="273"/>
    </row>
    <row r="567" spans="1:8" hidden="1">
      <c r="A567" s="245">
        <v>44125</v>
      </c>
      <c r="B567" s="245">
        <v>44127</v>
      </c>
      <c r="C567" s="273" t="s">
        <v>16</v>
      </c>
      <c r="D567" s="273">
        <v>33</v>
      </c>
      <c r="E567" s="273">
        <v>4.3028000000000004</v>
      </c>
      <c r="F567" s="273">
        <v>4.3796999999999997</v>
      </c>
      <c r="G567" s="273">
        <f t="shared" si="11"/>
        <v>7.6899999999999302E-2</v>
      </c>
      <c r="H567" s="273"/>
    </row>
    <row r="568" spans="1:8" hidden="1">
      <c r="A568" s="245">
        <v>44125</v>
      </c>
      <c r="B568" s="245">
        <v>44127</v>
      </c>
      <c r="C568" s="273" t="s">
        <v>16</v>
      </c>
      <c r="D568" s="273">
        <v>34</v>
      </c>
      <c r="E568" s="273">
        <v>3.6000999999999999</v>
      </c>
      <c r="F568" s="273">
        <v>3.8633000000000002</v>
      </c>
      <c r="G568" s="273">
        <f t="shared" si="11"/>
        <v>0.26320000000000032</v>
      </c>
      <c r="H568" s="273"/>
    </row>
    <row r="569" spans="1:8" hidden="1">
      <c r="A569" s="245">
        <v>44125</v>
      </c>
      <c r="B569" s="245">
        <v>44127</v>
      </c>
      <c r="C569" s="273" t="s">
        <v>16</v>
      </c>
      <c r="D569" s="273">
        <v>43</v>
      </c>
      <c r="E569" s="273">
        <v>3.8687999999999998</v>
      </c>
      <c r="F569" s="273">
        <v>4.2281000000000004</v>
      </c>
      <c r="G569" s="273">
        <f t="shared" si="11"/>
        <v>0.35930000000000062</v>
      </c>
      <c r="H569" s="273"/>
    </row>
    <row r="570" spans="1:8" hidden="1">
      <c r="A570" s="245">
        <v>44125</v>
      </c>
      <c r="B570" s="245">
        <v>44127</v>
      </c>
      <c r="C570" s="273" t="s">
        <v>16</v>
      </c>
      <c r="D570" s="273">
        <v>41</v>
      </c>
      <c r="E570" s="273">
        <v>3.3502000000000001</v>
      </c>
      <c r="F570" s="273">
        <v>5.0308999999999999</v>
      </c>
      <c r="G570" s="273">
        <f t="shared" si="11"/>
        <v>1.6806999999999999</v>
      </c>
      <c r="H570" s="273"/>
    </row>
    <row r="571" spans="1:8" hidden="1">
      <c r="A571" s="245">
        <v>44125</v>
      </c>
      <c r="B571" s="245">
        <v>44127</v>
      </c>
      <c r="C571" s="273" t="s">
        <v>16</v>
      </c>
      <c r="D571" s="273">
        <v>35</v>
      </c>
      <c r="E571" s="273">
        <v>3.7174999999999998</v>
      </c>
      <c r="F571" s="273">
        <v>3.7932000000000001</v>
      </c>
      <c r="G571" s="273">
        <f t="shared" ref="G571:G634" si="12">F571-E571</f>
        <v>7.5700000000000323E-2</v>
      </c>
      <c r="H571" s="273"/>
    </row>
    <row r="572" spans="1:8" hidden="1">
      <c r="A572" s="245">
        <v>44127</v>
      </c>
      <c r="B572" s="245">
        <v>44130</v>
      </c>
      <c r="C572" s="273" t="s">
        <v>8</v>
      </c>
      <c r="D572" s="273">
        <v>12</v>
      </c>
      <c r="E572" s="273">
        <v>5.2506000000000004</v>
      </c>
      <c r="F572" s="273">
        <v>9.9282000000000004</v>
      </c>
      <c r="G572" s="273">
        <f t="shared" si="12"/>
        <v>4.6776</v>
      </c>
      <c r="H572" s="273"/>
    </row>
    <row r="573" spans="1:8" hidden="1">
      <c r="A573" s="245">
        <v>44127</v>
      </c>
      <c r="B573" s="245">
        <v>44130</v>
      </c>
      <c r="C573" s="273" t="s">
        <v>8</v>
      </c>
      <c r="D573" s="273">
        <v>11</v>
      </c>
      <c r="E573" s="273">
        <v>6.3144</v>
      </c>
      <c r="F573" s="273">
        <v>6.6947999999999999</v>
      </c>
      <c r="G573" s="273">
        <f t="shared" si="12"/>
        <v>0.38039999999999985</v>
      </c>
      <c r="H573" s="273"/>
    </row>
    <row r="574" spans="1:8" hidden="1">
      <c r="A574" s="245">
        <v>44127</v>
      </c>
      <c r="B574" s="245">
        <v>44130</v>
      </c>
      <c r="C574" s="273" t="s">
        <v>24</v>
      </c>
      <c r="D574" s="273">
        <v>4</v>
      </c>
      <c r="E574" s="273">
        <v>5.5279999999999996</v>
      </c>
      <c r="F574" s="273">
        <v>8.6425000000000001</v>
      </c>
      <c r="G574" s="273">
        <f t="shared" si="12"/>
        <v>3.1145000000000005</v>
      </c>
      <c r="H574" s="273"/>
    </row>
    <row r="575" spans="1:8" hidden="1">
      <c r="A575" s="245">
        <v>44127</v>
      </c>
      <c r="B575" s="245">
        <v>44130</v>
      </c>
      <c r="C575" s="273" t="s">
        <v>24</v>
      </c>
      <c r="D575" s="273">
        <v>3</v>
      </c>
      <c r="E575" s="273">
        <v>5.3417000000000003</v>
      </c>
      <c r="F575" s="273">
        <v>10.3978</v>
      </c>
      <c r="G575" s="273">
        <f t="shared" si="12"/>
        <v>5.0560999999999998</v>
      </c>
      <c r="H575" s="273"/>
    </row>
    <row r="576" spans="1:8" hidden="1">
      <c r="A576" s="245">
        <v>44127</v>
      </c>
      <c r="B576" s="245">
        <v>44130</v>
      </c>
      <c r="C576" s="273" t="s">
        <v>11</v>
      </c>
      <c r="D576" s="273">
        <v>26</v>
      </c>
      <c r="E576" s="273">
        <v>4.1588000000000003</v>
      </c>
      <c r="F576" s="273">
        <v>4.2618</v>
      </c>
      <c r="G576" s="273">
        <f t="shared" si="12"/>
        <v>0.10299999999999976</v>
      </c>
      <c r="H576" s="273"/>
    </row>
    <row r="577" spans="1:7" hidden="1">
      <c r="A577" s="245">
        <v>44127</v>
      </c>
      <c r="B577" s="245">
        <v>44130</v>
      </c>
      <c r="C577" s="273" t="s">
        <v>11</v>
      </c>
      <c r="D577" s="273">
        <v>33</v>
      </c>
      <c r="E577" s="273">
        <v>3.8046000000000002</v>
      </c>
      <c r="F577" s="273">
        <v>4.9311999999999996</v>
      </c>
      <c r="G577" s="273">
        <f t="shared" si="12"/>
        <v>1.1265999999999994</v>
      </c>
    </row>
    <row r="578" spans="1:7" hidden="1">
      <c r="A578" s="245">
        <v>44127</v>
      </c>
      <c r="B578" s="245">
        <v>44130</v>
      </c>
      <c r="C578" s="273" t="s">
        <v>11</v>
      </c>
      <c r="D578" s="273">
        <v>25</v>
      </c>
      <c r="E578" s="273">
        <v>4.7172999999999998</v>
      </c>
      <c r="F578" s="273">
        <v>4.7535999999999996</v>
      </c>
      <c r="G578" s="273">
        <f t="shared" si="12"/>
        <v>3.6299999999999777E-2</v>
      </c>
    </row>
    <row r="579" spans="1:7" hidden="1">
      <c r="A579" s="245">
        <v>44127</v>
      </c>
      <c r="B579" s="245">
        <v>44130</v>
      </c>
      <c r="C579" s="273" t="s">
        <v>16</v>
      </c>
      <c r="D579" s="273">
        <v>43</v>
      </c>
      <c r="E579" s="273">
        <v>4.6308999999999996</v>
      </c>
      <c r="F579" s="273">
        <v>4.806</v>
      </c>
      <c r="G579" s="273">
        <f t="shared" si="12"/>
        <v>0.17510000000000048</v>
      </c>
    </row>
    <row r="580" spans="1:7" hidden="1">
      <c r="A580" s="245">
        <v>44127</v>
      </c>
      <c r="B580" s="245">
        <v>44130</v>
      </c>
      <c r="C580" s="273" t="s">
        <v>16</v>
      </c>
      <c r="D580" s="273">
        <v>41</v>
      </c>
      <c r="E580" s="273">
        <v>3.7473999999999998</v>
      </c>
      <c r="F580" s="273">
        <v>4.6016000000000004</v>
      </c>
      <c r="G580" s="273">
        <f t="shared" si="12"/>
        <v>0.85420000000000051</v>
      </c>
    </row>
    <row r="581" spans="1:7" hidden="1">
      <c r="A581" s="245">
        <v>44127</v>
      </c>
      <c r="B581" s="245">
        <v>44130</v>
      </c>
      <c r="C581" s="273" t="s">
        <v>16</v>
      </c>
      <c r="D581" s="273">
        <v>39</v>
      </c>
      <c r="E581" s="273">
        <v>3.7170000000000001</v>
      </c>
      <c r="F581" s="273">
        <v>5.7939999999999996</v>
      </c>
      <c r="G581" s="273">
        <f t="shared" si="12"/>
        <v>2.0769999999999995</v>
      </c>
    </row>
    <row r="582" spans="1:7" hidden="1">
      <c r="A582" s="245">
        <v>44127</v>
      </c>
      <c r="B582" s="245">
        <v>44130</v>
      </c>
      <c r="C582" s="273" t="s">
        <v>16</v>
      </c>
      <c r="D582" s="273">
        <v>38</v>
      </c>
      <c r="E582" s="273">
        <v>3.9674</v>
      </c>
      <c r="F582" s="273">
        <v>5.2988999999999997</v>
      </c>
      <c r="G582" s="273">
        <f t="shared" si="12"/>
        <v>1.3314999999999997</v>
      </c>
    </row>
    <row r="583" spans="1:7" hidden="1">
      <c r="A583" s="245">
        <v>44127</v>
      </c>
      <c r="B583" s="245">
        <v>44130</v>
      </c>
      <c r="C583" s="273" t="s">
        <v>16</v>
      </c>
      <c r="D583" s="273">
        <v>40</v>
      </c>
      <c r="E583" s="273">
        <v>4.8554000000000004</v>
      </c>
      <c r="F583" s="273">
        <v>4.9128999999999996</v>
      </c>
      <c r="G583" s="273">
        <f t="shared" si="12"/>
        <v>5.7499999999999218E-2</v>
      </c>
    </row>
    <row r="584" spans="1:7" hidden="1">
      <c r="A584" s="245">
        <v>44127</v>
      </c>
      <c r="B584" s="245">
        <v>44130</v>
      </c>
      <c r="C584" s="273" t="s">
        <v>16</v>
      </c>
      <c r="D584" s="273">
        <v>42</v>
      </c>
      <c r="E584" s="273">
        <v>3.7972000000000001</v>
      </c>
      <c r="F584" s="273">
        <v>4.6280999999999999</v>
      </c>
      <c r="G584" s="273">
        <f t="shared" si="12"/>
        <v>0.83089999999999975</v>
      </c>
    </row>
    <row r="585" spans="1:7" hidden="1">
      <c r="A585" s="245">
        <v>44127</v>
      </c>
      <c r="B585" s="245">
        <v>44130</v>
      </c>
      <c r="C585" s="273" t="s">
        <v>16</v>
      </c>
      <c r="D585" s="273">
        <v>37</v>
      </c>
      <c r="E585" s="273">
        <v>5.8475999999999999</v>
      </c>
      <c r="F585" s="273">
        <v>7.7778400000000003</v>
      </c>
      <c r="G585" s="273">
        <f t="shared" si="12"/>
        <v>1.9302400000000004</v>
      </c>
    </row>
    <row r="586" spans="1:7" hidden="1">
      <c r="A586" s="245">
        <v>44127</v>
      </c>
      <c r="B586" s="245">
        <v>44130</v>
      </c>
      <c r="C586" s="273" t="s">
        <v>16</v>
      </c>
      <c r="D586" s="273">
        <v>45</v>
      </c>
      <c r="E586" s="273">
        <v>4.2872000000000003</v>
      </c>
      <c r="F586" s="273">
        <v>6.8028000000000004</v>
      </c>
      <c r="G586" s="273">
        <f t="shared" si="12"/>
        <v>2.5156000000000001</v>
      </c>
    </row>
    <row r="587" spans="1:7" hidden="1">
      <c r="A587" s="245">
        <v>44127</v>
      </c>
      <c r="B587" s="245">
        <v>44130</v>
      </c>
      <c r="C587" s="273" t="s">
        <v>16</v>
      </c>
      <c r="D587" s="273">
        <v>47</v>
      </c>
      <c r="E587" s="273">
        <v>5.1642000000000001</v>
      </c>
      <c r="F587" s="273">
        <v>6.8578999999999999</v>
      </c>
      <c r="G587" s="273">
        <f t="shared" si="12"/>
        <v>1.6936999999999998</v>
      </c>
    </row>
    <row r="588" spans="1:7" hidden="1">
      <c r="A588" s="245">
        <v>44130</v>
      </c>
      <c r="B588" s="245">
        <v>44132</v>
      </c>
      <c r="C588" s="273" t="s">
        <v>8</v>
      </c>
      <c r="D588" s="273">
        <v>11</v>
      </c>
      <c r="E588" s="273">
        <v>2.8269000000000002</v>
      </c>
      <c r="F588" s="273">
        <v>3.0567000000000002</v>
      </c>
      <c r="G588" s="273">
        <f t="shared" si="12"/>
        <v>0.2298</v>
      </c>
    </row>
    <row r="589" spans="1:7" hidden="1">
      <c r="A589" s="245">
        <v>44130</v>
      </c>
      <c r="B589" s="245">
        <v>44132</v>
      </c>
      <c r="C589" s="273" t="s">
        <v>8</v>
      </c>
      <c r="D589" s="273">
        <v>12</v>
      </c>
      <c r="E589" s="273">
        <v>3.2275</v>
      </c>
      <c r="F589" s="273">
        <v>3.9495</v>
      </c>
      <c r="G589" s="273">
        <f t="shared" si="12"/>
        <v>0.72199999999999998</v>
      </c>
    </row>
    <row r="590" spans="1:7" hidden="1">
      <c r="A590" s="245">
        <v>44130</v>
      </c>
      <c r="B590" s="245">
        <v>44132</v>
      </c>
      <c r="C590" s="273" t="s">
        <v>11</v>
      </c>
      <c r="D590" s="273">
        <v>26</v>
      </c>
      <c r="E590" s="273">
        <v>3.2385999999999999</v>
      </c>
      <c r="F590" s="273">
        <v>3.2886000000000002</v>
      </c>
      <c r="G590" s="273">
        <f t="shared" si="12"/>
        <v>5.0000000000000266E-2</v>
      </c>
    </row>
    <row r="591" spans="1:7" hidden="1">
      <c r="A591" s="245">
        <v>44130</v>
      </c>
      <c r="B591" s="245">
        <v>44132</v>
      </c>
      <c r="C591" s="273" t="s">
        <v>24</v>
      </c>
      <c r="D591" s="273">
        <v>4</v>
      </c>
      <c r="E591" s="273">
        <v>4.4744000000000002</v>
      </c>
      <c r="F591" s="273">
        <v>4.9485000000000001</v>
      </c>
      <c r="G591" s="273">
        <f t="shared" si="12"/>
        <v>0.47409999999999997</v>
      </c>
    </row>
    <row r="592" spans="1:7" hidden="1">
      <c r="A592" s="245">
        <v>44130</v>
      </c>
      <c r="B592" s="245">
        <v>44132</v>
      </c>
      <c r="C592" s="273" t="s">
        <v>24</v>
      </c>
      <c r="D592" s="273">
        <v>3</v>
      </c>
      <c r="E592" s="273">
        <v>3.5952000000000002</v>
      </c>
      <c r="F592" s="273">
        <v>4.6455000000000002</v>
      </c>
      <c r="G592" s="273">
        <f t="shared" si="12"/>
        <v>1.0503</v>
      </c>
    </row>
    <row r="593" spans="1:15" hidden="1">
      <c r="A593" s="245">
        <v>44130</v>
      </c>
      <c r="B593" s="245">
        <v>44132</v>
      </c>
      <c r="C593" s="273" t="s">
        <v>16</v>
      </c>
      <c r="D593" s="273">
        <v>37</v>
      </c>
      <c r="E593" s="273">
        <v>4.2</v>
      </c>
      <c r="F593" s="273">
        <v>4.5525000000000002</v>
      </c>
      <c r="G593" s="273">
        <f t="shared" si="12"/>
        <v>0.35250000000000004</v>
      </c>
      <c r="H593" s="273"/>
      <c r="I593" s="273"/>
      <c r="J593" s="273"/>
      <c r="K593" s="273"/>
      <c r="L593" s="273"/>
      <c r="M593" s="273"/>
      <c r="N593" s="273"/>
      <c r="O593" s="273"/>
    </row>
    <row r="594" spans="1:15" hidden="1">
      <c r="A594" s="245">
        <v>44130</v>
      </c>
      <c r="B594" s="245">
        <v>44132</v>
      </c>
      <c r="C594" s="273" t="s">
        <v>16</v>
      </c>
      <c r="D594" s="273">
        <v>38</v>
      </c>
      <c r="E594" s="273">
        <v>3.2002000000000002</v>
      </c>
      <c r="F594" s="273">
        <v>3.9721000000000002</v>
      </c>
      <c r="G594" s="273">
        <f t="shared" si="12"/>
        <v>0.77190000000000003</v>
      </c>
      <c r="H594" s="273"/>
      <c r="I594" s="273"/>
      <c r="J594" s="273"/>
      <c r="K594" s="273"/>
      <c r="L594" s="273"/>
      <c r="M594" s="273"/>
      <c r="N594" s="273"/>
      <c r="O594" s="273"/>
    </row>
    <row r="595" spans="1:15" hidden="1">
      <c r="A595" s="245">
        <v>44130</v>
      </c>
      <c r="B595" s="245">
        <v>44132</v>
      </c>
      <c r="C595" s="273" t="s">
        <v>16</v>
      </c>
      <c r="D595" s="273">
        <v>41</v>
      </c>
      <c r="E595" s="273">
        <v>3.6623999999999999</v>
      </c>
      <c r="F595" s="273">
        <v>3.7395999999999998</v>
      </c>
      <c r="G595" s="273">
        <f t="shared" si="12"/>
        <v>7.7199999999999935E-2</v>
      </c>
      <c r="H595" s="273"/>
      <c r="I595" s="273"/>
      <c r="J595" s="273"/>
      <c r="K595" s="273"/>
      <c r="L595" s="273"/>
      <c r="M595" s="273"/>
      <c r="N595" s="273"/>
      <c r="O595" s="273"/>
    </row>
    <row r="596" spans="1:15" hidden="1">
      <c r="A596" s="245">
        <v>44130</v>
      </c>
      <c r="B596" s="245">
        <v>44132</v>
      </c>
      <c r="C596" s="273" t="s">
        <v>16</v>
      </c>
      <c r="D596" s="273">
        <v>42</v>
      </c>
      <c r="E596" s="273">
        <v>3.4569999999999999</v>
      </c>
      <c r="F596" s="273">
        <v>3.6602000000000001</v>
      </c>
      <c r="G596" s="273">
        <f t="shared" si="12"/>
        <v>0.20320000000000027</v>
      </c>
      <c r="H596" s="273"/>
      <c r="I596" s="273"/>
      <c r="J596" s="273"/>
      <c r="K596" s="273"/>
      <c r="L596" s="273"/>
      <c r="M596" s="273"/>
      <c r="N596" s="273"/>
      <c r="O596" s="273"/>
    </row>
    <row r="597" spans="1:15" hidden="1">
      <c r="A597" s="245">
        <v>44130</v>
      </c>
      <c r="B597" s="245">
        <v>44132</v>
      </c>
      <c r="C597" s="273" t="s">
        <v>16</v>
      </c>
      <c r="D597" s="273">
        <v>39</v>
      </c>
      <c r="E597" s="273">
        <v>2.6987999999999999</v>
      </c>
      <c r="F597" s="273">
        <v>3.3580999999999999</v>
      </c>
      <c r="G597" s="273">
        <f t="shared" si="12"/>
        <v>0.6593</v>
      </c>
      <c r="H597" s="273"/>
      <c r="I597" s="273"/>
      <c r="J597" s="273"/>
      <c r="K597" s="273"/>
      <c r="L597" s="273"/>
      <c r="M597" s="273"/>
      <c r="N597" s="273"/>
      <c r="O597" s="273"/>
    </row>
    <row r="598" spans="1:15" hidden="1">
      <c r="A598" s="245">
        <v>44130</v>
      </c>
      <c r="B598" s="245">
        <v>44132</v>
      </c>
      <c r="C598" s="273" t="s">
        <v>16</v>
      </c>
      <c r="D598" s="273">
        <v>43</v>
      </c>
      <c r="E598" s="273">
        <v>3.7679</v>
      </c>
      <c r="F598" s="273">
        <v>4.2766999999999999</v>
      </c>
      <c r="G598" s="273">
        <f t="shared" si="12"/>
        <v>0.50879999999999992</v>
      </c>
      <c r="H598" s="273"/>
      <c r="I598" s="273"/>
      <c r="J598" s="273"/>
      <c r="K598" s="273"/>
      <c r="L598" s="273"/>
      <c r="M598" s="273"/>
      <c r="N598" s="273"/>
      <c r="O598" s="273"/>
    </row>
    <row r="599" spans="1:15" hidden="1">
      <c r="A599" s="245">
        <v>44130</v>
      </c>
      <c r="B599" s="245">
        <v>44132</v>
      </c>
      <c r="C599" s="273" t="s">
        <v>16</v>
      </c>
      <c r="D599" s="273">
        <v>45</v>
      </c>
      <c r="E599" s="273">
        <v>3.3220000000000001</v>
      </c>
      <c r="F599" s="273">
        <v>4.0662000000000003</v>
      </c>
      <c r="G599" s="273">
        <f t="shared" si="12"/>
        <v>0.74420000000000019</v>
      </c>
      <c r="H599" s="273"/>
      <c r="I599" s="273"/>
      <c r="J599" s="273"/>
      <c r="K599" s="273"/>
      <c r="L599" s="273"/>
      <c r="M599" s="273"/>
      <c r="N599" s="273"/>
      <c r="O599" s="273"/>
    </row>
    <row r="600" spans="1:15" hidden="1">
      <c r="A600" s="245">
        <v>44130</v>
      </c>
      <c r="B600" s="245">
        <v>44132</v>
      </c>
      <c r="C600" s="273" t="s">
        <v>11</v>
      </c>
      <c r="D600" s="273">
        <v>33</v>
      </c>
      <c r="E600" s="273">
        <v>4.2487000000000004</v>
      </c>
      <c r="F600" s="273">
        <v>4.4188999999999998</v>
      </c>
      <c r="G600" s="273">
        <f t="shared" si="12"/>
        <v>0.17019999999999946</v>
      </c>
      <c r="H600" s="273"/>
      <c r="I600" s="273"/>
      <c r="J600" s="273"/>
      <c r="K600" s="273"/>
      <c r="L600" s="273"/>
      <c r="M600" s="273"/>
      <c r="N600" s="273"/>
      <c r="O600" s="273"/>
    </row>
    <row r="601" spans="1:15" hidden="1">
      <c r="A601" s="245">
        <v>44130</v>
      </c>
      <c r="B601" s="245">
        <v>44132</v>
      </c>
      <c r="C601" s="273" t="s">
        <v>11</v>
      </c>
      <c r="D601" s="273">
        <v>30</v>
      </c>
      <c r="E601" s="273">
        <v>3.1844999999999999</v>
      </c>
      <c r="F601" s="273">
        <v>3.3652000000000002</v>
      </c>
      <c r="G601" s="273">
        <f t="shared" si="12"/>
        <v>0.1807000000000003</v>
      </c>
      <c r="H601" s="273"/>
      <c r="I601" s="273"/>
      <c r="J601" s="273"/>
      <c r="K601" s="273"/>
      <c r="L601" s="273"/>
      <c r="M601" s="273"/>
      <c r="N601" s="273"/>
      <c r="O601" s="273"/>
    </row>
    <row r="602" spans="1:15" hidden="1">
      <c r="A602" s="245">
        <v>44132</v>
      </c>
      <c r="B602" s="245">
        <v>44134</v>
      </c>
      <c r="C602" s="273" t="s">
        <v>8</v>
      </c>
      <c r="D602" s="273">
        <v>12</v>
      </c>
      <c r="E602" s="273">
        <v>3.6892</v>
      </c>
      <c r="F602" s="273">
        <v>6.2934000000000001</v>
      </c>
      <c r="G602" s="273">
        <f t="shared" si="12"/>
        <v>2.6042000000000001</v>
      </c>
      <c r="H602" s="273"/>
      <c r="I602" s="273"/>
      <c r="J602" s="273"/>
      <c r="K602" s="273"/>
      <c r="L602" s="273"/>
      <c r="M602" s="273"/>
      <c r="N602" s="273"/>
      <c r="O602" s="273"/>
    </row>
    <row r="603" spans="1:15" hidden="1">
      <c r="A603" s="245">
        <v>44132</v>
      </c>
      <c r="B603" s="245">
        <v>44134</v>
      </c>
      <c r="C603" s="273" t="s">
        <v>8</v>
      </c>
      <c r="D603" s="273">
        <v>11</v>
      </c>
      <c r="E603" s="273">
        <v>3.4209999999999998</v>
      </c>
      <c r="F603" s="273">
        <v>4.5875000000000004</v>
      </c>
      <c r="G603" s="273">
        <f t="shared" si="12"/>
        <v>1.1665000000000005</v>
      </c>
      <c r="H603" s="273"/>
      <c r="I603" s="273"/>
      <c r="J603" s="273"/>
      <c r="K603" s="273"/>
      <c r="L603" s="273"/>
      <c r="M603" s="273"/>
      <c r="N603" s="273"/>
      <c r="O603" s="273"/>
    </row>
    <row r="604" spans="1:15" hidden="1">
      <c r="A604" s="245">
        <v>44132</v>
      </c>
      <c r="B604" s="245">
        <v>44134</v>
      </c>
      <c r="C604" s="273" t="s">
        <v>24</v>
      </c>
      <c r="D604" s="273">
        <v>4</v>
      </c>
      <c r="E604" s="273">
        <v>3.5781999999999998</v>
      </c>
      <c r="F604" s="273">
        <v>4.8772000000000002</v>
      </c>
      <c r="G604" s="273">
        <f t="shared" si="12"/>
        <v>1.2990000000000004</v>
      </c>
      <c r="H604" s="273"/>
      <c r="I604" s="273"/>
      <c r="J604" s="273"/>
      <c r="K604" s="273"/>
      <c r="L604" s="273"/>
      <c r="M604" s="273"/>
      <c r="N604" s="273"/>
      <c r="O604" s="273"/>
    </row>
    <row r="605" spans="1:15" hidden="1">
      <c r="A605" s="245">
        <v>44132</v>
      </c>
      <c r="B605" s="245">
        <v>44134</v>
      </c>
      <c r="C605" s="273" t="s">
        <v>24</v>
      </c>
      <c r="D605" s="273">
        <v>3</v>
      </c>
      <c r="E605" s="273">
        <v>3.5647000000000002</v>
      </c>
      <c r="F605" s="273">
        <v>6.1677</v>
      </c>
      <c r="G605" s="273">
        <f t="shared" si="12"/>
        <v>2.6029999999999998</v>
      </c>
      <c r="H605" s="273"/>
      <c r="I605" s="273"/>
      <c r="J605" s="273"/>
      <c r="K605" s="273"/>
      <c r="L605" s="273"/>
      <c r="M605" s="273"/>
      <c r="N605" s="273"/>
      <c r="O605" s="273"/>
    </row>
    <row r="606" spans="1:15" hidden="1">
      <c r="A606" s="245">
        <v>44132</v>
      </c>
      <c r="B606" s="245">
        <v>44134</v>
      </c>
      <c r="C606" s="273" t="s">
        <v>11</v>
      </c>
      <c r="D606" s="273">
        <v>32</v>
      </c>
      <c r="E606" s="273">
        <v>5.3209</v>
      </c>
      <c r="F606" s="273">
        <v>5.4309000000000003</v>
      </c>
      <c r="G606" s="273">
        <f t="shared" si="12"/>
        <v>0.11000000000000032</v>
      </c>
      <c r="H606" s="273"/>
      <c r="I606" s="273"/>
      <c r="J606" s="273"/>
      <c r="K606" s="273"/>
      <c r="L606" s="273"/>
      <c r="M606" s="273"/>
      <c r="N606" s="273"/>
      <c r="O606" s="273"/>
    </row>
    <row r="607" spans="1:15" hidden="1">
      <c r="A607" s="245">
        <v>44132</v>
      </c>
      <c r="B607" s="245">
        <v>44134</v>
      </c>
      <c r="C607" s="273" t="s">
        <v>11</v>
      </c>
      <c r="D607" s="273">
        <v>30</v>
      </c>
      <c r="E607" s="273">
        <v>3.1764999999999999</v>
      </c>
      <c r="F607" s="273">
        <v>3.3128000000000002</v>
      </c>
      <c r="G607" s="273">
        <f t="shared" si="12"/>
        <v>0.13630000000000031</v>
      </c>
      <c r="H607" s="273"/>
      <c r="I607" s="273"/>
      <c r="J607" s="273"/>
      <c r="K607" s="273"/>
      <c r="L607" s="273"/>
      <c r="M607" s="273"/>
      <c r="N607" s="273"/>
      <c r="O607" s="273"/>
    </row>
    <row r="608" spans="1:15" hidden="1">
      <c r="A608" s="245">
        <v>44132</v>
      </c>
      <c r="B608" s="245">
        <v>44134</v>
      </c>
      <c r="C608" s="273" t="s">
        <v>11</v>
      </c>
      <c r="D608" s="273">
        <v>31</v>
      </c>
      <c r="E608" s="273">
        <v>6.56</v>
      </c>
      <c r="F608" s="273">
        <v>6.968</v>
      </c>
      <c r="G608" s="273">
        <f t="shared" si="12"/>
        <v>0.40800000000000036</v>
      </c>
      <c r="H608" s="273"/>
      <c r="I608" s="273"/>
      <c r="J608" s="273"/>
      <c r="K608" s="273"/>
      <c r="L608" s="273"/>
      <c r="M608" s="273"/>
      <c r="N608" s="273"/>
      <c r="O608" s="273"/>
    </row>
    <row r="609" spans="1:15" hidden="1">
      <c r="A609" s="245">
        <v>44132</v>
      </c>
      <c r="B609" s="245">
        <v>44134</v>
      </c>
      <c r="C609" s="273" t="s">
        <v>16</v>
      </c>
      <c r="D609" s="273">
        <v>47</v>
      </c>
      <c r="E609" s="273">
        <v>3.6884000000000001</v>
      </c>
      <c r="F609" s="273">
        <v>3.8201999999999998</v>
      </c>
      <c r="G609" s="273">
        <f t="shared" si="12"/>
        <v>0.1317999999999997</v>
      </c>
      <c r="H609" s="273"/>
      <c r="I609" s="273"/>
      <c r="J609" s="273"/>
      <c r="K609" s="273"/>
      <c r="L609" s="273"/>
      <c r="M609" s="273"/>
      <c r="N609" s="273"/>
      <c r="O609" s="273"/>
    </row>
    <row r="610" spans="1:15" hidden="1">
      <c r="A610" s="245">
        <v>44132</v>
      </c>
      <c r="B610" s="245">
        <v>44134</v>
      </c>
      <c r="C610" s="273" t="s">
        <v>16</v>
      </c>
      <c r="D610" s="273">
        <v>34</v>
      </c>
      <c r="E610" s="273">
        <v>3.5091999999999999</v>
      </c>
      <c r="F610" s="273">
        <v>3.8921999999999999</v>
      </c>
      <c r="G610" s="273">
        <f t="shared" si="12"/>
        <v>0.38300000000000001</v>
      </c>
      <c r="H610" s="273"/>
      <c r="I610" s="273"/>
      <c r="J610" s="273"/>
      <c r="K610" s="273"/>
      <c r="L610" s="273"/>
      <c r="M610" s="273"/>
      <c r="N610" s="273"/>
      <c r="O610" s="273"/>
    </row>
    <row r="611" spans="1:15" hidden="1">
      <c r="A611" s="245">
        <v>44132</v>
      </c>
      <c r="B611" s="245">
        <v>44134</v>
      </c>
      <c r="C611" s="273" t="s">
        <v>16</v>
      </c>
      <c r="D611" s="273">
        <v>38</v>
      </c>
      <c r="E611" s="273">
        <v>2.9251999999999998</v>
      </c>
      <c r="F611" s="273">
        <v>3.4502000000000002</v>
      </c>
      <c r="G611" s="273">
        <f t="shared" si="12"/>
        <v>0.52500000000000036</v>
      </c>
      <c r="H611" s="273"/>
      <c r="I611" s="273"/>
      <c r="J611" s="273"/>
      <c r="K611" s="273"/>
      <c r="L611" s="273"/>
      <c r="M611" s="273"/>
      <c r="N611" s="273"/>
      <c r="O611" s="273"/>
    </row>
    <row r="612" spans="1:15" hidden="1">
      <c r="A612" s="245">
        <v>44132</v>
      </c>
      <c r="B612" s="245">
        <v>44134</v>
      </c>
      <c r="C612" s="273" t="s">
        <v>16</v>
      </c>
      <c r="D612" s="273">
        <v>37</v>
      </c>
      <c r="E612" s="273">
        <v>4.0890000000000004</v>
      </c>
      <c r="F612" s="273">
        <v>4.2392000000000003</v>
      </c>
      <c r="G612" s="273">
        <f t="shared" si="12"/>
        <v>0.15019999999999989</v>
      </c>
      <c r="H612" s="273"/>
      <c r="I612" s="273"/>
      <c r="J612" s="273"/>
      <c r="K612" s="273"/>
      <c r="L612" s="273"/>
      <c r="M612" s="273"/>
      <c r="N612" s="273"/>
      <c r="O612" s="273"/>
    </row>
    <row r="613" spans="1:15" hidden="1">
      <c r="A613" s="245">
        <v>44132</v>
      </c>
      <c r="B613" s="245">
        <v>44134</v>
      </c>
      <c r="C613" s="273" t="s">
        <v>16</v>
      </c>
      <c r="D613" s="273">
        <v>44</v>
      </c>
      <c r="E613" s="273">
        <v>5.5754999999999999</v>
      </c>
      <c r="F613" s="273">
        <v>5.5807000000000002</v>
      </c>
      <c r="G613" s="273">
        <f t="shared" si="12"/>
        <v>5.2000000000003155E-3</v>
      </c>
      <c r="H613" s="273"/>
      <c r="I613" s="273"/>
      <c r="J613" s="273"/>
      <c r="K613" s="273"/>
      <c r="L613" s="273"/>
      <c r="M613" s="273"/>
      <c r="N613" s="273"/>
      <c r="O613" s="273"/>
    </row>
    <row r="614" spans="1:15" hidden="1">
      <c r="A614" s="245">
        <v>44132</v>
      </c>
      <c r="B614" s="245">
        <v>44134</v>
      </c>
      <c r="C614" s="273" t="s">
        <v>16</v>
      </c>
      <c r="D614" s="273">
        <v>48</v>
      </c>
      <c r="E614" s="273">
        <v>3.4925000000000002</v>
      </c>
      <c r="F614" s="273">
        <v>3.5042</v>
      </c>
      <c r="G614" s="273">
        <f t="shared" si="12"/>
        <v>1.1699999999999822E-2</v>
      </c>
      <c r="H614" s="273"/>
      <c r="I614" s="273"/>
      <c r="J614" s="273"/>
      <c r="K614" s="273"/>
      <c r="L614" s="273"/>
      <c r="M614" s="273"/>
      <c r="N614" s="273"/>
      <c r="O614" s="273"/>
    </row>
    <row r="615" spans="1:15" hidden="1">
      <c r="A615" s="245">
        <v>44132</v>
      </c>
      <c r="B615" s="245">
        <v>44134</v>
      </c>
      <c r="C615" s="273" t="s">
        <v>16</v>
      </c>
      <c r="D615" s="273">
        <v>41</v>
      </c>
      <c r="E615" s="273">
        <v>3.2936999999999999</v>
      </c>
      <c r="F615" s="273">
        <v>3.2991000000000001</v>
      </c>
      <c r="G615" s="273">
        <f t="shared" si="12"/>
        <v>5.4000000000002935E-3</v>
      </c>
      <c r="H615" s="273"/>
      <c r="I615" s="273"/>
      <c r="J615" s="273"/>
      <c r="K615" s="273"/>
      <c r="L615" s="273"/>
      <c r="M615" s="273"/>
      <c r="N615" s="273"/>
      <c r="O615" s="273"/>
    </row>
    <row r="616" spans="1:15" hidden="1">
      <c r="A616" s="245">
        <v>44132</v>
      </c>
      <c r="B616" s="245">
        <v>44134</v>
      </c>
      <c r="C616" s="273" t="s">
        <v>16</v>
      </c>
      <c r="D616" s="273">
        <v>49</v>
      </c>
      <c r="E616" s="273">
        <v>3.4775999999999998</v>
      </c>
      <c r="F616" s="273">
        <v>3.5783999999999998</v>
      </c>
      <c r="G616" s="273">
        <f t="shared" si="12"/>
        <v>0.1008</v>
      </c>
      <c r="H616" s="273"/>
      <c r="I616" s="273"/>
      <c r="J616" s="273"/>
      <c r="K616" s="273"/>
      <c r="L616" s="273"/>
      <c r="M616" s="273"/>
      <c r="N616" s="273"/>
      <c r="O616" s="273"/>
    </row>
    <row r="617" spans="1:15" hidden="1">
      <c r="A617" s="245">
        <v>44132</v>
      </c>
      <c r="B617" s="245">
        <v>44134</v>
      </c>
      <c r="C617" s="273" t="s">
        <v>16</v>
      </c>
      <c r="D617" s="273">
        <v>43</v>
      </c>
      <c r="E617" s="273">
        <v>5.7893999999999997</v>
      </c>
      <c r="F617" s="273">
        <v>6.7156000000000002</v>
      </c>
      <c r="G617" s="273">
        <f t="shared" si="12"/>
        <v>0.92620000000000058</v>
      </c>
      <c r="H617" s="273"/>
      <c r="I617" s="273"/>
      <c r="J617" s="273"/>
      <c r="K617" s="273"/>
      <c r="L617" s="273"/>
      <c r="M617" s="273"/>
      <c r="N617" s="273"/>
      <c r="O617" s="273"/>
    </row>
    <row r="618" spans="1:15" hidden="1">
      <c r="A618" s="245">
        <v>44132</v>
      </c>
      <c r="B618" s="245">
        <v>44134</v>
      </c>
      <c r="C618" s="273" t="s">
        <v>16</v>
      </c>
      <c r="D618" s="273">
        <v>46</v>
      </c>
      <c r="E618" s="273">
        <v>5.7207999999999997</v>
      </c>
      <c r="F618" s="273">
        <v>5.8181000000000003</v>
      </c>
      <c r="G618" s="273">
        <f t="shared" si="12"/>
        <v>9.7300000000000608E-2</v>
      </c>
      <c r="H618" s="273"/>
      <c r="I618" s="273"/>
      <c r="J618" s="273"/>
      <c r="K618" s="273"/>
      <c r="L618" s="273"/>
      <c r="M618" s="273"/>
      <c r="N618" s="273"/>
      <c r="O618" s="273"/>
    </row>
    <row r="619" spans="1:15" hidden="1">
      <c r="A619" s="245">
        <v>44132</v>
      </c>
      <c r="B619" s="245">
        <v>44134</v>
      </c>
      <c r="C619" s="273" t="s">
        <v>16</v>
      </c>
      <c r="D619" s="273">
        <v>42</v>
      </c>
      <c r="E619" s="273">
        <v>3.8852000000000002</v>
      </c>
      <c r="F619" s="273">
        <v>4.0000999999999998</v>
      </c>
      <c r="G619" s="273">
        <f t="shared" si="12"/>
        <v>0.11489999999999956</v>
      </c>
      <c r="H619" s="273"/>
      <c r="I619" s="273"/>
      <c r="J619" s="273"/>
      <c r="K619" s="273"/>
      <c r="L619" s="273"/>
      <c r="M619" s="273"/>
      <c r="N619" s="273"/>
      <c r="O619" s="273"/>
    </row>
    <row r="620" spans="1:15" hidden="1">
      <c r="A620" s="245">
        <v>44132</v>
      </c>
      <c r="B620" s="245">
        <v>44134</v>
      </c>
      <c r="C620" s="273" t="s">
        <v>16</v>
      </c>
      <c r="D620" s="273">
        <v>45</v>
      </c>
      <c r="E620" s="273">
        <v>3.3793000000000002</v>
      </c>
      <c r="F620" s="273">
        <v>4.6379999999999999</v>
      </c>
      <c r="G620" s="273">
        <f t="shared" si="12"/>
        <v>1.2586999999999997</v>
      </c>
      <c r="H620" s="273"/>
      <c r="I620" s="273"/>
      <c r="J620" s="273"/>
      <c r="K620" s="273"/>
      <c r="L620" s="273"/>
      <c r="M620" s="273"/>
      <c r="N620" s="273"/>
      <c r="O620" s="273"/>
    </row>
    <row r="621" spans="1:15" hidden="1">
      <c r="A621" s="245">
        <v>44134</v>
      </c>
      <c r="B621" s="245">
        <v>44137</v>
      </c>
      <c r="C621" s="273" t="s">
        <v>8</v>
      </c>
      <c r="D621" s="273">
        <v>11</v>
      </c>
      <c r="E621" s="273">
        <v>3.3639000000000001</v>
      </c>
      <c r="F621" s="273">
        <v>4.6829999999999998</v>
      </c>
      <c r="G621" s="273">
        <f t="shared" si="12"/>
        <v>1.3190999999999997</v>
      </c>
      <c r="H621" s="273"/>
      <c r="I621" s="273"/>
      <c r="J621" s="273"/>
      <c r="K621" s="273"/>
      <c r="L621" s="273"/>
      <c r="M621" s="273"/>
      <c r="N621" s="273"/>
      <c r="O621" s="273"/>
    </row>
    <row r="622" spans="1:15" hidden="1">
      <c r="A622" s="245">
        <v>44134</v>
      </c>
      <c r="B622" s="245">
        <v>44137</v>
      </c>
      <c r="C622" s="273" t="s">
        <v>8</v>
      </c>
      <c r="D622" s="273">
        <v>12</v>
      </c>
      <c r="E622" s="273">
        <v>3.9933999999999998</v>
      </c>
      <c r="F622" s="273">
        <v>6.4880000000000004</v>
      </c>
      <c r="G622" s="273">
        <f t="shared" si="12"/>
        <v>2.4946000000000006</v>
      </c>
      <c r="H622" s="273"/>
      <c r="I622" s="273"/>
      <c r="J622" s="273"/>
      <c r="K622" s="273"/>
      <c r="L622" s="273"/>
      <c r="M622" s="273"/>
      <c r="N622" s="273"/>
      <c r="O622" s="273"/>
    </row>
    <row r="623" spans="1:15" hidden="1">
      <c r="A623" s="245">
        <v>44134</v>
      </c>
      <c r="B623" s="245">
        <v>44137</v>
      </c>
      <c r="C623" s="273" t="s">
        <v>24</v>
      </c>
      <c r="D623" s="273">
        <v>3</v>
      </c>
      <c r="E623" s="273">
        <v>3.8069999999999999</v>
      </c>
      <c r="F623" s="273">
        <v>9.4215</v>
      </c>
      <c r="G623" s="273">
        <f t="shared" si="12"/>
        <v>5.6144999999999996</v>
      </c>
      <c r="H623" s="273"/>
      <c r="I623" s="273"/>
      <c r="J623" s="273"/>
      <c r="K623" s="273"/>
      <c r="L623" s="273"/>
      <c r="M623" s="273"/>
      <c r="N623" s="273"/>
      <c r="O623" s="273"/>
    </row>
    <row r="624" spans="1:15" hidden="1">
      <c r="A624" s="245">
        <v>44134</v>
      </c>
      <c r="B624" s="245">
        <v>44137</v>
      </c>
      <c r="C624" s="273" t="s">
        <v>24</v>
      </c>
      <c r="D624" s="273">
        <v>4</v>
      </c>
      <c r="E624" s="273">
        <v>4.5003000000000002</v>
      </c>
      <c r="F624" s="273">
        <v>7.5578000000000003</v>
      </c>
      <c r="G624" s="273">
        <f t="shared" si="12"/>
        <v>3.0575000000000001</v>
      </c>
      <c r="H624" s="273"/>
      <c r="I624" s="273"/>
      <c r="J624" s="273"/>
      <c r="K624" s="273"/>
      <c r="L624" s="273"/>
      <c r="M624" s="273"/>
      <c r="N624" s="273"/>
      <c r="O624" s="273"/>
    </row>
    <row r="625" spans="1:15" hidden="1">
      <c r="A625" s="245">
        <v>44134</v>
      </c>
      <c r="B625" s="245">
        <v>44137</v>
      </c>
      <c r="C625" s="273" t="s">
        <v>11</v>
      </c>
      <c r="D625" s="273">
        <v>32</v>
      </c>
      <c r="E625" s="273">
        <v>3.5605000000000002</v>
      </c>
      <c r="F625" s="273">
        <v>3.9241999999999999</v>
      </c>
      <c r="G625" s="273">
        <f t="shared" si="12"/>
        <v>0.36369999999999969</v>
      </c>
      <c r="H625" s="273"/>
      <c r="I625" s="273"/>
      <c r="J625" s="273"/>
      <c r="K625" s="273"/>
      <c r="L625" s="273"/>
      <c r="M625" s="273"/>
      <c r="N625" s="273"/>
      <c r="O625" s="273"/>
    </row>
    <row r="626" spans="1:15" hidden="1">
      <c r="A626" s="245">
        <v>44134</v>
      </c>
      <c r="B626" s="245">
        <v>44137</v>
      </c>
      <c r="C626" s="273" t="s">
        <v>11</v>
      </c>
      <c r="D626" s="273">
        <v>31</v>
      </c>
      <c r="E626" s="273">
        <v>5.7483000000000004</v>
      </c>
      <c r="F626" s="273">
        <v>6.7457000000000003</v>
      </c>
      <c r="G626" s="273">
        <f t="shared" si="12"/>
        <v>0.99739999999999984</v>
      </c>
      <c r="H626" s="273"/>
      <c r="I626" s="273"/>
      <c r="J626" s="273"/>
      <c r="K626" s="273"/>
      <c r="L626" s="273"/>
      <c r="M626" s="273"/>
      <c r="N626" s="273"/>
      <c r="O626" s="273"/>
    </row>
    <row r="627" spans="1:15" hidden="1">
      <c r="A627" s="245">
        <v>44134</v>
      </c>
      <c r="B627" s="245">
        <v>44137</v>
      </c>
      <c r="C627" s="273" t="s">
        <v>11</v>
      </c>
      <c r="D627" s="273">
        <v>30</v>
      </c>
      <c r="E627" s="273">
        <v>2.5255000000000001</v>
      </c>
      <c r="F627" s="273">
        <v>2.6455000000000002</v>
      </c>
      <c r="G627" s="273">
        <f t="shared" si="12"/>
        <v>0.12000000000000011</v>
      </c>
      <c r="H627" s="273"/>
      <c r="I627" s="273"/>
      <c r="J627" s="273"/>
      <c r="K627" s="273"/>
      <c r="L627" s="273"/>
      <c r="M627" s="273"/>
      <c r="N627" s="273"/>
      <c r="O627" s="273"/>
    </row>
    <row r="628" spans="1:15" hidden="1">
      <c r="A628" s="245">
        <v>44134</v>
      </c>
      <c r="B628" s="245">
        <v>44137</v>
      </c>
      <c r="C628" s="273" t="s">
        <v>16</v>
      </c>
      <c r="D628" s="273">
        <v>44</v>
      </c>
      <c r="E628" s="273">
        <v>4.1849999999999996</v>
      </c>
      <c r="F628" s="273">
        <v>4.4142000000000001</v>
      </c>
      <c r="G628" s="273">
        <f t="shared" si="12"/>
        <v>0.22920000000000051</v>
      </c>
      <c r="H628" s="273"/>
      <c r="I628" s="273"/>
      <c r="J628" s="273"/>
      <c r="K628" s="273"/>
      <c r="L628" s="273"/>
      <c r="M628" s="273"/>
      <c r="N628" s="273"/>
      <c r="O628" s="273"/>
    </row>
    <row r="629" spans="1:15" hidden="1">
      <c r="A629" s="245">
        <v>44134</v>
      </c>
      <c r="B629" s="245">
        <v>44137</v>
      </c>
      <c r="C629" s="273" t="s">
        <v>16</v>
      </c>
      <c r="D629" s="273">
        <v>45</v>
      </c>
      <c r="E629" s="273">
        <v>3.1070000000000002</v>
      </c>
      <c r="F629" s="273">
        <v>5.0510000000000002</v>
      </c>
      <c r="G629" s="273">
        <f t="shared" si="12"/>
        <v>1.944</v>
      </c>
      <c r="H629" s="273"/>
      <c r="I629" s="273"/>
      <c r="J629" s="273"/>
      <c r="K629" s="273"/>
      <c r="L629" s="273"/>
      <c r="M629" s="273"/>
      <c r="N629" s="273"/>
      <c r="O629" s="273"/>
    </row>
    <row r="630" spans="1:15" hidden="1">
      <c r="A630" s="245">
        <v>44134</v>
      </c>
      <c r="B630" s="245">
        <v>44137</v>
      </c>
      <c r="C630" s="273" t="s">
        <v>16</v>
      </c>
      <c r="D630" s="273">
        <v>46</v>
      </c>
      <c r="E630" s="273">
        <v>3.3121999999999998</v>
      </c>
      <c r="F630" s="273">
        <v>3.3883999999999999</v>
      </c>
      <c r="G630" s="273">
        <f t="shared" si="12"/>
        <v>7.6200000000000045E-2</v>
      </c>
      <c r="H630" s="273"/>
      <c r="I630" s="273"/>
      <c r="J630" s="273"/>
      <c r="K630" s="273"/>
      <c r="L630" s="273"/>
      <c r="M630" s="273"/>
      <c r="N630" s="273"/>
      <c r="O630" s="273"/>
    </row>
    <row r="631" spans="1:15" hidden="1">
      <c r="A631" s="245">
        <v>44134</v>
      </c>
      <c r="B631" s="245">
        <v>44137</v>
      </c>
      <c r="C631" s="273" t="s">
        <v>16</v>
      </c>
      <c r="D631" s="273">
        <v>43</v>
      </c>
      <c r="E631" s="273">
        <v>3.6901000000000002</v>
      </c>
      <c r="F631" s="273">
        <v>5.7533000000000003</v>
      </c>
      <c r="G631" s="273">
        <f t="shared" si="12"/>
        <v>2.0632000000000001</v>
      </c>
      <c r="H631" s="273"/>
      <c r="I631" s="273"/>
      <c r="J631" s="273"/>
      <c r="K631" s="273"/>
      <c r="L631" s="273"/>
      <c r="M631" s="273"/>
      <c r="N631" s="273"/>
      <c r="O631" s="273"/>
    </row>
    <row r="632" spans="1:15" hidden="1">
      <c r="A632" s="245">
        <v>44134</v>
      </c>
      <c r="B632" s="245">
        <v>44137</v>
      </c>
      <c r="C632" s="273" t="s">
        <v>16</v>
      </c>
      <c r="D632" s="273">
        <v>47</v>
      </c>
      <c r="E632" s="273">
        <v>4.6763000000000003</v>
      </c>
      <c r="F632" s="273">
        <v>5.4912000000000001</v>
      </c>
      <c r="G632" s="273">
        <f t="shared" si="12"/>
        <v>0.81489999999999974</v>
      </c>
      <c r="H632" s="273"/>
      <c r="I632" s="273"/>
      <c r="J632" s="273"/>
      <c r="K632" s="273"/>
      <c r="L632" s="273"/>
      <c r="M632" s="273"/>
      <c r="N632" s="273"/>
      <c r="O632" s="273"/>
    </row>
    <row r="633" spans="1:15" hidden="1">
      <c r="A633" s="245">
        <v>44134</v>
      </c>
      <c r="B633" s="245">
        <v>44137</v>
      </c>
      <c r="C633" s="273" t="s">
        <v>16</v>
      </c>
      <c r="D633" s="273">
        <v>49</v>
      </c>
      <c r="E633" s="273">
        <v>3.7976000000000001</v>
      </c>
      <c r="F633" s="273">
        <v>4.2720000000000002</v>
      </c>
      <c r="G633" s="273">
        <f t="shared" si="12"/>
        <v>0.47440000000000015</v>
      </c>
      <c r="H633" s="273"/>
      <c r="I633" s="273"/>
      <c r="J633" s="273"/>
      <c r="K633" s="273"/>
      <c r="L633" s="273"/>
      <c r="M633" s="273"/>
      <c r="N633" s="273"/>
      <c r="O633" s="273"/>
    </row>
    <row r="634" spans="1:15" hidden="1">
      <c r="A634" s="245">
        <v>44134</v>
      </c>
      <c r="B634" s="245">
        <v>44137</v>
      </c>
      <c r="C634" s="273" t="s">
        <v>16</v>
      </c>
      <c r="D634" s="273">
        <v>48</v>
      </c>
      <c r="E634" s="273">
        <v>3.4861</v>
      </c>
      <c r="F634" s="273">
        <v>3.6171000000000002</v>
      </c>
      <c r="G634" s="273">
        <f t="shared" si="12"/>
        <v>0.13100000000000023</v>
      </c>
      <c r="H634" s="273"/>
      <c r="I634" s="273"/>
      <c r="J634" s="273"/>
      <c r="K634" s="273"/>
      <c r="L634" s="273"/>
      <c r="M634" s="273"/>
      <c r="N634" s="273"/>
      <c r="O634" s="273"/>
    </row>
    <row r="635" spans="1:15" hidden="1">
      <c r="A635" s="245">
        <v>44134</v>
      </c>
      <c r="B635" s="245">
        <v>44137</v>
      </c>
      <c r="C635" s="273" t="s">
        <v>16</v>
      </c>
      <c r="D635" s="273">
        <v>38</v>
      </c>
      <c r="E635" s="273">
        <v>3.6819000000000002</v>
      </c>
      <c r="F635" s="273">
        <v>3.8908</v>
      </c>
      <c r="G635" s="273">
        <f t="shared" ref="G635:G681" si="13">F635-E635</f>
        <v>0.20889999999999986</v>
      </c>
      <c r="H635" s="273"/>
      <c r="I635" s="273"/>
      <c r="J635" s="273"/>
      <c r="K635" s="273"/>
      <c r="L635" s="273"/>
      <c r="M635" s="273"/>
      <c r="N635" s="273"/>
      <c r="O635" s="273"/>
    </row>
    <row r="636" spans="1:15" hidden="1">
      <c r="A636" s="245">
        <v>44134</v>
      </c>
      <c r="B636" s="245">
        <v>44137</v>
      </c>
      <c r="C636" s="273" t="s">
        <v>16</v>
      </c>
      <c r="D636" s="273">
        <v>39</v>
      </c>
      <c r="E636" s="273">
        <v>3.8115000000000001</v>
      </c>
      <c r="F636" s="273">
        <v>3.8839000000000001</v>
      </c>
      <c r="G636" s="273">
        <f t="shared" si="13"/>
        <v>7.240000000000002E-2</v>
      </c>
      <c r="H636" s="273"/>
      <c r="I636" s="273"/>
      <c r="J636" s="273"/>
      <c r="K636" s="273"/>
      <c r="L636" s="273"/>
      <c r="M636" s="273"/>
      <c r="N636" s="273"/>
      <c r="O636" s="273"/>
    </row>
    <row r="637" spans="1:15" hidden="1">
      <c r="A637" s="245">
        <v>44137</v>
      </c>
      <c r="B637" s="245">
        <v>44139</v>
      </c>
      <c r="C637" s="273" t="s">
        <v>8</v>
      </c>
      <c r="D637" s="273">
        <v>11</v>
      </c>
      <c r="E637" s="273">
        <v>5.5439999999999996</v>
      </c>
      <c r="F637" s="273">
        <v>6.8489000000000004</v>
      </c>
      <c r="G637" s="273">
        <f t="shared" si="13"/>
        <v>1.3049000000000008</v>
      </c>
      <c r="H637" s="273"/>
      <c r="I637" s="273"/>
      <c r="J637" s="273"/>
      <c r="K637" s="273"/>
      <c r="L637" s="273"/>
      <c r="M637" s="273"/>
      <c r="N637" s="273"/>
      <c r="O637" s="273"/>
    </row>
    <row r="638" spans="1:15" hidden="1">
      <c r="A638" s="245">
        <v>44137</v>
      </c>
      <c r="B638" s="245">
        <v>44139</v>
      </c>
      <c r="C638" s="273" t="s">
        <v>8</v>
      </c>
      <c r="D638" s="273">
        <v>12</v>
      </c>
      <c r="E638" s="273">
        <v>4.3022</v>
      </c>
      <c r="F638" s="273">
        <v>5.1477000000000004</v>
      </c>
      <c r="G638" s="273">
        <f t="shared" si="13"/>
        <v>0.84550000000000036</v>
      </c>
      <c r="H638" s="273"/>
      <c r="I638" s="273"/>
      <c r="J638" s="273"/>
      <c r="K638" s="273"/>
      <c r="L638" s="273"/>
      <c r="M638" s="273"/>
      <c r="N638" s="273"/>
      <c r="O638" s="273"/>
    </row>
    <row r="639" spans="1:15" hidden="1">
      <c r="A639" s="245">
        <v>44137</v>
      </c>
      <c r="B639" s="245">
        <v>44139</v>
      </c>
      <c r="C639" s="273" t="s">
        <v>11</v>
      </c>
      <c r="D639" s="273">
        <v>32</v>
      </c>
      <c r="E639" s="273">
        <v>2.9748999999999999</v>
      </c>
      <c r="F639" s="273">
        <v>3.0836000000000001</v>
      </c>
      <c r="G639" s="273">
        <f t="shared" si="13"/>
        <v>0.10870000000000024</v>
      </c>
      <c r="H639" s="273"/>
      <c r="I639" s="273"/>
      <c r="J639" s="273"/>
      <c r="K639" s="273"/>
      <c r="L639" s="273"/>
      <c r="M639" s="273"/>
      <c r="N639" s="273"/>
      <c r="O639" s="273"/>
    </row>
    <row r="640" spans="1:15" hidden="1">
      <c r="A640" s="245">
        <v>44137</v>
      </c>
      <c r="B640" s="245">
        <v>44139</v>
      </c>
      <c r="C640" s="273" t="s">
        <v>11</v>
      </c>
      <c r="D640" s="273">
        <v>31</v>
      </c>
      <c r="E640" s="273">
        <v>5.2148000000000003</v>
      </c>
      <c r="F640" s="273">
        <v>5.4828000000000001</v>
      </c>
      <c r="G640" s="273">
        <f t="shared" si="13"/>
        <v>0.26799999999999979</v>
      </c>
      <c r="H640" s="273"/>
      <c r="I640" s="273"/>
      <c r="J640" s="273"/>
      <c r="K640" s="273"/>
      <c r="L640" s="273"/>
      <c r="M640" s="273"/>
      <c r="N640" s="273"/>
      <c r="O640" s="273"/>
    </row>
    <row r="641" spans="1:7" hidden="1">
      <c r="A641" s="245">
        <v>44137</v>
      </c>
      <c r="B641" s="245">
        <v>44139</v>
      </c>
      <c r="C641" s="273" t="s">
        <v>16</v>
      </c>
      <c r="D641" s="273">
        <v>45</v>
      </c>
      <c r="E641" s="273">
        <v>6.8346</v>
      </c>
      <c r="F641" s="273">
        <v>8.6632999999999996</v>
      </c>
      <c r="G641" s="273">
        <f t="shared" si="13"/>
        <v>1.8286999999999995</v>
      </c>
    </row>
    <row r="642" spans="1:7" hidden="1">
      <c r="A642" s="245">
        <v>44137</v>
      </c>
      <c r="B642" s="245">
        <v>44139</v>
      </c>
      <c r="C642" s="273" t="s">
        <v>16</v>
      </c>
      <c r="D642" s="273">
        <v>43</v>
      </c>
      <c r="E642" s="273">
        <v>3.5379</v>
      </c>
      <c r="F642" s="273">
        <v>3.8328000000000002</v>
      </c>
      <c r="G642" s="273">
        <f t="shared" si="13"/>
        <v>0.29490000000000016</v>
      </c>
    </row>
    <row r="643" spans="1:7" hidden="1">
      <c r="A643" s="245">
        <v>44137</v>
      </c>
      <c r="B643" s="245">
        <v>44139</v>
      </c>
      <c r="C643" s="273" t="s">
        <v>16</v>
      </c>
      <c r="D643" s="273">
        <v>44</v>
      </c>
      <c r="E643" s="273">
        <v>3.9725999999999999</v>
      </c>
      <c r="F643" s="273">
        <v>4.1040999999999999</v>
      </c>
      <c r="G643" s="273">
        <f t="shared" si="13"/>
        <v>0.13149999999999995</v>
      </c>
    </row>
    <row r="644" spans="1:7" hidden="1">
      <c r="A644" s="245">
        <v>44137</v>
      </c>
      <c r="B644" s="245">
        <v>44139</v>
      </c>
      <c r="C644" s="273" t="s">
        <v>16</v>
      </c>
      <c r="D644" s="273">
        <v>47</v>
      </c>
      <c r="E644" s="273">
        <v>6.5587</v>
      </c>
      <c r="F644" s="273">
        <v>8.3512000000000004</v>
      </c>
      <c r="G644" s="273">
        <f t="shared" si="13"/>
        <v>1.7925000000000004</v>
      </c>
    </row>
    <row r="645" spans="1:7" hidden="1">
      <c r="A645" s="245">
        <v>44137</v>
      </c>
      <c r="B645" s="245">
        <v>44139</v>
      </c>
      <c r="C645" s="273" t="s">
        <v>24</v>
      </c>
      <c r="D645" s="273">
        <v>3</v>
      </c>
      <c r="E645" s="273">
        <v>6.1744000000000003</v>
      </c>
      <c r="F645" s="273">
        <v>10.4092</v>
      </c>
      <c r="G645" s="273">
        <f t="shared" si="13"/>
        <v>4.2347999999999999</v>
      </c>
    </row>
    <row r="646" spans="1:7" hidden="1">
      <c r="A646" s="245">
        <v>44137</v>
      </c>
      <c r="B646" s="245">
        <v>44139</v>
      </c>
      <c r="C646" s="273" t="s">
        <v>24</v>
      </c>
      <c r="D646" s="273">
        <v>4</v>
      </c>
      <c r="E646" s="273">
        <v>6.6192000000000002</v>
      </c>
      <c r="F646" s="273">
        <v>7.9781000000000004</v>
      </c>
      <c r="G646" s="273">
        <f t="shared" si="13"/>
        <v>1.3589000000000002</v>
      </c>
    </row>
    <row r="647" spans="1:7" hidden="1">
      <c r="A647" s="245">
        <v>44139</v>
      </c>
      <c r="B647" s="245">
        <v>44141</v>
      </c>
      <c r="C647" s="273" t="s">
        <v>8</v>
      </c>
      <c r="D647" s="273">
        <v>15</v>
      </c>
      <c r="E647" s="273">
        <v>6.8657000000000004</v>
      </c>
      <c r="F647" s="273">
        <v>7.0167000000000002</v>
      </c>
      <c r="G647" s="273">
        <f t="shared" si="13"/>
        <v>0.1509999999999998</v>
      </c>
    </row>
    <row r="648" spans="1:7" hidden="1">
      <c r="A648" s="245">
        <v>44139</v>
      </c>
      <c r="B648" s="245">
        <v>44141</v>
      </c>
      <c r="C648" s="273" t="s">
        <v>8</v>
      </c>
      <c r="D648" s="273">
        <v>16</v>
      </c>
      <c r="E648" s="273">
        <v>4.3592000000000004</v>
      </c>
      <c r="F648" s="273">
        <v>4.3792</v>
      </c>
      <c r="G648" s="273">
        <f t="shared" si="13"/>
        <v>1.9999999999999574E-2</v>
      </c>
    </row>
    <row r="649" spans="1:7" hidden="1">
      <c r="A649" s="245">
        <v>44139</v>
      </c>
      <c r="B649" s="245">
        <v>44141</v>
      </c>
      <c r="C649" s="273" t="s">
        <v>8</v>
      </c>
      <c r="D649" s="273">
        <v>11</v>
      </c>
      <c r="E649" s="273">
        <v>8.6290999999999993</v>
      </c>
      <c r="F649" s="273">
        <v>11.630699999999999</v>
      </c>
      <c r="G649" s="273">
        <f t="shared" si="13"/>
        <v>3.0015999999999998</v>
      </c>
    </row>
    <row r="650" spans="1:7" hidden="1">
      <c r="A650" s="245">
        <v>44139</v>
      </c>
      <c r="B650" s="245">
        <v>44141</v>
      </c>
      <c r="C650" s="273" t="s">
        <v>8</v>
      </c>
      <c r="D650" s="273">
        <v>12</v>
      </c>
      <c r="E650" s="273">
        <v>6.7336999999999998</v>
      </c>
      <c r="F650" s="273">
        <v>8.4994999999999994</v>
      </c>
      <c r="G650" s="273">
        <f t="shared" si="13"/>
        <v>1.7657999999999996</v>
      </c>
    </row>
    <row r="651" spans="1:7" hidden="1">
      <c r="A651" s="245">
        <v>44139</v>
      </c>
      <c r="B651" s="245">
        <v>44141</v>
      </c>
      <c r="C651" s="273" t="s">
        <v>19</v>
      </c>
      <c r="D651" s="273">
        <v>9</v>
      </c>
      <c r="E651" s="273">
        <v>7.4717000000000002</v>
      </c>
      <c r="F651" s="273">
        <v>7.6044999999999998</v>
      </c>
      <c r="G651" s="273">
        <f t="shared" si="13"/>
        <v>0.13279999999999959</v>
      </c>
    </row>
    <row r="652" spans="1:7" hidden="1">
      <c r="A652" s="245">
        <v>44139</v>
      </c>
      <c r="B652" s="245">
        <v>44141</v>
      </c>
      <c r="C652" s="273" t="s">
        <v>11</v>
      </c>
      <c r="D652" s="273">
        <v>31</v>
      </c>
      <c r="E652" s="273">
        <v>3.0407000000000002</v>
      </c>
      <c r="F652" s="273">
        <v>3.0929000000000002</v>
      </c>
      <c r="G652" s="273">
        <f t="shared" si="13"/>
        <v>5.2200000000000024E-2</v>
      </c>
    </row>
    <row r="653" spans="1:7" hidden="1">
      <c r="A653" s="245">
        <v>44139</v>
      </c>
      <c r="B653" s="245">
        <v>44141</v>
      </c>
      <c r="C653" s="273" t="s">
        <v>11</v>
      </c>
      <c r="D653" s="273">
        <v>34</v>
      </c>
      <c r="E653" s="273">
        <v>3.8382000000000001</v>
      </c>
      <c r="F653" s="273">
        <v>3.8984000000000001</v>
      </c>
      <c r="G653" s="273">
        <f t="shared" si="13"/>
        <v>6.0200000000000031E-2</v>
      </c>
    </row>
    <row r="654" spans="1:7" hidden="1">
      <c r="A654" s="245">
        <v>44139</v>
      </c>
      <c r="B654" s="245">
        <v>44141</v>
      </c>
      <c r="C654" s="273" t="s">
        <v>16</v>
      </c>
      <c r="D654" s="273">
        <v>46</v>
      </c>
      <c r="E654" s="273">
        <v>3.7</v>
      </c>
      <c r="F654" s="273">
        <v>3.8332999999999999</v>
      </c>
      <c r="G654" s="273">
        <f t="shared" si="13"/>
        <v>0.13329999999999975</v>
      </c>
    </row>
    <row r="655" spans="1:7" hidden="1">
      <c r="A655" s="245">
        <v>44139</v>
      </c>
      <c r="B655" s="245">
        <v>44141</v>
      </c>
      <c r="C655" s="273" t="s">
        <v>16</v>
      </c>
      <c r="D655" s="273">
        <v>45</v>
      </c>
      <c r="E655" s="273">
        <v>3.875</v>
      </c>
      <c r="F655" s="273">
        <v>5.9764999999999997</v>
      </c>
      <c r="G655" s="273">
        <f t="shared" si="13"/>
        <v>2.1014999999999997</v>
      </c>
    </row>
    <row r="656" spans="1:7" hidden="1">
      <c r="A656" s="245">
        <v>44139</v>
      </c>
      <c r="B656" s="245">
        <v>44141</v>
      </c>
      <c r="C656" s="273" t="s">
        <v>16</v>
      </c>
      <c r="D656" s="273">
        <v>47</v>
      </c>
      <c r="E656" s="273">
        <v>5.8833000000000002</v>
      </c>
      <c r="F656" s="273">
        <v>7.5754999999999999</v>
      </c>
      <c r="G656" s="273">
        <f t="shared" si="13"/>
        <v>1.6921999999999997</v>
      </c>
    </row>
    <row r="657" spans="1:7" hidden="1">
      <c r="A657" s="245">
        <v>44139</v>
      </c>
      <c r="B657" s="245">
        <v>44141</v>
      </c>
      <c r="C657" s="273" t="s">
        <v>24</v>
      </c>
      <c r="D657" s="273">
        <v>3</v>
      </c>
      <c r="E657" s="273">
        <v>6.5867000000000004</v>
      </c>
      <c r="F657" s="273">
        <v>8.8641000000000005</v>
      </c>
      <c r="G657" s="273">
        <f t="shared" si="13"/>
        <v>2.2774000000000001</v>
      </c>
    </row>
    <row r="658" spans="1:7" hidden="1">
      <c r="A658" s="245">
        <v>44139</v>
      </c>
      <c r="B658" s="245">
        <v>44141</v>
      </c>
      <c r="C658" s="273" t="s">
        <v>24</v>
      </c>
      <c r="D658" s="273">
        <v>4</v>
      </c>
      <c r="E658" s="273">
        <v>6.5784000000000002</v>
      </c>
      <c r="F658" s="273">
        <v>7.3038999999999996</v>
      </c>
      <c r="G658" s="273">
        <f t="shared" si="13"/>
        <v>0.72549999999999937</v>
      </c>
    </row>
    <row r="659" spans="1:7" hidden="1">
      <c r="A659" s="245">
        <v>44139</v>
      </c>
      <c r="B659" s="245">
        <v>44141</v>
      </c>
      <c r="C659" s="273" t="s">
        <v>26</v>
      </c>
      <c r="D659" s="273"/>
      <c r="E659" s="273">
        <v>5.9318999999999997</v>
      </c>
      <c r="F659" s="273">
        <v>6.4390000000000001</v>
      </c>
      <c r="G659" s="273">
        <f t="shared" si="13"/>
        <v>0.50710000000000033</v>
      </c>
    </row>
    <row r="660" spans="1:7" hidden="1">
      <c r="A660" s="245">
        <v>44141</v>
      </c>
      <c r="B660" s="245">
        <v>44144</v>
      </c>
      <c r="C660" s="273" t="s">
        <v>8</v>
      </c>
      <c r="D660" s="273">
        <v>18</v>
      </c>
      <c r="E660" s="273">
        <v>7.0517000000000003</v>
      </c>
      <c r="F660" s="273">
        <v>7.2714999999999996</v>
      </c>
      <c r="G660" s="273">
        <f t="shared" si="13"/>
        <v>0.21979999999999933</v>
      </c>
    </row>
    <row r="661" spans="1:7" hidden="1">
      <c r="A661" s="245">
        <v>44141</v>
      </c>
      <c r="B661" s="245">
        <v>44144</v>
      </c>
      <c r="C661" s="273" t="s">
        <v>8</v>
      </c>
      <c r="D661" s="273">
        <v>13</v>
      </c>
      <c r="E661" s="273">
        <v>6.3704999999999998</v>
      </c>
      <c r="F661" s="273">
        <v>6.4093</v>
      </c>
      <c r="G661" s="273">
        <f t="shared" si="13"/>
        <v>3.8800000000000168E-2</v>
      </c>
    </row>
    <row r="662" spans="1:7" hidden="1">
      <c r="A662" s="245">
        <v>44141</v>
      </c>
      <c r="B662" s="245">
        <v>44144</v>
      </c>
      <c r="C662" s="273" t="s">
        <v>8</v>
      </c>
      <c r="D662" s="273">
        <v>15</v>
      </c>
      <c r="E662" s="273">
        <v>10.7691</v>
      </c>
      <c r="F662" s="273">
        <v>11.377700000000001</v>
      </c>
      <c r="G662" s="273">
        <f t="shared" si="13"/>
        <v>0.60860000000000092</v>
      </c>
    </row>
    <row r="663" spans="1:7" hidden="1">
      <c r="A663" s="245">
        <v>44141</v>
      </c>
      <c r="B663" s="245">
        <v>44144</v>
      </c>
      <c r="C663" s="273" t="s">
        <v>8</v>
      </c>
      <c r="D663" s="273">
        <v>16</v>
      </c>
      <c r="E663" s="273">
        <v>6.5346000000000002</v>
      </c>
      <c r="F663" s="273">
        <v>7.5811999999999999</v>
      </c>
      <c r="G663" s="273">
        <f t="shared" si="13"/>
        <v>1.0465999999999998</v>
      </c>
    </row>
    <row r="664" spans="1:7" hidden="1">
      <c r="A664" s="245">
        <v>44141</v>
      </c>
      <c r="B664" s="245">
        <v>44144</v>
      </c>
      <c r="C664" s="273" t="s">
        <v>8</v>
      </c>
      <c r="D664" s="273">
        <v>12</v>
      </c>
      <c r="E664" s="273">
        <v>4.6326000000000001</v>
      </c>
      <c r="F664" s="273">
        <v>5.3765999999999998</v>
      </c>
      <c r="G664" s="273">
        <f t="shared" si="13"/>
        <v>0.74399999999999977</v>
      </c>
    </row>
    <row r="665" spans="1:7" hidden="1">
      <c r="A665" s="245">
        <v>44141</v>
      </c>
      <c r="B665" s="245">
        <v>44144</v>
      </c>
      <c r="C665" s="273" t="s">
        <v>8</v>
      </c>
      <c r="D665" s="273">
        <v>17</v>
      </c>
      <c r="E665" s="273">
        <v>6.4047000000000001</v>
      </c>
      <c r="F665" s="273">
        <v>6.5095000000000001</v>
      </c>
      <c r="G665" s="273">
        <f t="shared" si="13"/>
        <v>0.1048</v>
      </c>
    </row>
    <row r="666" spans="1:7" hidden="1">
      <c r="A666" s="245">
        <v>44141</v>
      </c>
      <c r="B666" s="245">
        <v>44144</v>
      </c>
      <c r="C666" s="273" t="s">
        <v>19</v>
      </c>
      <c r="D666" s="273">
        <v>9</v>
      </c>
      <c r="E666" s="273">
        <v>3.6221000000000001</v>
      </c>
      <c r="F666" s="273">
        <v>4.0964999999999998</v>
      </c>
      <c r="G666" s="273">
        <f t="shared" si="13"/>
        <v>0.47439999999999971</v>
      </c>
    </row>
    <row r="667" spans="1:7" hidden="1">
      <c r="A667" s="245">
        <v>44141</v>
      </c>
      <c r="B667" s="245">
        <v>44144</v>
      </c>
      <c r="C667" s="273" t="s">
        <v>11</v>
      </c>
      <c r="D667" s="273">
        <v>34</v>
      </c>
      <c r="E667" s="273">
        <v>6.6031000000000004</v>
      </c>
      <c r="F667" s="273">
        <v>7.1180000000000003</v>
      </c>
      <c r="G667" s="273">
        <f t="shared" si="13"/>
        <v>0.51489999999999991</v>
      </c>
    </row>
    <row r="668" spans="1:7" hidden="1">
      <c r="A668" s="245">
        <v>44141</v>
      </c>
      <c r="B668" s="245">
        <v>44144</v>
      </c>
      <c r="C668" s="273" t="s">
        <v>16</v>
      </c>
      <c r="D668" s="273">
        <v>44</v>
      </c>
      <c r="E668" s="273">
        <v>3.5144000000000002</v>
      </c>
      <c r="F668" s="273">
        <v>3.5840999999999998</v>
      </c>
      <c r="G668" s="273">
        <f t="shared" si="13"/>
        <v>6.9699999999999651E-2</v>
      </c>
    </row>
    <row r="669" spans="1:7" hidden="1">
      <c r="A669" s="245">
        <v>44141</v>
      </c>
      <c r="B669" s="245">
        <v>44144</v>
      </c>
      <c r="C669" s="273" t="s">
        <v>16</v>
      </c>
      <c r="D669" s="273">
        <v>45</v>
      </c>
      <c r="E669" s="273">
        <v>7.0175999999999998</v>
      </c>
      <c r="F669" s="273">
        <v>8.7910000000000004</v>
      </c>
      <c r="G669" s="273">
        <f t="shared" si="13"/>
        <v>1.7734000000000005</v>
      </c>
    </row>
    <row r="670" spans="1:7" hidden="1">
      <c r="A670" s="245">
        <v>44141</v>
      </c>
      <c r="B670" s="245">
        <v>44144</v>
      </c>
      <c r="C670" s="273" t="s">
        <v>16</v>
      </c>
      <c r="D670" s="273">
        <v>46</v>
      </c>
      <c r="E670" s="273">
        <v>5.1547000000000001</v>
      </c>
      <c r="F670" s="273">
        <v>5.7938999999999998</v>
      </c>
      <c r="G670" s="273">
        <f t="shared" si="13"/>
        <v>0.63919999999999977</v>
      </c>
    </row>
    <row r="671" spans="1:7" hidden="1">
      <c r="A671" s="245">
        <v>44141</v>
      </c>
      <c r="B671" s="245">
        <v>44144</v>
      </c>
      <c r="C671" s="273" t="s">
        <v>16</v>
      </c>
      <c r="D671" s="273">
        <v>47</v>
      </c>
      <c r="E671" s="273">
        <v>6.3379000000000003</v>
      </c>
      <c r="F671" s="273">
        <v>7.9180999999999999</v>
      </c>
      <c r="G671" s="273">
        <f t="shared" si="13"/>
        <v>1.5801999999999996</v>
      </c>
    </row>
    <row r="672" spans="1:7" hidden="1">
      <c r="A672" s="245">
        <v>44141</v>
      </c>
      <c r="B672" s="245">
        <v>44144</v>
      </c>
      <c r="C672" s="273" t="s">
        <v>24</v>
      </c>
      <c r="D672" s="273">
        <v>3</v>
      </c>
      <c r="E672" s="273">
        <v>10.423</v>
      </c>
      <c r="F672" s="273">
        <v>10.646000000000001</v>
      </c>
      <c r="G672" s="273">
        <f t="shared" si="13"/>
        <v>0.22300000000000075</v>
      </c>
    </row>
    <row r="673" spans="1:9" hidden="1">
      <c r="A673" s="245">
        <v>44141</v>
      </c>
      <c r="B673" s="245">
        <v>44144</v>
      </c>
      <c r="C673" s="273" t="s">
        <v>24</v>
      </c>
      <c r="D673" s="273">
        <v>4</v>
      </c>
      <c r="E673" s="273">
        <v>6.7431999999999999</v>
      </c>
      <c r="F673" s="273">
        <v>7.3792999999999997</v>
      </c>
      <c r="G673" s="273">
        <f t="shared" si="13"/>
        <v>0.63609999999999989</v>
      </c>
      <c r="H673" s="273"/>
      <c r="I673" s="273"/>
    </row>
    <row r="674" spans="1:9" hidden="1">
      <c r="A674" s="245">
        <v>44141</v>
      </c>
      <c r="B674" s="245">
        <v>44144</v>
      </c>
      <c r="C674" s="273" t="s">
        <v>24</v>
      </c>
      <c r="D674" s="273">
        <v>5</v>
      </c>
      <c r="E674" s="273">
        <v>5.9650999999999996</v>
      </c>
      <c r="F674" s="273">
        <v>7.5185000000000004</v>
      </c>
      <c r="G674" s="273">
        <f t="shared" si="13"/>
        <v>1.5534000000000008</v>
      </c>
      <c r="H674" s="273"/>
      <c r="I674" s="273"/>
    </row>
    <row r="675" spans="1:9" hidden="1">
      <c r="A675" s="245">
        <v>44141</v>
      </c>
      <c r="B675" s="245">
        <v>44144</v>
      </c>
      <c r="C675" s="273" t="s">
        <v>24</v>
      </c>
      <c r="D675" s="273">
        <v>6</v>
      </c>
      <c r="E675" s="273">
        <v>6.6692</v>
      </c>
      <c r="F675" s="273">
        <v>7.3517000000000001</v>
      </c>
      <c r="G675" s="273">
        <f t="shared" si="13"/>
        <v>0.68250000000000011</v>
      </c>
      <c r="H675" s="273"/>
      <c r="I675" s="273"/>
    </row>
    <row r="676" spans="1:9" hidden="1">
      <c r="A676" s="245">
        <v>44141</v>
      </c>
      <c r="B676" s="245">
        <v>44144</v>
      </c>
      <c r="C676" s="273" t="s">
        <v>26</v>
      </c>
      <c r="D676" s="273"/>
      <c r="E676" s="273">
        <v>7.1847000000000003</v>
      </c>
      <c r="F676" s="273">
        <v>7.2851999999999997</v>
      </c>
      <c r="G676" s="273">
        <f t="shared" si="13"/>
        <v>0.10049999999999937</v>
      </c>
      <c r="H676" s="273"/>
      <c r="I676" s="273"/>
    </row>
    <row r="677" spans="1:9" hidden="1">
      <c r="A677" s="245">
        <v>44144</v>
      </c>
      <c r="B677" s="245">
        <v>44146</v>
      </c>
      <c r="C677" s="273" t="s">
        <v>8</v>
      </c>
      <c r="D677" s="273">
        <v>11</v>
      </c>
      <c r="E677" s="273">
        <v>4.7432999999999996</v>
      </c>
      <c r="F677" s="273">
        <v>5.1515000000000004</v>
      </c>
      <c r="G677" s="273">
        <f t="shared" si="13"/>
        <v>0.40820000000000078</v>
      </c>
      <c r="H677" s="273"/>
      <c r="I677" s="273"/>
    </row>
    <row r="678" spans="1:9" hidden="1">
      <c r="A678" s="245">
        <v>44144</v>
      </c>
      <c r="B678" s="245">
        <v>44146</v>
      </c>
      <c r="C678" s="273" t="s">
        <v>8</v>
      </c>
      <c r="D678" s="273">
        <v>12</v>
      </c>
      <c r="E678" s="273">
        <v>6.8262999999999998</v>
      </c>
      <c r="F678" s="273">
        <v>7.0808999999999997</v>
      </c>
      <c r="G678" s="273">
        <f t="shared" si="13"/>
        <v>0.25459999999999994</v>
      </c>
      <c r="H678" s="273"/>
      <c r="I678" s="273"/>
    </row>
    <row r="679" spans="1:9" hidden="1">
      <c r="A679" s="245">
        <v>44144</v>
      </c>
      <c r="B679" s="245">
        <v>44146</v>
      </c>
      <c r="C679" s="248" t="s">
        <v>8</v>
      </c>
      <c r="D679" s="248">
        <v>15</v>
      </c>
      <c r="E679" s="273">
        <v>7.4195000000000002</v>
      </c>
      <c r="F679" s="273">
        <v>7.8426</v>
      </c>
      <c r="G679" s="273">
        <f t="shared" si="13"/>
        <v>0.42309999999999981</v>
      </c>
      <c r="H679" s="273"/>
      <c r="I679" s="273">
        <f>SUM(G679:G682)</f>
        <v>1.3468</v>
      </c>
    </row>
    <row r="680" spans="1:9" hidden="1">
      <c r="A680" s="245">
        <v>44144</v>
      </c>
      <c r="B680" s="245">
        <v>44146</v>
      </c>
      <c r="C680" s="248" t="s">
        <v>8</v>
      </c>
      <c r="D680" s="248">
        <v>16</v>
      </c>
      <c r="E680" s="273">
        <v>6.3122999999999996</v>
      </c>
      <c r="F680" s="273">
        <v>6.8818000000000001</v>
      </c>
      <c r="G680" s="273">
        <f t="shared" si="13"/>
        <v>0.56950000000000056</v>
      </c>
      <c r="H680" s="273"/>
      <c r="I680" s="273"/>
    </row>
    <row r="681" spans="1:9" hidden="1">
      <c r="A681" s="245">
        <v>44144</v>
      </c>
      <c r="B681" s="245">
        <v>44146</v>
      </c>
      <c r="C681" s="248" t="s">
        <v>8</v>
      </c>
      <c r="D681" s="248">
        <v>18</v>
      </c>
      <c r="E681" s="273">
        <v>7.6717000000000004</v>
      </c>
      <c r="F681" s="273">
        <v>7.8068</v>
      </c>
      <c r="G681" s="273">
        <f t="shared" si="13"/>
        <v>0.13509999999999955</v>
      </c>
      <c r="H681" s="273"/>
      <c r="I681" s="273"/>
    </row>
    <row r="682" spans="1:9" hidden="1">
      <c r="A682" s="245">
        <v>44144</v>
      </c>
      <c r="B682" s="245">
        <v>44146</v>
      </c>
      <c r="C682" s="248" t="s">
        <v>8</v>
      </c>
      <c r="D682" s="248">
        <v>19</v>
      </c>
      <c r="E682" s="273">
        <v>6.2389000000000001</v>
      </c>
      <c r="F682" s="273">
        <v>6.4580000000000002</v>
      </c>
      <c r="G682" s="273">
        <f>F682-E682</f>
        <v>0.21910000000000007</v>
      </c>
      <c r="H682" s="273"/>
      <c r="I682" s="273"/>
    </row>
    <row r="683" spans="1:9" hidden="1">
      <c r="A683" s="245">
        <v>44144</v>
      </c>
      <c r="B683" s="245">
        <v>44146</v>
      </c>
      <c r="C683" s="273" t="s">
        <v>11</v>
      </c>
      <c r="D683" s="273">
        <v>34</v>
      </c>
      <c r="E683" s="273">
        <v>5.4303999999999997</v>
      </c>
      <c r="F683" s="273">
        <v>5.7742000000000004</v>
      </c>
      <c r="G683" s="273">
        <f>F683-E683</f>
        <v>0.34380000000000077</v>
      </c>
      <c r="H683" s="273"/>
      <c r="I683" s="273"/>
    </row>
    <row r="684" spans="1:9" hidden="1">
      <c r="A684" s="245">
        <v>44144</v>
      </c>
      <c r="B684" s="245">
        <v>44146</v>
      </c>
      <c r="C684" s="273" t="s">
        <v>16</v>
      </c>
      <c r="D684" s="273">
        <v>44</v>
      </c>
      <c r="E684" s="273">
        <v>3.9582999999999999</v>
      </c>
      <c r="F684" s="273">
        <v>4.0583999999999998</v>
      </c>
      <c r="G684" s="273">
        <f>F684-E684</f>
        <v>0.10009999999999986</v>
      </c>
      <c r="H684" s="273"/>
      <c r="I684" s="273"/>
    </row>
    <row r="685" spans="1:9" hidden="1">
      <c r="A685" s="245">
        <v>44144</v>
      </c>
      <c r="B685" s="245">
        <v>44146</v>
      </c>
      <c r="C685" s="273" t="s">
        <v>16</v>
      </c>
      <c r="D685" s="273">
        <v>45</v>
      </c>
      <c r="E685" s="273">
        <v>6.6604000000000001</v>
      </c>
      <c r="F685" s="273">
        <v>6.8826999999999998</v>
      </c>
      <c r="G685" s="273">
        <f>F685-E685</f>
        <v>0.22229999999999972</v>
      </c>
      <c r="H685" s="273"/>
      <c r="I685" s="273"/>
    </row>
    <row r="686" spans="1:9" hidden="1">
      <c r="A686" s="245">
        <v>44144</v>
      </c>
      <c r="B686" s="245">
        <v>44146</v>
      </c>
      <c r="C686" s="273" t="s">
        <v>16</v>
      </c>
      <c r="D686" s="273">
        <v>46</v>
      </c>
      <c r="E686" s="273">
        <v>6.4188000000000001</v>
      </c>
      <c r="F686" s="273">
        <v>6.8715000000000002</v>
      </c>
      <c r="G686" s="273">
        <f>F686-E686</f>
        <v>0.4527000000000001</v>
      </c>
      <c r="H686" s="273"/>
      <c r="I686" s="273"/>
    </row>
    <row r="687" spans="1:9" hidden="1">
      <c r="A687" s="245">
        <v>44144</v>
      </c>
      <c r="B687" s="245">
        <v>44146</v>
      </c>
      <c r="C687" s="273" t="s">
        <v>16</v>
      </c>
      <c r="D687" s="273">
        <v>47</v>
      </c>
      <c r="E687" s="273">
        <v>6.8250999999999999</v>
      </c>
      <c r="F687" s="273">
        <v>6.9720000000000004</v>
      </c>
      <c r="G687" s="273">
        <f>F687-E687</f>
        <v>0.14690000000000047</v>
      </c>
      <c r="H687" s="273"/>
      <c r="I687" s="273"/>
    </row>
    <row r="688" spans="1:9" hidden="1">
      <c r="A688" s="245">
        <v>44144</v>
      </c>
      <c r="B688" s="245">
        <v>44146</v>
      </c>
      <c r="C688" s="273" t="s">
        <v>16</v>
      </c>
      <c r="D688" s="273">
        <v>48</v>
      </c>
      <c r="E688" s="273">
        <v>3.1196000000000002</v>
      </c>
      <c r="F688" s="273">
        <v>3.1930999999999998</v>
      </c>
      <c r="G688" s="273">
        <f>F688-E688</f>
        <v>7.3499999999999677E-2</v>
      </c>
      <c r="H688" s="273"/>
      <c r="I688" s="273"/>
    </row>
    <row r="689" spans="1:8" hidden="1">
      <c r="A689" s="245">
        <v>44144</v>
      </c>
      <c r="B689" s="245">
        <v>44146</v>
      </c>
      <c r="C689" s="273" t="s">
        <v>16</v>
      </c>
      <c r="D689" s="273">
        <v>49</v>
      </c>
      <c r="E689" s="273">
        <v>4.6996000000000002</v>
      </c>
      <c r="F689" s="273">
        <v>4.9062999999999999</v>
      </c>
      <c r="G689" s="273">
        <f>F689-E689</f>
        <v>0.20669999999999966</v>
      </c>
      <c r="H689" s="273"/>
    </row>
    <row r="690" spans="1:8" hidden="1">
      <c r="A690" s="245">
        <v>44144</v>
      </c>
      <c r="B690" s="245">
        <v>44146</v>
      </c>
      <c r="C690" s="273" t="s">
        <v>24</v>
      </c>
      <c r="D690" s="273">
        <v>3</v>
      </c>
      <c r="E690" s="273">
        <v>7.1234000000000002</v>
      </c>
      <c r="F690" s="273">
        <v>7.1917999999999997</v>
      </c>
      <c r="G690" s="273">
        <f>F690-E690</f>
        <v>6.8399999999999572E-2</v>
      </c>
      <c r="H690" s="273"/>
    </row>
    <row r="691" spans="1:8" hidden="1">
      <c r="A691" s="245">
        <v>44144</v>
      </c>
      <c r="B691" s="245">
        <v>44146</v>
      </c>
      <c r="C691" s="273" t="s">
        <v>24</v>
      </c>
      <c r="D691" s="273">
        <v>4</v>
      </c>
      <c r="E691" s="273">
        <v>6.5506000000000002</v>
      </c>
      <c r="F691" s="273">
        <v>6.6425000000000001</v>
      </c>
      <c r="G691" s="273">
        <f>F691-E691</f>
        <v>9.1899999999999871E-2</v>
      </c>
      <c r="H691" s="273"/>
    </row>
    <row r="692" spans="1:8" hidden="1">
      <c r="A692" s="245">
        <v>44144</v>
      </c>
      <c r="B692" s="245">
        <v>44146</v>
      </c>
      <c r="C692" s="273" t="s">
        <v>26</v>
      </c>
      <c r="D692" s="273"/>
      <c r="E692" s="273">
        <v>6.5239000000000003</v>
      </c>
      <c r="F692" s="273">
        <v>6.7545000000000002</v>
      </c>
      <c r="G692" s="273">
        <f>F692-E692</f>
        <v>0.23059999999999992</v>
      </c>
      <c r="H692" s="273"/>
    </row>
    <row r="693" spans="1:8" hidden="1">
      <c r="A693" s="245">
        <v>44146</v>
      </c>
      <c r="B693" s="245">
        <v>44148</v>
      </c>
      <c r="C693" s="273" t="s">
        <v>8</v>
      </c>
      <c r="D693" s="273">
        <v>11</v>
      </c>
      <c r="E693" s="273">
        <v>9.2606999999999999</v>
      </c>
      <c r="F693" s="273">
        <v>9.2849000000000004</v>
      </c>
      <c r="G693" s="273">
        <f>F693-E693</f>
        <v>2.4200000000000443E-2</v>
      </c>
      <c r="H693" s="273">
        <f>SUM(G694,G696,G697,G699,G700,G701)</f>
        <v>3.1161000000000003</v>
      </c>
    </row>
    <row r="694" spans="1:8" hidden="1">
      <c r="A694" s="245">
        <v>44146</v>
      </c>
      <c r="B694" s="245">
        <v>44148</v>
      </c>
      <c r="C694" s="273" t="s">
        <v>8</v>
      </c>
      <c r="D694" s="273">
        <v>12</v>
      </c>
      <c r="E694" s="273">
        <v>6.0236999999999998</v>
      </c>
      <c r="F694" s="273">
        <v>6.194</v>
      </c>
      <c r="G694" s="273">
        <f>F694-E694</f>
        <v>0.17030000000000012</v>
      </c>
      <c r="H694" s="273"/>
    </row>
    <row r="695" spans="1:8" hidden="1">
      <c r="A695" s="245">
        <v>44146</v>
      </c>
      <c r="B695" s="245">
        <v>44148</v>
      </c>
      <c r="C695" s="273" t="s">
        <v>8</v>
      </c>
      <c r="D695" s="273">
        <v>14</v>
      </c>
      <c r="E695" s="273">
        <v>5.7553999999999998</v>
      </c>
      <c r="F695" s="273">
        <v>5.7713999999999999</v>
      </c>
      <c r="G695" s="273">
        <f>F695-E695</f>
        <v>1.6000000000000014E-2</v>
      </c>
      <c r="H695" s="273"/>
    </row>
    <row r="696" spans="1:8" hidden="1">
      <c r="A696" s="245">
        <v>44146</v>
      </c>
      <c r="B696" s="245">
        <v>44148</v>
      </c>
      <c r="C696" s="273" t="s">
        <v>8</v>
      </c>
      <c r="D696" s="273">
        <v>15</v>
      </c>
      <c r="E696" s="273">
        <v>6.5808</v>
      </c>
      <c r="F696" s="273">
        <v>7.0575000000000001</v>
      </c>
      <c r="G696" s="273">
        <f>F696-E696</f>
        <v>0.47670000000000012</v>
      </c>
      <c r="H696" s="273"/>
    </row>
    <row r="697" spans="1:8" hidden="1">
      <c r="A697" s="245">
        <v>44146</v>
      </c>
      <c r="B697" s="245">
        <v>44148</v>
      </c>
      <c r="C697" s="273" t="s">
        <v>8</v>
      </c>
      <c r="D697" s="273">
        <v>16</v>
      </c>
      <c r="E697" s="273">
        <v>8.1434999999999995</v>
      </c>
      <c r="F697" s="273">
        <v>9.0571000000000002</v>
      </c>
      <c r="G697" s="273">
        <f>F697-E697</f>
        <v>0.91360000000000063</v>
      </c>
      <c r="H697" s="273"/>
    </row>
    <row r="698" spans="1:8" hidden="1">
      <c r="A698" s="245">
        <v>44146</v>
      </c>
      <c r="B698" s="245">
        <v>44148</v>
      </c>
      <c r="C698" s="273" t="s">
        <v>8</v>
      </c>
      <c r="D698" s="273">
        <v>17</v>
      </c>
      <c r="E698" s="273">
        <v>6.8853999999999997</v>
      </c>
      <c r="F698" s="273">
        <v>7.0499000000000001</v>
      </c>
      <c r="G698" s="273">
        <f>F698-E698</f>
        <v>0.16450000000000031</v>
      </c>
      <c r="H698" s="273"/>
    </row>
    <row r="699" spans="1:8" hidden="1">
      <c r="A699" s="245">
        <v>44146</v>
      </c>
      <c r="B699" s="245">
        <v>44148</v>
      </c>
      <c r="C699" s="273" t="s">
        <v>8</v>
      </c>
      <c r="D699" s="273">
        <v>19</v>
      </c>
      <c r="E699" s="273">
        <v>3.6017999999999999</v>
      </c>
      <c r="F699" s="273">
        <v>4.3381999999999996</v>
      </c>
      <c r="G699" s="273">
        <f>F699-E699</f>
        <v>0.73639999999999972</v>
      </c>
      <c r="H699" s="273"/>
    </row>
    <row r="700" spans="1:8" hidden="1">
      <c r="A700" s="245">
        <v>44146</v>
      </c>
      <c r="B700" s="245">
        <v>44148</v>
      </c>
      <c r="C700" s="273" t="s">
        <v>8</v>
      </c>
      <c r="D700" s="273">
        <v>20</v>
      </c>
      <c r="E700" s="273">
        <v>7.2487000000000004</v>
      </c>
      <c r="F700" s="273">
        <v>7.7249999999999996</v>
      </c>
      <c r="G700" s="273">
        <f>F700-E700</f>
        <v>0.47629999999999928</v>
      </c>
      <c r="H700" s="273"/>
    </row>
    <row r="701" spans="1:8" hidden="1">
      <c r="A701" s="245">
        <v>44146</v>
      </c>
      <c r="B701" s="245">
        <v>44148</v>
      </c>
      <c r="C701" s="273" t="s">
        <v>8</v>
      </c>
      <c r="D701" s="273">
        <v>21</v>
      </c>
      <c r="E701" s="273">
        <v>6.8837999999999999</v>
      </c>
      <c r="F701" s="273">
        <v>7.2266000000000004</v>
      </c>
      <c r="G701" s="273">
        <f>F701-E701</f>
        <v>0.34280000000000044</v>
      </c>
      <c r="H701" s="273"/>
    </row>
    <row r="702" spans="1:8" hidden="1">
      <c r="A702" s="245">
        <v>44146</v>
      </c>
      <c r="B702" s="245">
        <v>44148</v>
      </c>
      <c r="C702" s="273" t="s">
        <v>11</v>
      </c>
      <c r="D702" s="273">
        <v>34</v>
      </c>
      <c r="E702" s="273">
        <v>6.7774000000000001</v>
      </c>
      <c r="F702" s="273">
        <v>7.5358999999999998</v>
      </c>
      <c r="G702" s="273">
        <f>F702-E702</f>
        <v>0.75849999999999973</v>
      </c>
      <c r="H702" s="273"/>
    </row>
    <row r="703" spans="1:8" hidden="1">
      <c r="A703" s="245">
        <v>44146</v>
      </c>
      <c r="B703" s="245">
        <v>44148</v>
      </c>
      <c r="C703" s="273" t="s">
        <v>11</v>
      </c>
      <c r="D703" s="273">
        <v>35</v>
      </c>
      <c r="E703" s="273">
        <v>6.4744000000000002</v>
      </c>
      <c r="F703" s="273">
        <v>6.9329000000000001</v>
      </c>
      <c r="G703" s="273">
        <f>F703-E703</f>
        <v>0.45849999999999991</v>
      </c>
      <c r="H703" s="273"/>
    </row>
    <row r="704" spans="1:8" hidden="1">
      <c r="A704" s="245">
        <v>44146</v>
      </c>
      <c r="B704" s="245">
        <v>44148</v>
      </c>
      <c r="C704" s="273" t="s">
        <v>16</v>
      </c>
      <c r="D704" s="273">
        <v>44</v>
      </c>
      <c r="E704" s="273">
        <v>6.6238000000000001</v>
      </c>
      <c r="F704" s="273">
        <v>6.8117000000000001</v>
      </c>
      <c r="G704" s="273">
        <f>F704-E704</f>
        <v>0.18789999999999996</v>
      </c>
      <c r="H704" s="273"/>
    </row>
    <row r="705" spans="1:7" hidden="1">
      <c r="A705" s="245">
        <v>44146</v>
      </c>
      <c r="B705" s="245">
        <v>44148</v>
      </c>
      <c r="C705" s="273" t="s">
        <v>16</v>
      </c>
      <c r="D705" s="273">
        <v>45</v>
      </c>
      <c r="E705" s="273">
        <v>5.5984999999999996</v>
      </c>
      <c r="F705" s="273">
        <v>5.6467999999999998</v>
      </c>
      <c r="G705" s="273">
        <f>F705-E705</f>
        <v>4.8300000000000232E-2</v>
      </c>
    </row>
    <row r="706" spans="1:7" hidden="1">
      <c r="A706" s="245">
        <v>44146</v>
      </c>
      <c r="B706" s="245">
        <v>44148</v>
      </c>
      <c r="C706" s="273" t="s">
        <v>16</v>
      </c>
      <c r="D706" s="273">
        <v>46</v>
      </c>
      <c r="E706" s="273">
        <v>4.1215999999999999</v>
      </c>
      <c r="F706" s="273">
        <v>4.5133000000000001</v>
      </c>
      <c r="G706" s="273">
        <f>F706-E706</f>
        <v>0.39170000000000016</v>
      </c>
    </row>
    <row r="707" spans="1:7" hidden="1">
      <c r="A707" s="245">
        <v>44146</v>
      </c>
      <c r="B707" s="245">
        <v>44148</v>
      </c>
      <c r="C707" s="273" t="s">
        <v>16</v>
      </c>
      <c r="D707" s="273">
        <v>50</v>
      </c>
      <c r="E707" s="273">
        <v>6.0843999999999996</v>
      </c>
      <c r="F707" s="273">
        <v>6.1524000000000001</v>
      </c>
      <c r="G707" s="273">
        <f>F707-E707</f>
        <v>6.8000000000000504E-2</v>
      </c>
    </row>
    <row r="708" spans="1:7" hidden="1">
      <c r="A708" s="245">
        <v>44146</v>
      </c>
      <c r="B708" s="245">
        <v>44148</v>
      </c>
      <c r="C708" s="273" t="s">
        <v>24</v>
      </c>
      <c r="D708" s="273">
        <v>6</v>
      </c>
      <c r="E708" s="273">
        <v>6.0343999999999998</v>
      </c>
      <c r="F708" s="273">
        <v>6.0758000000000001</v>
      </c>
      <c r="G708" s="273">
        <f>F708-E708</f>
        <v>4.1400000000000325E-2</v>
      </c>
    </row>
    <row r="709" spans="1:7" hidden="1">
      <c r="A709" s="245">
        <v>44146</v>
      </c>
      <c r="B709" s="245">
        <v>44148</v>
      </c>
      <c r="C709" s="273" t="s">
        <v>26</v>
      </c>
      <c r="D709" s="273"/>
      <c r="E709" s="273">
        <v>6.0627000000000004</v>
      </c>
      <c r="F709" s="273">
        <v>6.1647999999999996</v>
      </c>
      <c r="G709" s="273">
        <f>F709-E709</f>
        <v>0.10209999999999919</v>
      </c>
    </row>
    <row r="710" spans="1:7" hidden="1">
      <c r="A710" s="245">
        <v>44148</v>
      </c>
      <c r="B710" s="245">
        <v>44151</v>
      </c>
      <c r="C710" s="273" t="s">
        <v>8</v>
      </c>
      <c r="D710" s="273">
        <v>13</v>
      </c>
      <c r="E710" s="273">
        <v>6.1582999999999997</v>
      </c>
      <c r="F710" s="273">
        <v>6.3548999999999998</v>
      </c>
      <c r="G710" s="273">
        <f>F710-E710</f>
        <v>0.19660000000000011</v>
      </c>
    </row>
    <row r="711" spans="1:7" hidden="1">
      <c r="A711" s="245">
        <v>44148</v>
      </c>
      <c r="B711" s="245">
        <v>44151</v>
      </c>
      <c r="C711" s="273" t="s">
        <v>8</v>
      </c>
      <c r="D711" s="273">
        <v>20</v>
      </c>
      <c r="E711" s="273">
        <v>8.0936000000000003</v>
      </c>
      <c r="F711" s="273">
        <v>8.4140999999999995</v>
      </c>
      <c r="G711" s="273">
        <f>F711-E711</f>
        <v>0.32049999999999912</v>
      </c>
    </row>
    <row r="712" spans="1:7" hidden="1">
      <c r="A712" s="245">
        <v>44148</v>
      </c>
      <c r="B712" s="245">
        <v>44151</v>
      </c>
      <c r="C712" s="273" t="s">
        <v>8</v>
      </c>
      <c r="D712" s="273">
        <v>16</v>
      </c>
      <c r="E712" s="273">
        <v>7.7866999999999997</v>
      </c>
      <c r="F712" s="273">
        <v>8.5434000000000001</v>
      </c>
      <c r="G712" s="273">
        <f>F712-E712</f>
        <v>0.75670000000000037</v>
      </c>
    </row>
    <row r="713" spans="1:7" hidden="1">
      <c r="A713" s="245">
        <v>44148</v>
      </c>
      <c r="B713" s="245">
        <v>44151</v>
      </c>
      <c r="C713" s="273" t="s">
        <v>8</v>
      </c>
      <c r="D713" s="273">
        <v>21</v>
      </c>
      <c r="E713" s="273">
        <v>5.9538000000000002</v>
      </c>
      <c r="F713" s="273">
        <v>6.0711000000000004</v>
      </c>
      <c r="G713" s="273">
        <f>F713-E713</f>
        <v>0.11730000000000018</v>
      </c>
    </row>
    <row r="714" spans="1:7" hidden="1">
      <c r="A714" s="245">
        <v>44148</v>
      </c>
      <c r="B714" s="245">
        <v>44151</v>
      </c>
      <c r="C714" s="273" t="s">
        <v>8</v>
      </c>
      <c r="D714" s="273">
        <v>15</v>
      </c>
      <c r="E714" s="273">
        <v>5.8457999999999997</v>
      </c>
      <c r="F714" s="273">
        <v>6.1459000000000001</v>
      </c>
      <c r="G714" s="273">
        <f>F714-E714</f>
        <v>0.30010000000000048</v>
      </c>
    </row>
    <row r="715" spans="1:7" hidden="1">
      <c r="A715" s="245">
        <v>44148</v>
      </c>
      <c r="B715" s="245">
        <v>44151</v>
      </c>
      <c r="C715" s="273" t="s">
        <v>11</v>
      </c>
      <c r="D715" s="273">
        <v>36</v>
      </c>
      <c r="E715" s="273">
        <v>5.4894999999999996</v>
      </c>
      <c r="F715" s="273">
        <v>5.5838999999999999</v>
      </c>
      <c r="G715" s="273">
        <f t="shared" ref="G715:G775" si="14">F715-E715</f>
        <v>9.4400000000000261E-2</v>
      </c>
    </row>
    <row r="716" spans="1:7" hidden="1">
      <c r="A716" s="245">
        <v>44148</v>
      </c>
      <c r="B716" s="245">
        <v>44151</v>
      </c>
      <c r="C716" s="273" t="s">
        <v>11</v>
      </c>
      <c r="D716" s="273">
        <v>35</v>
      </c>
      <c r="E716" s="273">
        <v>6.9737999999999998</v>
      </c>
      <c r="F716" s="273">
        <v>7.2880000000000003</v>
      </c>
      <c r="G716" s="273">
        <f t="shared" si="14"/>
        <v>0.31420000000000048</v>
      </c>
    </row>
    <row r="717" spans="1:7" hidden="1">
      <c r="A717" s="245">
        <v>44148</v>
      </c>
      <c r="B717" s="245">
        <v>44151</v>
      </c>
      <c r="C717" s="273" t="s">
        <v>11</v>
      </c>
      <c r="D717" s="273">
        <v>34</v>
      </c>
      <c r="E717" s="273">
        <v>5.7827999999999999</v>
      </c>
      <c r="F717" s="273">
        <v>6.0011999999999999</v>
      </c>
      <c r="G717" s="273">
        <f t="shared" si="14"/>
        <v>0.21839999999999993</v>
      </c>
    </row>
    <row r="718" spans="1:7" hidden="1">
      <c r="A718" s="245">
        <v>44148</v>
      </c>
      <c r="B718" s="245">
        <v>44151</v>
      </c>
      <c r="C718" s="273" t="s">
        <v>16</v>
      </c>
      <c r="D718" s="273">
        <v>44</v>
      </c>
      <c r="E718" s="273">
        <v>5.4040999999999997</v>
      </c>
      <c r="F718" s="273">
        <v>5.4908000000000001</v>
      </c>
      <c r="G718" s="273">
        <f t="shared" si="14"/>
        <v>8.6700000000000443E-2</v>
      </c>
    </row>
    <row r="719" spans="1:7" hidden="1">
      <c r="A719" s="245">
        <v>44148</v>
      </c>
      <c r="B719" s="245">
        <v>44151</v>
      </c>
      <c r="C719" s="273" t="s">
        <v>24</v>
      </c>
      <c r="D719" s="273">
        <v>6</v>
      </c>
      <c r="E719" s="273">
        <v>6.4433999999999996</v>
      </c>
      <c r="F719" s="273">
        <v>6.5049999999999999</v>
      </c>
      <c r="G719" s="273">
        <f t="shared" si="14"/>
        <v>6.1600000000000321E-2</v>
      </c>
    </row>
    <row r="720" spans="1:7" hidden="1">
      <c r="A720" s="245">
        <v>44148</v>
      </c>
      <c r="B720" s="245">
        <v>44151</v>
      </c>
      <c r="C720" s="273" t="s">
        <v>24</v>
      </c>
      <c r="D720" s="273">
        <v>5</v>
      </c>
      <c r="E720" s="273">
        <v>6.1307</v>
      </c>
      <c r="F720" s="273">
        <v>6.2790999999999997</v>
      </c>
      <c r="G720" s="273">
        <f t="shared" si="14"/>
        <v>0.14839999999999964</v>
      </c>
    </row>
    <row r="721" spans="1:7" hidden="1">
      <c r="A721" s="245">
        <v>44148</v>
      </c>
      <c r="B721" s="245">
        <v>44151</v>
      </c>
      <c r="C721" s="273" t="s">
        <v>24</v>
      </c>
      <c r="D721" s="273">
        <v>3</v>
      </c>
      <c r="E721" s="273">
        <v>5.5789</v>
      </c>
      <c r="F721" s="273">
        <v>5.6425000000000001</v>
      </c>
      <c r="G721" s="273">
        <f t="shared" si="14"/>
        <v>6.3600000000000101E-2</v>
      </c>
    </row>
    <row r="722" spans="1:7" hidden="1">
      <c r="A722" s="245">
        <v>44148</v>
      </c>
      <c r="B722" s="245">
        <v>44151</v>
      </c>
      <c r="C722" s="273" t="s">
        <v>24</v>
      </c>
      <c r="D722" s="273">
        <v>4</v>
      </c>
      <c r="E722" s="273">
        <v>5.8403</v>
      </c>
      <c r="F722" s="273">
        <v>6.0685000000000002</v>
      </c>
      <c r="G722" s="273">
        <f t="shared" si="14"/>
        <v>0.22820000000000018</v>
      </c>
    </row>
    <row r="723" spans="1:7" hidden="1">
      <c r="A723" s="245">
        <v>44148</v>
      </c>
      <c r="B723" s="245">
        <v>44151</v>
      </c>
      <c r="C723" s="273" t="s">
        <v>26</v>
      </c>
      <c r="D723" s="273"/>
      <c r="E723" s="273">
        <v>5.8747999999999996</v>
      </c>
      <c r="F723" s="273">
        <v>6.0650000000000004</v>
      </c>
      <c r="G723" s="273">
        <f t="shared" si="14"/>
        <v>0.19020000000000081</v>
      </c>
    </row>
    <row r="724" spans="1:7" hidden="1">
      <c r="A724" s="245">
        <v>44151</v>
      </c>
      <c r="B724" s="245">
        <v>44153</v>
      </c>
      <c r="C724" s="273" t="s">
        <v>18</v>
      </c>
      <c r="D724" s="273"/>
      <c r="E724" s="273">
        <v>7.4089</v>
      </c>
      <c r="F724" s="273">
        <v>7.5384000000000002</v>
      </c>
      <c r="G724" s="273">
        <f t="shared" si="14"/>
        <v>0.12950000000000017</v>
      </c>
    </row>
    <row r="725" spans="1:7" hidden="1">
      <c r="A725" s="245">
        <v>44151</v>
      </c>
      <c r="B725" s="245">
        <v>44153</v>
      </c>
      <c r="C725" s="273" t="s">
        <v>8</v>
      </c>
      <c r="D725" s="273">
        <v>16</v>
      </c>
      <c r="E725" s="273">
        <v>6.3437999999999999</v>
      </c>
      <c r="F725" s="273">
        <v>6.3941999999999997</v>
      </c>
      <c r="G725" s="273">
        <f t="shared" si="14"/>
        <v>5.0399999999999778E-2</v>
      </c>
    </row>
    <row r="726" spans="1:7" hidden="1">
      <c r="A726" s="245">
        <v>44151</v>
      </c>
      <c r="B726" s="245">
        <v>44153</v>
      </c>
      <c r="C726" s="273" t="s">
        <v>8</v>
      </c>
      <c r="D726" s="273">
        <v>15</v>
      </c>
      <c r="E726" s="273">
        <v>5.0138999999999996</v>
      </c>
      <c r="F726" s="273">
        <v>5.1097999999999999</v>
      </c>
      <c r="G726" s="273">
        <f t="shared" si="14"/>
        <v>9.5900000000000318E-2</v>
      </c>
    </row>
    <row r="727" spans="1:7" hidden="1">
      <c r="A727" s="245">
        <v>44151</v>
      </c>
      <c r="B727" s="245">
        <v>44153</v>
      </c>
      <c r="C727" s="273" t="s">
        <v>8</v>
      </c>
      <c r="D727" s="273">
        <v>12</v>
      </c>
      <c r="E727" s="273">
        <v>6.2294999999999998</v>
      </c>
      <c r="F727" s="273">
        <v>6.3181000000000003</v>
      </c>
      <c r="G727" s="273">
        <f t="shared" si="14"/>
        <v>8.8600000000000456E-2</v>
      </c>
    </row>
    <row r="728" spans="1:7" hidden="1">
      <c r="A728" s="245">
        <v>44151</v>
      </c>
      <c r="B728" s="245">
        <v>44153</v>
      </c>
      <c r="C728" s="273" t="s">
        <v>8</v>
      </c>
      <c r="D728" s="273">
        <v>19</v>
      </c>
      <c r="E728" s="273">
        <v>5.4025999999999996</v>
      </c>
      <c r="F728" s="273">
        <v>5.5743</v>
      </c>
      <c r="G728" s="273">
        <f t="shared" si="14"/>
        <v>0.17170000000000041</v>
      </c>
    </row>
    <row r="729" spans="1:7" hidden="1">
      <c r="A729" s="245">
        <v>44151</v>
      </c>
      <c r="B729" s="245">
        <v>44153</v>
      </c>
      <c r="C729" s="273" t="s">
        <v>11</v>
      </c>
      <c r="D729" s="273">
        <v>35</v>
      </c>
      <c r="E729" s="273">
        <v>7.8288000000000002</v>
      </c>
      <c r="F729" s="273">
        <v>7.9447000000000001</v>
      </c>
      <c r="G729" s="273">
        <f t="shared" si="14"/>
        <v>0.11589999999999989</v>
      </c>
    </row>
    <row r="730" spans="1:7" hidden="1">
      <c r="A730" s="245">
        <v>44151</v>
      </c>
      <c r="B730" s="245">
        <v>44153</v>
      </c>
      <c r="C730" s="273" t="s">
        <v>11</v>
      </c>
      <c r="D730" s="273">
        <v>36</v>
      </c>
      <c r="E730" s="273">
        <v>5.9126000000000003</v>
      </c>
      <c r="F730" s="273">
        <v>6.1059999999999999</v>
      </c>
      <c r="G730" s="273">
        <f t="shared" si="14"/>
        <v>0.19339999999999957</v>
      </c>
    </row>
    <row r="731" spans="1:7" hidden="1">
      <c r="A731" s="245">
        <v>44151</v>
      </c>
      <c r="B731" s="245">
        <v>44153</v>
      </c>
      <c r="C731" s="273" t="s">
        <v>16</v>
      </c>
      <c r="D731" s="273">
        <v>51</v>
      </c>
      <c r="E731" s="273">
        <v>5.8756000000000004</v>
      </c>
      <c r="F731" s="273">
        <v>6.03</v>
      </c>
      <c r="G731" s="273">
        <f t="shared" si="14"/>
        <v>0.15439999999999987</v>
      </c>
    </row>
    <row r="732" spans="1:7" hidden="1">
      <c r="A732" s="245">
        <v>44151</v>
      </c>
      <c r="B732" s="245">
        <v>44153</v>
      </c>
      <c r="C732" s="273" t="s">
        <v>16</v>
      </c>
      <c r="D732" s="273">
        <v>52</v>
      </c>
      <c r="E732" s="273">
        <v>7.2023999999999999</v>
      </c>
      <c r="F732" s="273">
        <v>7.6898999999999997</v>
      </c>
      <c r="G732" s="273">
        <f t="shared" si="14"/>
        <v>0.48749999999999982</v>
      </c>
    </row>
    <row r="733" spans="1:7" hidden="1">
      <c r="A733" s="245">
        <v>44151</v>
      </c>
      <c r="B733" s="245">
        <v>44153</v>
      </c>
      <c r="C733" s="273" t="s">
        <v>24</v>
      </c>
      <c r="D733" s="273">
        <v>5</v>
      </c>
      <c r="E733" s="273">
        <v>7.0403000000000002</v>
      </c>
      <c r="F733" s="273">
        <v>7.4396000000000004</v>
      </c>
      <c r="G733" s="273">
        <f t="shared" si="14"/>
        <v>0.39930000000000021</v>
      </c>
    </row>
    <row r="734" spans="1:7" hidden="1">
      <c r="A734" s="245">
        <v>44151</v>
      </c>
      <c r="B734" s="245">
        <v>44153</v>
      </c>
      <c r="C734" s="273" t="s">
        <v>24</v>
      </c>
      <c r="D734" s="273">
        <v>6</v>
      </c>
      <c r="E734" s="273">
        <v>7.4485000000000001</v>
      </c>
      <c r="F734" s="273">
        <v>7.8364000000000003</v>
      </c>
      <c r="G734" s="273">
        <f t="shared" si="14"/>
        <v>0.38790000000000013</v>
      </c>
    </row>
    <row r="735" spans="1:7" hidden="1">
      <c r="A735" s="245">
        <v>44153</v>
      </c>
      <c r="B735" s="245">
        <v>44155</v>
      </c>
      <c r="C735" s="273" t="s">
        <v>8</v>
      </c>
      <c r="D735" s="273">
        <v>22</v>
      </c>
      <c r="E735" s="273">
        <v>6.1344000000000003</v>
      </c>
      <c r="F735" s="273">
        <v>6.1980000000000004</v>
      </c>
      <c r="G735" s="273">
        <f t="shared" si="14"/>
        <v>6.3600000000000101E-2</v>
      </c>
    </row>
    <row r="736" spans="1:7" hidden="1">
      <c r="A736" s="245">
        <v>44153</v>
      </c>
      <c r="B736" s="245">
        <v>44155</v>
      </c>
      <c r="C736" s="273" t="s">
        <v>8</v>
      </c>
      <c r="D736" s="273">
        <v>20</v>
      </c>
      <c r="E736" s="273">
        <v>6.8164999999999996</v>
      </c>
      <c r="F736" s="273">
        <v>6.9142999999999999</v>
      </c>
      <c r="G736" s="273">
        <f t="shared" si="14"/>
        <v>9.7800000000000331E-2</v>
      </c>
    </row>
    <row r="737" spans="1:7" hidden="1">
      <c r="A737" s="245">
        <v>44153</v>
      </c>
      <c r="B737" s="245">
        <v>44155</v>
      </c>
      <c r="C737" s="273" t="s">
        <v>19</v>
      </c>
      <c r="D737" s="273">
        <v>11</v>
      </c>
      <c r="E737" s="273">
        <v>6.4819000000000004</v>
      </c>
      <c r="F737" s="273">
        <v>7.5814000000000004</v>
      </c>
      <c r="G737" s="273">
        <f t="shared" si="14"/>
        <v>1.0994999999999999</v>
      </c>
    </row>
    <row r="738" spans="1:7" hidden="1">
      <c r="A738" s="245">
        <v>44153</v>
      </c>
      <c r="B738" s="245">
        <v>44155</v>
      </c>
      <c r="C738" s="273" t="s">
        <v>19</v>
      </c>
      <c r="D738" s="273">
        <v>10</v>
      </c>
      <c r="E738" s="273">
        <v>6.1993</v>
      </c>
      <c r="F738" s="273">
        <v>8.2346000000000004</v>
      </c>
      <c r="G738" s="273">
        <f t="shared" si="14"/>
        <v>2.0353000000000003</v>
      </c>
    </row>
    <row r="739" spans="1:7" hidden="1">
      <c r="A739" s="245">
        <v>44153</v>
      </c>
      <c r="B739" s="245">
        <v>44155</v>
      </c>
      <c r="C739" s="273" t="s">
        <v>11</v>
      </c>
      <c r="D739" s="273">
        <v>35</v>
      </c>
      <c r="E739" s="273">
        <v>5.9797000000000002</v>
      </c>
      <c r="F739" s="273">
        <v>6.2794999999999996</v>
      </c>
      <c r="G739" s="273">
        <f t="shared" si="14"/>
        <v>0.2997999999999994</v>
      </c>
    </row>
    <row r="740" spans="1:7" hidden="1">
      <c r="A740" s="245">
        <v>44153</v>
      </c>
      <c r="B740" s="245">
        <v>44155</v>
      </c>
      <c r="C740" s="273" t="s">
        <v>11</v>
      </c>
      <c r="D740" s="273">
        <v>36</v>
      </c>
      <c r="E740" s="273">
        <v>6.1177000000000001</v>
      </c>
      <c r="F740" s="273">
        <v>8.3862000000000005</v>
      </c>
      <c r="G740" s="273">
        <f t="shared" si="14"/>
        <v>2.2685000000000004</v>
      </c>
    </row>
    <row r="741" spans="1:7" hidden="1">
      <c r="A741" s="245">
        <v>44153</v>
      </c>
      <c r="B741" s="245">
        <v>44155</v>
      </c>
      <c r="C741" s="273" t="s">
        <v>16</v>
      </c>
      <c r="D741" s="273">
        <v>52</v>
      </c>
      <c r="E741" s="273">
        <v>6.5769000000000002</v>
      </c>
      <c r="F741" s="273">
        <v>11.2677</v>
      </c>
      <c r="G741" s="273">
        <f t="shared" si="14"/>
        <v>4.6907999999999994</v>
      </c>
    </row>
    <row r="742" spans="1:7" hidden="1">
      <c r="A742" s="245">
        <v>44153</v>
      </c>
      <c r="B742" s="245">
        <v>44155</v>
      </c>
      <c r="C742" s="273" t="s">
        <v>24</v>
      </c>
      <c r="D742" s="273">
        <v>5</v>
      </c>
      <c r="E742" s="273">
        <v>6.1513999999999998</v>
      </c>
      <c r="F742" s="273">
        <v>6.5644999999999998</v>
      </c>
      <c r="G742" s="273">
        <f t="shared" si="14"/>
        <v>0.41310000000000002</v>
      </c>
    </row>
    <row r="743" spans="1:7" hidden="1">
      <c r="A743" s="245">
        <v>44153</v>
      </c>
      <c r="B743" s="245">
        <v>44155</v>
      </c>
      <c r="C743" s="273" t="s">
        <v>24</v>
      </c>
      <c r="D743" s="273">
        <v>6</v>
      </c>
      <c r="E743" s="273">
        <v>6.6830999999999996</v>
      </c>
      <c r="F743" s="273">
        <v>7.3262</v>
      </c>
      <c r="G743" s="273">
        <f t="shared" si="14"/>
        <v>0.64310000000000045</v>
      </c>
    </row>
    <row r="744" spans="1:7" hidden="1">
      <c r="A744" s="245">
        <v>44155</v>
      </c>
      <c r="B744" s="245">
        <v>44158</v>
      </c>
      <c r="C744" s="273" t="s">
        <v>8</v>
      </c>
      <c r="D744" s="273">
        <v>20</v>
      </c>
      <c r="E744" s="273">
        <v>7.2756999999999996</v>
      </c>
      <c r="F744" s="273">
        <v>7.7992999999999997</v>
      </c>
      <c r="G744" s="273">
        <f t="shared" si="14"/>
        <v>0.52360000000000007</v>
      </c>
    </row>
    <row r="745" spans="1:7" hidden="1">
      <c r="A745" s="245">
        <v>44155</v>
      </c>
      <c r="B745" s="245">
        <v>44158</v>
      </c>
      <c r="C745" s="273" t="s">
        <v>8</v>
      </c>
      <c r="D745" s="273">
        <v>21</v>
      </c>
      <c r="E745" s="273">
        <v>6.6646000000000001</v>
      </c>
      <c r="F745" s="273">
        <v>6.7369000000000003</v>
      </c>
      <c r="G745" s="273">
        <f t="shared" si="14"/>
        <v>7.2300000000000253E-2</v>
      </c>
    </row>
    <row r="746" spans="1:7" hidden="1">
      <c r="A746" s="245">
        <v>44155</v>
      </c>
      <c r="B746" s="245">
        <v>44158</v>
      </c>
      <c r="C746" s="273" t="s">
        <v>19</v>
      </c>
      <c r="D746" s="273">
        <v>14</v>
      </c>
      <c r="E746" s="273">
        <v>6.3876999999999997</v>
      </c>
      <c r="F746" s="273">
        <v>7.0400999999999998</v>
      </c>
      <c r="G746" s="273">
        <f t="shared" si="14"/>
        <v>0.65240000000000009</v>
      </c>
    </row>
    <row r="747" spans="1:7" hidden="1">
      <c r="A747" s="245">
        <v>44155</v>
      </c>
      <c r="B747" s="245">
        <v>44158</v>
      </c>
      <c r="C747" s="273" t="s">
        <v>19</v>
      </c>
      <c r="D747" s="273">
        <v>15</v>
      </c>
      <c r="E747" s="273">
        <v>6.0346000000000002</v>
      </c>
      <c r="F747" s="273">
        <v>6.5795000000000003</v>
      </c>
      <c r="G747" s="273">
        <f t="shared" si="14"/>
        <v>0.54490000000000016</v>
      </c>
    </row>
    <row r="748" spans="1:7" hidden="1">
      <c r="A748" s="245">
        <v>44155</v>
      </c>
      <c r="B748" s="245">
        <v>44158</v>
      </c>
      <c r="C748" s="273" t="s">
        <v>19</v>
      </c>
      <c r="D748" s="273">
        <v>16</v>
      </c>
      <c r="E748" s="273">
        <v>5.7202999999999999</v>
      </c>
      <c r="F748" s="273">
        <v>6.6108000000000002</v>
      </c>
      <c r="G748" s="273">
        <f t="shared" si="14"/>
        <v>0.89050000000000029</v>
      </c>
    </row>
    <row r="749" spans="1:7" hidden="1">
      <c r="A749" s="245">
        <v>44155</v>
      </c>
      <c r="B749" s="245">
        <v>44158</v>
      </c>
      <c r="C749" s="273" t="s">
        <v>19</v>
      </c>
      <c r="D749" s="273">
        <v>17</v>
      </c>
      <c r="E749" s="273">
        <v>5.8548999999999998</v>
      </c>
      <c r="F749" s="273">
        <v>6.9778000000000002</v>
      </c>
      <c r="G749" s="273">
        <f t="shared" si="14"/>
        <v>1.1229000000000005</v>
      </c>
    </row>
    <row r="750" spans="1:7" hidden="1">
      <c r="A750" s="245">
        <v>44155</v>
      </c>
      <c r="B750" s="245">
        <v>44158</v>
      </c>
      <c r="C750" s="273" t="s">
        <v>11</v>
      </c>
      <c r="D750" s="273">
        <v>35</v>
      </c>
      <c r="E750" s="273">
        <v>5.7704000000000004</v>
      </c>
      <c r="F750" s="273">
        <v>6.1570999999999998</v>
      </c>
      <c r="G750" s="273">
        <f t="shared" si="14"/>
        <v>0.38669999999999938</v>
      </c>
    </row>
    <row r="751" spans="1:7" hidden="1">
      <c r="A751" s="245">
        <v>44155</v>
      </c>
      <c r="B751" s="245">
        <v>44158</v>
      </c>
      <c r="C751" s="273" t="s">
        <v>24</v>
      </c>
      <c r="D751" s="273">
        <v>5</v>
      </c>
      <c r="E751" s="273">
        <v>6.5658000000000003</v>
      </c>
      <c r="F751" s="273">
        <v>7.2173999999999996</v>
      </c>
      <c r="G751" s="273">
        <f t="shared" si="14"/>
        <v>0.65159999999999929</v>
      </c>
    </row>
    <row r="752" spans="1:7" hidden="1">
      <c r="A752" s="245">
        <v>44155</v>
      </c>
      <c r="B752" s="245">
        <v>44158</v>
      </c>
      <c r="C752" s="273" t="s">
        <v>18</v>
      </c>
      <c r="D752" s="273"/>
      <c r="E752" s="273">
        <v>6.3733000000000004</v>
      </c>
      <c r="F752" s="273">
        <v>6.6387999999999998</v>
      </c>
      <c r="G752" s="273">
        <f t="shared" si="14"/>
        <v>0.2654999999999994</v>
      </c>
    </row>
    <row r="753" spans="1:7" hidden="1">
      <c r="A753" s="245">
        <v>44158</v>
      </c>
      <c r="B753" s="245">
        <v>44160</v>
      </c>
      <c r="C753" s="273" t="s">
        <v>8</v>
      </c>
      <c r="D753" s="273">
        <v>20</v>
      </c>
      <c r="E753" s="273">
        <v>6.9084000000000003</v>
      </c>
      <c r="F753" s="273">
        <v>7.2173999999999996</v>
      </c>
      <c r="G753" s="273">
        <f t="shared" si="14"/>
        <v>0.30899999999999928</v>
      </c>
    </row>
    <row r="754" spans="1:7" hidden="1">
      <c r="A754" s="245">
        <v>44158</v>
      </c>
      <c r="B754" s="245">
        <v>44160</v>
      </c>
      <c r="C754" s="273" t="s">
        <v>24</v>
      </c>
      <c r="D754" s="273">
        <v>5</v>
      </c>
      <c r="E754" s="273">
        <v>6.0025000000000004</v>
      </c>
      <c r="F754" s="273">
        <v>6.3030999999999997</v>
      </c>
      <c r="G754" s="273">
        <f t="shared" si="14"/>
        <v>0.30059999999999931</v>
      </c>
    </row>
    <row r="755" spans="1:7" hidden="1">
      <c r="A755" s="245">
        <v>44158</v>
      </c>
      <c r="B755" s="245">
        <v>44160</v>
      </c>
      <c r="C755" s="273" t="s">
        <v>16</v>
      </c>
      <c r="D755" s="273">
        <v>51</v>
      </c>
      <c r="E755" s="273">
        <v>5.4112999999999998</v>
      </c>
      <c r="F755" s="273">
        <v>5.5728</v>
      </c>
      <c r="G755" s="273">
        <f t="shared" si="14"/>
        <v>0.1615000000000002</v>
      </c>
    </row>
    <row r="756" spans="1:7" hidden="1">
      <c r="A756" s="245">
        <v>44158</v>
      </c>
      <c r="B756" s="245">
        <v>44160</v>
      </c>
      <c r="C756" s="273" t="s">
        <v>16</v>
      </c>
      <c r="D756" s="273">
        <v>53</v>
      </c>
      <c r="E756" s="273">
        <v>6.0167999999999999</v>
      </c>
      <c r="F756" s="273">
        <v>6.1271000000000004</v>
      </c>
      <c r="G756" s="273">
        <f t="shared" si="14"/>
        <v>0.11030000000000051</v>
      </c>
    </row>
    <row r="757" spans="1:7" hidden="1">
      <c r="A757" s="245">
        <v>44158</v>
      </c>
      <c r="B757" s="245">
        <v>44160</v>
      </c>
      <c r="C757" s="273" t="s">
        <v>16</v>
      </c>
      <c r="D757" s="273">
        <v>52</v>
      </c>
      <c r="E757" s="273">
        <v>6.4160000000000004</v>
      </c>
      <c r="F757" s="273">
        <v>6.9885000000000002</v>
      </c>
      <c r="G757" s="273">
        <f t="shared" si="14"/>
        <v>0.57249999999999979</v>
      </c>
    </row>
    <row r="758" spans="1:7" hidden="1">
      <c r="A758" s="245">
        <v>44158</v>
      </c>
      <c r="B758" s="245">
        <v>44160</v>
      </c>
      <c r="C758" s="273" t="s">
        <v>18</v>
      </c>
      <c r="D758" s="273"/>
      <c r="E758" s="273">
        <v>6.8315999999999999</v>
      </c>
      <c r="F758" s="273">
        <v>6.9180000000000001</v>
      </c>
      <c r="G758" s="273">
        <f t="shared" si="14"/>
        <v>8.6400000000000254E-2</v>
      </c>
    </row>
    <row r="759" spans="1:7" hidden="1">
      <c r="A759" s="245">
        <v>44158</v>
      </c>
      <c r="B759" s="245">
        <v>44160</v>
      </c>
      <c r="C759" s="273" t="s">
        <v>11</v>
      </c>
      <c r="D759" s="273">
        <v>36</v>
      </c>
      <c r="E759" s="273">
        <v>6.4607000000000001</v>
      </c>
      <c r="F759" s="273">
        <v>6.8335999999999997</v>
      </c>
      <c r="G759" s="273">
        <f t="shared" si="14"/>
        <v>0.37289999999999957</v>
      </c>
    </row>
    <row r="760" spans="1:7" hidden="1">
      <c r="A760" s="245">
        <v>44158</v>
      </c>
      <c r="B760" s="245">
        <v>44160</v>
      </c>
      <c r="C760" s="273" t="s">
        <v>11</v>
      </c>
      <c r="D760" s="273">
        <v>35</v>
      </c>
      <c r="E760" s="273">
        <v>5.6238999999999999</v>
      </c>
      <c r="F760" s="273">
        <v>5.9827000000000004</v>
      </c>
      <c r="G760" s="273">
        <f t="shared" si="14"/>
        <v>0.35880000000000045</v>
      </c>
    </row>
    <row r="761" spans="1:7" hidden="1">
      <c r="A761" s="245">
        <v>44158</v>
      </c>
      <c r="B761" s="245">
        <v>44160</v>
      </c>
      <c r="C761" s="273" t="s">
        <v>19</v>
      </c>
      <c r="D761" s="273">
        <v>18</v>
      </c>
      <c r="E761" s="273">
        <v>6.4179000000000004</v>
      </c>
      <c r="F761" s="273">
        <v>6.5919999999999996</v>
      </c>
      <c r="G761" s="273">
        <f t="shared" si="14"/>
        <v>0.17409999999999926</v>
      </c>
    </row>
    <row r="762" spans="1:7" hidden="1">
      <c r="A762" s="245">
        <v>44158</v>
      </c>
      <c r="B762" s="245">
        <v>44160</v>
      </c>
      <c r="C762" s="273" t="s">
        <v>19</v>
      </c>
      <c r="D762" s="273">
        <v>20</v>
      </c>
      <c r="E762" s="273">
        <v>5.8395000000000001</v>
      </c>
      <c r="F762" s="273">
        <v>5.9939</v>
      </c>
      <c r="G762" s="273">
        <f t="shared" si="14"/>
        <v>0.15439999999999987</v>
      </c>
    </row>
    <row r="763" spans="1:7" hidden="1">
      <c r="A763" s="245">
        <v>44158</v>
      </c>
      <c r="B763" s="245">
        <v>44160</v>
      </c>
      <c r="C763" s="273" t="s">
        <v>19</v>
      </c>
      <c r="D763" s="273">
        <v>11</v>
      </c>
      <c r="E763" s="273">
        <v>6.5270999999999999</v>
      </c>
      <c r="F763" s="273">
        <v>7.0755999999999997</v>
      </c>
      <c r="G763" s="273">
        <f t="shared" si="14"/>
        <v>0.54849999999999977</v>
      </c>
    </row>
    <row r="764" spans="1:7" hidden="1">
      <c r="A764" s="245">
        <v>44158</v>
      </c>
      <c r="B764" s="245">
        <v>44160</v>
      </c>
      <c r="C764" s="273" t="s">
        <v>19</v>
      </c>
      <c r="D764" s="273">
        <v>14</v>
      </c>
      <c r="E764" s="273">
        <v>6.4287999999999998</v>
      </c>
      <c r="F764" s="273">
        <v>8.1312999999999995</v>
      </c>
      <c r="G764" s="273">
        <f t="shared" si="14"/>
        <v>1.7024999999999997</v>
      </c>
    </row>
    <row r="765" spans="1:7" hidden="1">
      <c r="A765" s="245">
        <v>44158</v>
      </c>
      <c r="B765" s="245">
        <v>44160</v>
      </c>
      <c r="C765" s="273" t="s">
        <v>19</v>
      </c>
      <c r="D765" s="273">
        <v>15</v>
      </c>
      <c r="E765" s="273">
        <v>6.0381</v>
      </c>
      <c r="F765" s="273">
        <v>6.7066999999999997</v>
      </c>
      <c r="G765" s="273">
        <f t="shared" si="14"/>
        <v>0.66859999999999964</v>
      </c>
    </row>
    <row r="766" spans="1:7" hidden="1">
      <c r="A766" s="245">
        <v>44158</v>
      </c>
      <c r="B766" s="245">
        <v>44160</v>
      </c>
      <c r="C766" s="273" t="s">
        <v>19</v>
      </c>
      <c r="D766" s="273">
        <v>17</v>
      </c>
      <c r="E766" s="273">
        <v>6.1059000000000001</v>
      </c>
      <c r="F766" s="273">
        <v>9.8779000000000003</v>
      </c>
      <c r="G766" s="273">
        <f t="shared" si="14"/>
        <v>3.7720000000000002</v>
      </c>
    </row>
    <row r="767" spans="1:7" hidden="1">
      <c r="A767" s="245">
        <v>44158</v>
      </c>
      <c r="B767" s="245">
        <v>44160</v>
      </c>
      <c r="C767" s="273" t="s">
        <v>19</v>
      </c>
      <c r="D767" s="273">
        <v>12</v>
      </c>
      <c r="E767" s="273">
        <v>5.8136999999999999</v>
      </c>
      <c r="F767" s="273">
        <v>5.9553000000000003</v>
      </c>
      <c r="G767" s="273">
        <f t="shared" si="14"/>
        <v>0.14160000000000039</v>
      </c>
    </row>
    <row r="768" spans="1:7" hidden="1">
      <c r="A768" s="245">
        <v>44158</v>
      </c>
      <c r="B768" s="245">
        <v>44160</v>
      </c>
      <c r="C768" s="273" t="s">
        <v>19</v>
      </c>
      <c r="D768" s="273">
        <v>16</v>
      </c>
      <c r="E768" s="273">
        <v>6.3682999999999996</v>
      </c>
      <c r="F768" s="273">
        <v>8.3979999999999997</v>
      </c>
      <c r="G768" s="273">
        <f t="shared" si="14"/>
        <v>2.0297000000000001</v>
      </c>
    </row>
    <row r="769" spans="1:11" hidden="1">
      <c r="A769" s="245">
        <v>44158</v>
      </c>
      <c r="B769" s="245">
        <v>44160</v>
      </c>
      <c r="C769" s="273" t="s">
        <v>19</v>
      </c>
      <c r="D769" s="273">
        <v>13</v>
      </c>
      <c r="E769" s="273">
        <v>6.5926999999999998</v>
      </c>
      <c r="F769" s="273">
        <v>6.8472999999999997</v>
      </c>
      <c r="G769" s="273">
        <f t="shared" si="14"/>
        <v>0.25459999999999994</v>
      </c>
      <c r="H769" s="273"/>
      <c r="I769" s="273"/>
      <c r="J769" s="273"/>
      <c r="K769" s="273"/>
    </row>
    <row r="770" spans="1:11" hidden="1">
      <c r="A770" s="245">
        <v>44158</v>
      </c>
      <c r="B770" s="245">
        <v>44160</v>
      </c>
      <c r="C770" s="273" t="s">
        <v>26</v>
      </c>
      <c r="D770" s="273"/>
      <c r="E770" s="273">
        <v>6.3231000000000002</v>
      </c>
      <c r="F770" s="273">
        <v>6.4672999999999998</v>
      </c>
      <c r="G770" s="273">
        <f t="shared" si="14"/>
        <v>0.14419999999999966</v>
      </c>
      <c r="H770" s="273"/>
      <c r="I770" s="273"/>
      <c r="J770" s="273"/>
      <c r="K770" s="273"/>
    </row>
    <row r="771" spans="1:11" hidden="1">
      <c r="A771" s="245">
        <v>44158</v>
      </c>
      <c r="B771" s="245">
        <v>44160</v>
      </c>
      <c r="C771" s="273" t="s">
        <v>26</v>
      </c>
      <c r="D771" s="273"/>
      <c r="E771" s="273">
        <v>5.1963999999999997</v>
      </c>
      <c r="F771" s="273">
        <v>5.2817999999999996</v>
      </c>
      <c r="G771" s="273">
        <f t="shared" si="14"/>
        <v>8.539999999999992E-2</v>
      </c>
      <c r="H771" s="273"/>
      <c r="I771" s="273"/>
      <c r="J771" s="273"/>
      <c r="K771" s="273"/>
    </row>
    <row r="772" spans="1:11" hidden="1">
      <c r="A772" s="245">
        <v>44160</v>
      </c>
      <c r="B772" s="245">
        <v>44162</v>
      </c>
      <c r="C772" s="273" t="s">
        <v>8</v>
      </c>
      <c r="D772" s="273">
        <v>20</v>
      </c>
      <c r="E772" s="273">
        <v>6.0983999999999998</v>
      </c>
      <c r="F772" s="273">
        <v>6.4974999999999996</v>
      </c>
      <c r="G772" s="273">
        <f t="shared" si="14"/>
        <v>0.39909999999999979</v>
      </c>
      <c r="H772" s="273"/>
      <c r="I772" s="273"/>
      <c r="J772" s="273"/>
      <c r="K772" s="273"/>
    </row>
    <row r="773" spans="1:11" hidden="1">
      <c r="A773" s="245">
        <v>44160</v>
      </c>
      <c r="B773" s="245">
        <v>44162</v>
      </c>
      <c r="C773" s="273" t="s">
        <v>19</v>
      </c>
      <c r="D773" s="273">
        <v>16</v>
      </c>
      <c r="E773" s="273">
        <v>5.9173999999999998</v>
      </c>
      <c r="F773" s="273">
        <v>7.2888000000000002</v>
      </c>
      <c r="G773" s="273">
        <f t="shared" si="14"/>
        <v>1.3714000000000004</v>
      </c>
      <c r="H773" s="273"/>
      <c r="I773" s="273"/>
      <c r="J773" s="273"/>
      <c r="K773" s="273"/>
    </row>
    <row r="774" spans="1:11" hidden="1">
      <c r="A774" s="245">
        <v>44160</v>
      </c>
      <c r="B774" s="245">
        <v>44162</v>
      </c>
      <c r="C774" s="273" t="s">
        <v>19</v>
      </c>
      <c r="D774" s="273">
        <v>13</v>
      </c>
      <c r="E774" s="273">
        <v>7.0720000000000001</v>
      </c>
      <c r="F774" s="273">
        <v>7.5186000000000002</v>
      </c>
      <c r="G774" s="273">
        <f t="shared" si="14"/>
        <v>0.44660000000000011</v>
      </c>
      <c r="H774" s="273"/>
      <c r="I774" s="273"/>
      <c r="J774" s="273"/>
      <c r="K774" s="273"/>
    </row>
    <row r="775" spans="1:11" hidden="1">
      <c r="A775" s="245">
        <v>44160</v>
      </c>
      <c r="B775" s="245">
        <v>44162</v>
      </c>
      <c r="C775" s="273" t="s">
        <v>19</v>
      </c>
      <c r="D775" s="273">
        <v>12</v>
      </c>
      <c r="E775" s="273">
        <v>7.6505000000000001</v>
      </c>
      <c r="F775" s="273">
        <v>7.7962999999999996</v>
      </c>
      <c r="G775" s="273">
        <f t="shared" si="14"/>
        <v>0.14579999999999949</v>
      </c>
      <c r="H775" s="273"/>
      <c r="I775" s="273"/>
      <c r="J775" s="273"/>
      <c r="K775" s="273"/>
    </row>
    <row r="776" spans="1:11" hidden="1">
      <c r="A776" s="245">
        <v>44160</v>
      </c>
      <c r="B776" s="245">
        <v>44162</v>
      </c>
      <c r="C776" s="273" t="s">
        <v>19</v>
      </c>
      <c r="D776" s="273">
        <v>19</v>
      </c>
      <c r="E776" s="273">
        <v>6.2304000000000004</v>
      </c>
      <c r="F776" s="273">
        <v>6.5654000000000003</v>
      </c>
      <c r="G776" s="273">
        <f>F776-E776</f>
        <v>0.33499999999999996</v>
      </c>
      <c r="H776" s="273"/>
      <c r="I776" s="273"/>
      <c r="J776" s="273"/>
      <c r="K776" s="273"/>
    </row>
    <row r="777" spans="1:11" hidden="1">
      <c r="A777" s="245">
        <v>44160</v>
      </c>
      <c r="B777" s="245">
        <v>44162</v>
      </c>
      <c r="C777" s="273" t="s">
        <v>19</v>
      </c>
      <c r="D777" s="273">
        <v>20</v>
      </c>
      <c r="E777" s="273">
        <v>5.8135000000000003</v>
      </c>
      <c r="F777" s="273">
        <v>5.8891999999999998</v>
      </c>
      <c r="G777" s="273">
        <f>F777-E777</f>
        <v>7.5699999999999434E-2</v>
      </c>
      <c r="H777" s="273"/>
      <c r="I777" s="273"/>
      <c r="J777" s="273"/>
      <c r="K777" s="273"/>
    </row>
    <row r="778" spans="1:11" hidden="1">
      <c r="A778" s="245">
        <v>44160</v>
      </c>
      <c r="B778" s="245">
        <v>44162</v>
      </c>
      <c r="C778" s="273" t="s">
        <v>19</v>
      </c>
      <c r="D778" s="273">
        <v>18</v>
      </c>
      <c r="E778" s="273">
        <v>6.6380999999999997</v>
      </c>
      <c r="F778" s="273">
        <v>6.8715000000000002</v>
      </c>
      <c r="G778" s="273">
        <f>F778-E778</f>
        <v>0.2334000000000005</v>
      </c>
      <c r="H778" s="273"/>
      <c r="I778" s="273"/>
      <c r="J778" s="273"/>
      <c r="K778" s="273"/>
    </row>
    <row r="779" spans="1:11" hidden="1">
      <c r="A779" s="245">
        <v>44160</v>
      </c>
      <c r="B779" s="245">
        <v>44162</v>
      </c>
      <c r="C779" s="273" t="s">
        <v>19</v>
      </c>
      <c r="D779" s="273">
        <v>11</v>
      </c>
      <c r="E779" s="273">
        <v>6.2442000000000002</v>
      </c>
      <c r="F779" s="273">
        <v>6.5159000000000002</v>
      </c>
      <c r="G779" s="273">
        <f>F779-E779</f>
        <v>0.27170000000000005</v>
      </c>
      <c r="H779" s="273"/>
      <c r="I779" s="273"/>
      <c r="J779" s="273"/>
      <c r="K779" s="273"/>
    </row>
    <row r="780" spans="1:11" hidden="1">
      <c r="A780" s="245">
        <v>44160</v>
      </c>
      <c r="B780" s="245">
        <v>44162</v>
      </c>
      <c r="C780" s="273" t="s">
        <v>19</v>
      </c>
      <c r="D780" s="273">
        <v>10</v>
      </c>
      <c r="E780" s="273">
        <v>6.3075999999999999</v>
      </c>
      <c r="F780" s="273">
        <v>6.3638000000000003</v>
      </c>
      <c r="G780" s="273">
        <f>F780-E780</f>
        <v>5.6200000000000472E-2</v>
      </c>
      <c r="H780" s="273"/>
      <c r="I780" s="273"/>
      <c r="J780" s="273"/>
      <c r="K780" s="273"/>
    </row>
    <row r="781" spans="1:11" hidden="1">
      <c r="A781" s="245">
        <v>44160</v>
      </c>
      <c r="B781" s="245">
        <v>44162</v>
      </c>
      <c r="C781" s="273" t="s">
        <v>19</v>
      </c>
      <c r="D781" s="273">
        <v>15</v>
      </c>
      <c r="E781" s="273">
        <v>7.2305000000000001</v>
      </c>
      <c r="F781" s="273">
        <v>8.9105000000000008</v>
      </c>
      <c r="G781" s="273">
        <f>F781-E781</f>
        <v>1.6800000000000006</v>
      </c>
      <c r="H781" s="273"/>
      <c r="I781" s="273"/>
      <c r="J781" s="273"/>
      <c r="K781" s="273"/>
    </row>
    <row r="782" spans="1:11" hidden="1">
      <c r="A782" s="245">
        <v>44160</v>
      </c>
      <c r="B782" s="245">
        <v>44162</v>
      </c>
      <c r="C782" s="273" t="s">
        <v>19</v>
      </c>
      <c r="D782" s="273">
        <v>17</v>
      </c>
      <c r="E782" s="273">
        <v>6.9497</v>
      </c>
      <c r="F782" s="273">
        <v>11.237399999999999</v>
      </c>
      <c r="G782" s="273">
        <f>F782-E782</f>
        <v>4.2876999999999992</v>
      </c>
      <c r="H782" s="273"/>
      <c r="I782" s="273"/>
      <c r="J782" s="273"/>
      <c r="K782" s="273"/>
    </row>
    <row r="783" spans="1:11" hidden="1">
      <c r="A783" s="245">
        <v>44160</v>
      </c>
      <c r="B783" s="245">
        <v>44162</v>
      </c>
      <c r="C783" s="273" t="s">
        <v>19</v>
      </c>
      <c r="D783" s="273">
        <v>14</v>
      </c>
      <c r="E783" s="273">
        <v>6.1974999999999998</v>
      </c>
      <c r="F783" s="273">
        <v>9.0183</v>
      </c>
      <c r="G783" s="273">
        <f>F783-E783</f>
        <v>2.8208000000000002</v>
      </c>
      <c r="H783" s="273"/>
      <c r="I783" s="273"/>
      <c r="J783" s="273"/>
      <c r="K783" s="273"/>
    </row>
    <row r="784" spans="1:11" hidden="1">
      <c r="A784" s="245">
        <v>44160</v>
      </c>
      <c r="B784" s="245">
        <v>44162</v>
      </c>
      <c r="C784" s="273" t="s">
        <v>11</v>
      </c>
      <c r="D784" s="273">
        <v>35</v>
      </c>
      <c r="E784" s="273">
        <v>6.6211000000000002</v>
      </c>
      <c r="F784" s="273">
        <v>7.0742000000000003</v>
      </c>
      <c r="G784" s="273">
        <f t="shared" ref="G784:G825" si="15">F784-E784</f>
        <v>0.45310000000000006</v>
      </c>
      <c r="H784" s="273"/>
      <c r="I784" s="273"/>
      <c r="J784" s="273"/>
      <c r="K784" s="273"/>
    </row>
    <row r="785" spans="1:7" hidden="1">
      <c r="A785" s="245">
        <v>44160</v>
      </c>
      <c r="B785" s="245">
        <v>44162</v>
      </c>
      <c r="C785" s="273" t="s">
        <v>11</v>
      </c>
      <c r="D785" s="273">
        <v>36</v>
      </c>
      <c r="E785" s="273">
        <v>5.3483000000000001</v>
      </c>
      <c r="F785" s="273">
        <v>5.4377000000000004</v>
      </c>
      <c r="G785" s="273">
        <f t="shared" si="15"/>
        <v>8.9400000000000368E-2</v>
      </c>
    </row>
    <row r="786" spans="1:7" hidden="1">
      <c r="A786" s="245">
        <v>44160</v>
      </c>
      <c r="B786" s="245">
        <v>44162</v>
      </c>
      <c r="C786" s="273" t="s">
        <v>11</v>
      </c>
      <c r="D786" s="273">
        <v>37</v>
      </c>
      <c r="E786" s="273">
        <v>6.6353999999999997</v>
      </c>
      <c r="F786" s="273">
        <v>6.6966999999999999</v>
      </c>
      <c r="G786" s="273">
        <f t="shared" si="15"/>
        <v>6.1300000000000132E-2</v>
      </c>
    </row>
    <row r="787" spans="1:7" hidden="1">
      <c r="A787" s="245">
        <v>44160</v>
      </c>
      <c r="B787" s="245">
        <v>44162</v>
      </c>
      <c r="C787" s="273" t="s">
        <v>11</v>
      </c>
      <c r="D787" s="273">
        <v>39</v>
      </c>
      <c r="E787" s="273">
        <v>7.0651000000000002</v>
      </c>
      <c r="F787" s="273">
        <v>7.3254000000000001</v>
      </c>
      <c r="G787" s="273">
        <f t="shared" si="15"/>
        <v>0.26029999999999998</v>
      </c>
    </row>
    <row r="788" spans="1:7" hidden="1">
      <c r="A788" s="245">
        <v>44160</v>
      </c>
      <c r="B788" s="245">
        <v>44162</v>
      </c>
      <c r="C788" s="273" t="s">
        <v>11</v>
      </c>
      <c r="D788" s="273">
        <v>38</v>
      </c>
      <c r="E788" s="273">
        <v>6.1193999999999997</v>
      </c>
      <c r="F788" s="273">
        <v>6.2427999999999999</v>
      </c>
      <c r="G788" s="273">
        <f t="shared" si="15"/>
        <v>0.12340000000000018</v>
      </c>
    </row>
    <row r="789" spans="1:7" hidden="1">
      <c r="A789" s="245">
        <v>44160</v>
      </c>
      <c r="B789" s="245">
        <v>44162</v>
      </c>
      <c r="C789" s="273" t="s">
        <v>16</v>
      </c>
      <c r="D789" s="273">
        <v>54</v>
      </c>
      <c r="E789" s="273">
        <v>6.2504999999999997</v>
      </c>
      <c r="F789" s="273">
        <v>6.3749000000000002</v>
      </c>
      <c r="G789" s="273">
        <f t="shared" si="15"/>
        <v>0.12440000000000051</v>
      </c>
    </row>
    <row r="790" spans="1:7" hidden="1">
      <c r="A790" s="245">
        <v>44160</v>
      </c>
      <c r="B790" s="245">
        <v>44162</v>
      </c>
      <c r="C790" s="273" t="s">
        <v>16</v>
      </c>
      <c r="D790" s="273">
        <v>53</v>
      </c>
      <c r="E790" s="273">
        <v>6.7035</v>
      </c>
      <c r="F790" s="273">
        <v>6.8771000000000004</v>
      </c>
      <c r="G790" s="273">
        <f t="shared" si="15"/>
        <v>0.17360000000000042</v>
      </c>
    </row>
    <row r="791" spans="1:7" hidden="1">
      <c r="A791" s="245">
        <v>44160</v>
      </c>
      <c r="B791" s="245">
        <v>44162</v>
      </c>
      <c r="C791" s="273" t="s">
        <v>16</v>
      </c>
      <c r="D791" s="273">
        <v>52</v>
      </c>
      <c r="E791" s="273">
        <v>6.0669000000000004</v>
      </c>
      <c r="F791" s="273">
        <v>6.7755000000000001</v>
      </c>
      <c r="G791" s="273">
        <f t="shared" si="15"/>
        <v>0.70859999999999967</v>
      </c>
    </row>
    <row r="792" spans="1:7" hidden="1">
      <c r="A792" s="245">
        <v>44160</v>
      </c>
      <c r="B792" s="245">
        <v>44162</v>
      </c>
      <c r="C792" s="273" t="s">
        <v>16</v>
      </c>
      <c r="D792" s="273">
        <v>51</v>
      </c>
      <c r="E792" s="273">
        <v>5.7034000000000002</v>
      </c>
      <c r="F792" s="273">
        <v>6.0052000000000003</v>
      </c>
      <c r="G792" s="273">
        <f t="shared" si="15"/>
        <v>0.30180000000000007</v>
      </c>
    </row>
    <row r="793" spans="1:7" hidden="1">
      <c r="A793" s="245">
        <v>44160</v>
      </c>
      <c r="B793" s="245">
        <v>44162</v>
      </c>
      <c r="C793" s="273" t="s">
        <v>24</v>
      </c>
      <c r="D793" s="273">
        <v>7</v>
      </c>
      <c r="E793" s="273">
        <v>6.9134000000000002</v>
      </c>
      <c r="F793" s="273">
        <v>9.3751999999999995</v>
      </c>
      <c r="G793" s="273">
        <f t="shared" si="15"/>
        <v>2.4617999999999993</v>
      </c>
    </row>
    <row r="794" spans="1:7" hidden="1">
      <c r="A794" s="245">
        <v>44160</v>
      </c>
      <c r="B794" s="245">
        <v>44162</v>
      </c>
      <c r="C794" s="273" t="s">
        <v>24</v>
      </c>
      <c r="D794" s="273">
        <v>5</v>
      </c>
      <c r="E794" s="273">
        <v>6.6414999999999997</v>
      </c>
      <c r="F794" s="273">
        <v>6.8372000000000002</v>
      </c>
      <c r="G794" s="273">
        <f t="shared" si="15"/>
        <v>0.19570000000000043</v>
      </c>
    </row>
    <row r="795" spans="1:7" hidden="1">
      <c r="A795" s="245">
        <v>44160</v>
      </c>
      <c r="B795" s="245">
        <v>44162</v>
      </c>
      <c r="C795" s="273" t="s">
        <v>24</v>
      </c>
      <c r="D795" s="273">
        <v>7</v>
      </c>
      <c r="E795" s="273">
        <v>6.9740000000000002</v>
      </c>
      <c r="F795" s="273">
        <v>7.1071999999999997</v>
      </c>
      <c r="G795" s="273">
        <f t="shared" si="15"/>
        <v>0.13319999999999954</v>
      </c>
    </row>
    <row r="796" spans="1:7" hidden="1">
      <c r="A796" s="245">
        <v>44160</v>
      </c>
      <c r="B796" s="245">
        <v>44162</v>
      </c>
      <c r="C796" s="273" t="s">
        <v>18</v>
      </c>
      <c r="D796" s="273"/>
      <c r="E796" s="273">
        <v>6.0514000000000001</v>
      </c>
      <c r="F796" s="273">
        <v>6.1276000000000002</v>
      </c>
      <c r="G796" s="273">
        <f t="shared" si="15"/>
        <v>7.6200000000000045E-2</v>
      </c>
    </row>
    <row r="797" spans="1:7" hidden="1">
      <c r="A797" s="245">
        <v>44160</v>
      </c>
      <c r="B797" s="245">
        <v>44162</v>
      </c>
      <c r="C797" s="273" t="s">
        <v>26</v>
      </c>
      <c r="D797" s="273"/>
      <c r="E797" s="273">
        <v>5.9081000000000001</v>
      </c>
      <c r="F797" s="273">
        <v>5.9135</v>
      </c>
      <c r="G797" s="273">
        <f t="shared" si="15"/>
        <v>5.3999999999998494E-3</v>
      </c>
    </row>
    <row r="798" spans="1:7" hidden="1">
      <c r="A798" s="245">
        <v>44160</v>
      </c>
      <c r="B798" s="245">
        <v>44162</v>
      </c>
      <c r="C798" s="273" t="s">
        <v>26</v>
      </c>
      <c r="D798" s="273"/>
      <c r="E798" s="273">
        <v>6.0212000000000003</v>
      </c>
      <c r="F798" s="273">
        <v>6.0721999999999996</v>
      </c>
      <c r="G798" s="273">
        <f t="shared" si="15"/>
        <v>5.0999999999999268E-2</v>
      </c>
    </row>
    <row r="799" spans="1:7" hidden="1">
      <c r="A799" s="245">
        <v>44162</v>
      </c>
      <c r="B799" s="245">
        <v>44165</v>
      </c>
      <c r="C799" s="273" t="s">
        <v>19</v>
      </c>
      <c r="D799" s="273">
        <v>19</v>
      </c>
      <c r="E799" s="273">
        <v>6.7473000000000001</v>
      </c>
      <c r="F799" s="273">
        <v>10.0886</v>
      </c>
      <c r="G799" s="273">
        <f t="shared" si="15"/>
        <v>3.3412999999999995</v>
      </c>
    </row>
    <row r="800" spans="1:7" hidden="1">
      <c r="A800" s="245">
        <v>44162</v>
      </c>
      <c r="B800" s="245">
        <v>44165</v>
      </c>
      <c r="C800" s="273" t="s">
        <v>19</v>
      </c>
      <c r="D800" s="273">
        <v>11</v>
      </c>
      <c r="E800" s="273">
        <v>6.2267000000000001</v>
      </c>
      <c r="F800" s="273">
        <v>6.3914999999999997</v>
      </c>
      <c r="G800" s="273">
        <f t="shared" si="15"/>
        <v>0.16479999999999961</v>
      </c>
    </row>
    <row r="801" spans="1:8" hidden="1">
      <c r="A801" s="245">
        <v>44162</v>
      </c>
      <c r="B801" s="245">
        <v>44165</v>
      </c>
      <c r="C801" s="273" t="s">
        <v>19</v>
      </c>
      <c r="D801" s="273">
        <v>13</v>
      </c>
      <c r="E801" s="273">
        <v>4.8491999999999997</v>
      </c>
      <c r="F801" s="273">
        <v>5.7919</v>
      </c>
      <c r="G801" s="273">
        <f t="shared" si="15"/>
        <v>0.94270000000000032</v>
      </c>
      <c r="H801" s="273"/>
    </row>
    <row r="802" spans="1:8" hidden="1">
      <c r="A802" s="245">
        <v>44162</v>
      </c>
      <c r="B802" s="245">
        <v>44165</v>
      </c>
      <c r="C802" s="273" t="s">
        <v>19</v>
      </c>
      <c r="D802" s="273">
        <v>16</v>
      </c>
      <c r="E802" s="273">
        <v>0</v>
      </c>
      <c r="F802" s="273">
        <v>0.43140000000000001</v>
      </c>
      <c r="G802" s="273">
        <f t="shared" si="15"/>
        <v>0.43140000000000001</v>
      </c>
      <c r="H802" s="273">
        <f>SUM(G802:G807)</f>
        <v>5.6554000000000002</v>
      </c>
    </row>
    <row r="803" spans="1:8" hidden="1">
      <c r="A803" s="245">
        <v>44162</v>
      </c>
      <c r="B803" s="245">
        <v>44165</v>
      </c>
      <c r="C803" s="273" t="s">
        <v>19</v>
      </c>
      <c r="D803" s="273">
        <v>15</v>
      </c>
      <c r="E803" s="273">
        <v>0</v>
      </c>
      <c r="F803" s="273">
        <v>1.2352000000000001</v>
      </c>
      <c r="G803" s="273">
        <f t="shared" si="15"/>
        <v>1.2352000000000001</v>
      </c>
      <c r="H803" s="273"/>
    </row>
    <row r="804" spans="1:8" hidden="1">
      <c r="A804" s="245">
        <v>44162</v>
      </c>
      <c r="B804" s="245">
        <v>44165</v>
      </c>
      <c r="C804" s="273" t="s">
        <v>19</v>
      </c>
      <c r="D804" s="273">
        <v>17</v>
      </c>
      <c r="E804" s="273">
        <v>0</v>
      </c>
      <c r="F804" s="273">
        <v>2.1917</v>
      </c>
      <c r="G804" s="273">
        <f t="shared" si="15"/>
        <v>2.1917</v>
      </c>
      <c r="H804" s="273"/>
    </row>
    <row r="805" spans="1:8" hidden="1">
      <c r="A805" s="245">
        <v>44162</v>
      </c>
      <c r="B805" s="245">
        <v>44165</v>
      </c>
      <c r="C805" s="273" t="s">
        <v>19</v>
      </c>
      <c r="D805" s="273">
        <v>10</v>
      </c>
      <c r="E805" s="273">
        <v>0</v>
      </c>
      <c r="F805" s="273">
        <v>0.02</v>
      </c>
      <c r="G805" s="273">
        <f t="shared" si="15"/>
        <v>0.02</v>
      </c>
      <c r="H805" s="273"/>
    </row>
    <row r="806" spans="1:8" hidden="1">
      <c r="A806" s="245">
        <v>44162</v>
      </c>
      <c r="B806" s="245">
        <v>44165</v>
      </c>
      <c r="C806" s="273" t="s">
        <v>19</v>
      </c>
      <c r="D806" s="273">
        <v>12</v>
      </c>
      <c r="E806" s="273">
        <v>0</v>
      </c>
      <c r="F806" s="273">
        <v>6.9000000000000006E-2</v>
      </c>
      <c r="G806" s="273">
        <f t="shared" si="15"/>
        <v>6.9000000000000006E-2</v>
      </c>
      <c r="H806" s="273"/>
    </row>
    <row r="807" spans="1:8" hidden="1">
      <c r="A807" s="245">
        <v>44162</v>
      </c>
      <c r="B807" s="245">
        <v>44165</v>
      </c>
      <c r="C807" s="273" t="s">
        <v>19</v>
      </c>
      <c r="D807" s="273">
        <v>14</v>
      </c>
      <c r="E807" s="273">
        <v>0</v>
      </c>
      <c r="F807" s="273">
        <v>1.7081</v>
      </c>
      <c r="G807" s="273">
        <f t="shared" si="15"/>
        <v>1.7081</v>
      </c>
      <c r="H807" s="273"/>
    </row>
    <row r="808" spans="1:8" hidden="1">
      <c r="A808" s="245">
        <v>44162</v>
      </c>
      <c r="B808" s="245">
        <v>44165</v>
      </c>
      <c r="C808" s="273" t="s">
        <v>11</v>
      </c>
      <c r="D808" s="273">
        <v>35</v>
      </c>
      <c r="E808" s="273">
        <v>0</v>
      </c>
      <c r="F808" s="273">
        <v>0.74829999999999997</v>
      </c>
      <c r="G808" s="273">
        <f t="shared" si="15"/>
        <v>0.74829999999999997</v>
      </c>
      <c r="H808" s="273"/>
    </row>
    <row r="809" spans="1:8" hidden="1">
      <c r="A809" s="245">
        <v>44162</v>
      </c>
      <c r="B809" s="245">
        <v>44165</v>
      </c>
      <c r="C809" s="273" t="s">
        <v>24</v>
      </c>
      <c r="D809" s="273">
        <v>5</v>
      </c>
      <c r="E809" s="273">
        <v>0</v>
      </c>
      <c r="F809" s="273">
        <v>3.56E-2</v>
      </c>
      <c r="G809" s="273">
        <f t="shared" si="15"/>
        <v>3.56E-2</v>
      </c>
      <c r="H809" s="273"/>
    </row>
    <row r="810" spans="1:8" hidden="1">
      <c r="A810" s="245">
        <v>44162</v>
      </c>
      <c r="B810" s="245">
        <v>44165</v>
      </c>
      <c r="C810" s="273" t="s">
        <v>16</v>
      </c>
      <c r="D810" s="273">
        <v>52</v>
      </c>
      <c r="E810" s="273">
        <v>6.5590000000000002</v>
      </c>
      <c r="F810" s="273">
        <v>6.8357999999999999</v>
      </c>
      <c r="G810" s="273">
        <f t="shared" si="15"/>
        <v>0.27679999999999971</v>
      </c>
      <c r="H810" s="273"/>
    </row>
    <row r="811" spans="1:8" hidden="1">
      <c r="A811" s="245">
        <v>44162</v>
      </c>
      <c r="B811" s="245">
        <v>44165</v>
      </c>
      <c r="C811" s="273" t="s">
        <v>16</v>
      </c>
      <c r="D811" s="273">
        <v>54</v>
      </c>
      <c r="E811" s="273">
        <v>6.6119000000000003</v>
      </c>
      <c r="F811" s="273">
        <v>6.7135999999999996</v>
      </c>
      <c r="G811" s="273">
        <f t="shared" si="15"/>
        <v>0.10169999999999924</v>
      </c>
      <c r="H811" s="273"/>
    </row>
    <row r="812" spans="1:8" hidden="1">
      <c r="A812" s="245">
        <v>44162</v>
      </c>
      <c r="B812" s="245">
        <v>44167</v>
      </c>
      <c r="C812" s="273" t="s">
        <v>16</v>
      </c>
      <c r="D812" s="273">
        <v>53</v>
      </c>
      <c r="E812" s="273">
        <v>0</v>
      </c>
      <c r="F812" s="273">
        <v>7.4999999999999997E-2</v>
      </c>
      <c r="G812" s="273">
        <f t="shared" si="15"/>
        <v>7.4999999999999997E-2</v>
      </c>
      <c r="H812" s="273"/>
    </row>
    <row r="813" spans="1:8" hidden="1">
      <c r="A813" s="245">
        <v>44165</v>
      </c>
      <c r="B813" s="245">
        <v>44167</v>
      </c>
      <c r="C813" s="273" t="s">
        <v>19</v>
      </c>
      <c r="D813" s="273">
        <v>11</v>
      </c>
      <c r="E813" s="273">
        <v>5.2340999999999998</v>
      </c>
      <c r="F813" s="273">
        <v>5.2382</v>
      </c>
      <c r="G813" s="273">
        <f t="shared" si="15"/>
        <v>4.1000000000002146E-3</v>
      </c>
      <c r="H813" s="273">
        <f>G814+G818</f>
        <v>4.173</v>
      </c>
    </row>
    <row r="814" spans="1:8" hidden="1">
      <c r="A814" s="245">
        <v>44165</v>
      </c>
      <c r="B814" s="245">
        <v>44167</v>
      </c>
      <c r="C814" s="273" t="s">
        <v>19</v>
      </c>
      <c r="D814" s="273">
        <v>14</v>
      </c>
      <c r="E814" s="273">
        <v>5.1608000000000001</v>
      </c>
      <c r="F814" s="273">
        <v>7.5183</v>
      </c>
      <c r="G814" s="273">
        <f t="shared" si="15"/>
        <v>2.3574999999999999</v>
      </c>
      <c r="H814" s="273">
        <f>G813+G815+G816+G817</f>
        <v>3.5686</v>
      </c>
    </row>
    <row r="815" spans="1:8" hidden="1">
      <c r="A815" s="245">
        <v>44165</v>
      </c>
      <c r="B815" s="245">
        <v>44167</v>
      </c>
      <c r="C815" s="273" t="s">
        <v>19</v>
      </c>
      <c r="D815" s="273">
        <v>15</v>
      </c>
      <c r="E815" s="273">
        <v>5.3526999999999996</v>
      </c>
      <c r="F815" s="273">
        <v>6.2877000000000001</v>
      </c>
      <c r="G815" s="273">
        <f t="shared" si="15"/>
        <v>0.9350000000000005</v>
      </c>
      <c r="H815" s="273"/>
    </row>
    <row r="816" spans="1:8" hidden="1">
      <c r="A816" s="245">
        <v>44165</v>
      </c>
      <c r="B816" s="245">
        <v>44167</v>
      </c>
      <c r="C816" s="273" t="s">
        <v>19</v>
      </c>
      <c r="D816" s="273">
        <v>16</v>
      </c>
      <c r="E816" s="273">
        <v>5.1718999999999999</v>
      </c>
      <c r="F816" s="273">
        <v>5.3415999999999997</v>
      </c>
      <c r="G816" s="273">
        <f t="shared" si="15"/>
        <v>0.16969999999999974</v>
      </c>
      <c r="H816" s="273"/>
    </row>
    <row r="817" spans="1:7" hidden="1">
      <c r="A817" s="245">
        <v>44165</v>
      </c>
      <c r="B817" s="245">
        <v>44167</v>
      </c>
      <c r="C817" s="273" t="s">
        <v>19</v>
      </c>
      <c r="D817" s="273">
        <v>17</v>
      </c>
      <c r="E817" s="273">
        <v>4.8826000000000001</v>
      </c>
      <c r="F817" s="273">
        <v>7.3423999999999996</v>
      </c>
      <c r="G817" s="273">
        <f t="shared" si="15"/>
        <v>2.4597999999999995</v>
      </c>
    </row>
    <row r="818" spans="1:7" hidden="1">
      <c r="A818" s="245">
        <v>44165</v>
      </c>
      <c r="B818" s="245">
        <v>44167</v>
      </c>
      <c r="C818" s="273" t="s">
        <v>19</v>
      </c>
      <c r="D818" s="273">
        <v>19</v>
      </c>
      <c r="E818" s="273">
        <v>5.7813999999999997</v>
      </c>
      <c r="F818" s="273">
        <v>7.5968999999999998</v>
      </c>
      <c r="G818" s="273">
        <f t="shared" si="15"/>
        <v>1.8155000000000001</v>
      </c>
    </row>
    <row r="819" spans="1:7" hidden="1">
      <c r="A819" s="245">
        <v>44165</v>
      </c>
      <c r="B819" s="245">
        <v>44167</v>
      </c>
      <c r="C819" s="273" t="s">
        <v>11</v>
      </c>
      <c r="D819" s="273">
        <v>35</v>
      </c>
      <c r="E819" s="273">
        <v>5.0255000000000001</v>
      </c>
      <c r="F819" s="273">
        <v>6.0762</v>
      </c>
      <c r="G819" s="273">
        <f t="shared" si="15"/>
        <v>1.0507</v>
      </c>
    </row>
    <row r="820" spans="1:7" hidden="1">
      <c r="A820" s="245">
        <v>44165</v>
      </c>
      <c r="B820" s="245">
        <v>44167</v>
      </c>
      <c r="C820" s="273" t="s">
        <v>11</v>
      </c>
      <c r="D820" s="273">
        <v>37</v>
      </c>
      <c r="E820" s="273">
        <v>5.3209999999999997</v>
      </c>
      <c r="F820" s="273">
        <v>5.7201000000000004</v>
      </c>
      <c r="G820" s="273">
        <f t="shared" si="15"/>
        <v>0.39910000000000068</v>
      </c>
    </row>
    <row r="821" spans="1:7" hidden="1">
      <c r="A821" s="245">
        <v>44165</v>
      </c>
      <c r="B821" s="245">
        <v>44167</v>
      </c>
      <c r="C821" s="273" t="s">
        <v>11</v>
      </c>
      <c r="D821" s="273">
        <v>38</v>
      </c>
      <c r="E821" s="273">
        <v>5.4970999999999997</v>
      </c>
      <c r="F821" s="273">
        <v>6.0035999999999996</v>
      </c>
      <c r="G821" s="273">
        <f t="shared" si="15"/>
        <v>0.50649999999999995</v>
      </c>
    </row>
    <row r="822" spans="1:7" hidden="1">
      <c r="A822" s="245">
        <v>44165</v>
      </c>
      <c r="B822" s="245">
        <v>44167</v>
      </c>
      <c r="C822" s="273" t="s">
        <v>11</v>
      </c>
      <c r="D822" s="273">
        <v>39</v>
      </c>
      <c r="E822" s="273">
        <v>5.6043000000000003</v>
      </c>
      <c r="F822" s="273">
        <v>6.7470999999999997</v>
      </c>
      <c r="G822" s="273">
        <f t="shared" si="15"/>
        <v>1.1427999999999994</v>
      </c>
    </row>
    <row r="823" spans="1:7" hidden="1">
      <c r="A823" s="245">
        <v>44165</v>
      </c>
      <c r="B823" s="245">
        <v>44167</v>
      </c>
      <c r="C823" s="273" t="s">
        <v>16</v>
      </c>
      <c r="D823" s="273">
        <v>51</v>
      </c>
      <c r="E823" s="273">
        <v>4.8404999999999996</v>
      </c>
      <c r="F823" s="273">
        <v>4.8136000000000001</v>
      </c>
      <c r="G823" s="273">
        <f t="shared" si="15"/>
        <v>-2.689999999999948E-2</v>
      </c>
    </row>
    <row r="824" spans="1:7" hidden="1">
      <c r="A824" s="245">
        <v>44165</v>
      </c>
      <c r="B824" s="245">
        <v>44167</v>
      </c>
      <c r="C824" s="273" t="s">
        <v>26</v>
      </c>
      <c r="D824" s="273"/>
      <c r="E824" s="273">
        <v>4.4447999999999999</v>
      </c>
      <c r="F824" s="273">
        <v>4.4291999999999998</v>
      </c>
      <c r="G824" s="273">
        <f t="shared" si="15"/>
        <v>-1.5600000000000058E-2</v>
      </c>
    </row>
    <row r="825" spans="1:7" hidden="1">
      <c r="A825" s="245">
        <v>44165</v>
      </c>
      <c r="B825" s="245">
        <v>44167</v>
      </c>
      <c r="C825" s="273"/>
      <c r="D825" s="273"/>
      <c r="E825" s="273">
        <v>4.6741000000000001</v>
      </c>
      <c r="F825" s="273">
        <v>4.7521000000000004</v>
      </c>
      <c r="G825" s="273">
        <f t="shared" si="15"/>
        <v>7.8000000000000291E-2</v>
      </c>
    </row>
    <row r="826" spans="1:7" hidden="1">
      <c r="A826" s="245">
        <v>44167</v>
      </c>
      <c r="B826" s="245">
        <v>44169</v>
      </c>
      <c r="C826" s="273" t="s">
        <v>19</v>
      </c>
      <c r="D826" s="273">
        <v>19</v>
      </c>
      <c r="E826" s="273">
        <v>5.0632000000000001</v>
      </c>
      <c r="F826" s="273">
        <v>5.7648999999999999</v>
      </c>
      <c r="G826" s="273">
        <f>F826-E826</f>
        <v>0.70169999999999977</v>
      </c>
    </row>
    <row r="827" spans="1:7" hidden="1">
      <c r="A827" s="245">
        <v>44167</v>
      </c>
      <c r="B827" s="245">
        <v>44169</v>
      </c>
      <c r="C827" s="273" t="s">
        <v>19</v>
      </c>
      <c r="D827" s="273">
        <v>20</v>
      </c>
      <c r="E827" s="273">
        <v>5.1135000000000002</v>
      </c>
      <c r="F827" s="273">
        <v>5.1565000000000003</v>
      </c>
      <c r="G827" s="273">
        <f>F827-E827</f>
        <v>4.3000000000000149E-2</v>
      </c>
    </row>
    <row r="828" spans="1:7" hidden="1">
      <c r="A828" s="245">
        <v>44167</v>
      </c>
      <c r="B828" s="245">
        <v>44169</v>
      </c>
      <c r="C828" s="273" t="s">
        <v>19</v>
      </c>
      <c r="D828" s="273">
        <v>11</v>
      </c>
      <c r="E828" s="273">
        <v>4.8307000000000002</v>
      </c>
      <c r="F828" s="273">
        <v>4.9038000000000004</v>
      </c>
      <c r="G828" s="273">
        <f>F828-E828</f>
        <v>7.3100000000000165E-2</v>
      </c>
    </row>
    <row r="829" spans="1:7" hidden="1">
      <c r="A829" s="245">
        <v>44167</v>
      </c>
      <c r="B829" s="245">
        <v>44169</v>
      </c>
      <c r="C829" s="273" t="s">
        <v>19</v>
      </c>
      <c r="D829" s="273">
        <v>16</v>
      </c>
      <c r="E829" s="273">
        <v>4.5522999999999998</v>
      </c>
      <c r="F829" s="273">
        <v>4.8144</v>
      </c>
      <c r="G829" s="273">
        <f>F829-E829</f>
        <v>0.26210000000000022</v>
      </c>
    </row>
    <row r="830" spans="1:7" hidden="1">
      <c r="A830" s="245">
        <v>44167</v>
      </c>
      <c r="B830" s="245">
        <v>44169</v>
      </c>
      <c r="C830" s="273" t="s">
        <v>19</v>
      </c>
      <c r="D830" s="273">
        <v>13</v>
      </c>
      <c r="E830" s="273">
        <v>4.8654999999999999</v>
      </c>
      <c r="F830" s="273">
        <v>4.9410999999999996</v>
      </c>
      <c r="G830" s="273">
        <f>F830-E830</f>
        <v>7.5599999999999667E-2</v>
      </c>
    </row>
    <row r="831" spans="1:7" hidden="1">
      <c r="A831" s="245">
        <v>44167</v>
      </c>
      <c r="B831" s="245">
        <v>44169</v>
      </c>
      <c r="C831" s="273" t="s">
        <v>19</v>
      </c>
      <c r="D831" s="273">
        <v>18</v>
      </c>
      <c r="E831" s="273">
        <v>4.9077999999999999</v>
      </c>
      <c r="F831" s="273">
        <v>4.9950999999999999</v>
      </c>
      <c r="G831" s="273">
        <f>F831-E831</f>
        <v>8.7299999999999933E-2</v>
      </c>
    </row>
    <row r="832" spans="1:7" hidden="1">
      <c r="A832" s="245">
        <v>44167</v>
      </c>
      <c r="B832" s="245">
        <v>44169</v>
      </c>
      <c r="C832" s="273" t="s">
        <v>19</v>
      </c>
      <c r="D832" s="273">
        <v>14</v>
      </c>
      <c r="E832" s="273">
        <v>5.4238</v>
      </c>
      <c r="F832" s="273">
        <v>6.8841000000000001</v>
      </c>
      <c r="G832" s="273">
        <f>F832-E832</f>
        <v>1.4603000000000002</v>
      </c>
    </row>
    <row r="833" spans="1:9" hidden="1">
      <c r="A833" s="245">
        <v>44167</v>
      </c>
      <c r="B833" s="245">
        <v>44169</v>
      </c>
      <c r="C833" s="273" t="s">
        <v>19</v>
      </c>
      <c r="D833" s="273">
        <v>15</v>
      </c>
      <c r="E833" s="273">
        <v>5.0320999999999998</v>
      </c>
      <c r="F833" s="273">
        <v>5.6230000000000002</v>
      </c>
      <c r="G833" s="273">
        <f>F833-E833</f>
        <v>0.59090000000000042</v>
      </c>
      <c r="H833" s="273"/>
      <c r="I833" s="273"/>
    </row>
    <row r="834" spans="1:9" hidden="1">
      <c r="A834" s="245">
        <v>44167</v>
      </c>
      <c r="B834" s="245">
        <v>44169</v>
      </c>
      <c r="C834" s="273" t="s">
        <v>19</v>
      </c>
      <c r="D834" s="273">
        <v>17</v>
      </c>
      <c r="E834" s="273">
        <v>4.5860000000000003</v>
      </c>
      <c r="F834" s="273">
        <v>5.9489000000000001</v>
      </c>
      <c r="G834" s="273">
        <f>F834-E834</f>
        <v>1.3628999999999998</v>
      </c>
      <c r="H834" s="273"/>
      <c r="I834" s="273"/>
    </row>
    <row r="835" spans="1:9" hidden="1">
      <c r="A835" s="245">
        <v>44167</v>
      </c>
      <c r="B835" s="245">
        <v>44169</v>
      </c>
      <c r="C835" s="273" t="s">
        <v>11</v>
      </c>
      <c r="D835" s="273">
        <v>35</v>
      </c>
      <c r="E835" s="273">
        <v>5.0122999999999998</v>
      </c>
      <c r="F835" s="273">
        <v>5.1593999999999998</v>
      </c>
      <c r="G835" s="273">
        <f>F835-E835</f>
        <v>0.14710000000000001</v>
      </c>
      <c r="H835" s="273"/>
      <c r="I835" s="273"/>
    </row>
    <row r="836" spans="1:9" hidden="1">
      <c r="A836" s="245">
        <v>44167</v>
      </c>
      <c r="B836" s="245">
        <v>44169</v>
      </c>
      <c r="C836" s="273" t="s">
        <v>11</v>
      </c>
      <c r="D836" s="273">
        <v>40</v>
      </c>
      <c r="E836" s="273">
        <v>5.0430999999999999</v>
      </c>
      <c r="F836" s="273">
        <v>9.5320999999999998</v>
      </c>
      <c r="G836" s="273">
        <f>F836-E836</f>
        <v>4.4889999999999999</v>
      </c>
      <c r="H836" s="273"/>
      <c r="I836" s="273"/>
    </row>
    <row r="837" spans="1:9" hidden="1">
      <c r="A837" s="245">
        <v>44167</v>
      </c>
      <c r="B837" s="245">
        <v>44169</v>
      </c>
      <c r="C837" s="273" t="s">
        <v>11</v>
      </c>
      <c r="D837" s="273">
        <v>38</v>
      </c>
      <c r="E837" s="273">
        <v>5.1062000000000003</v>
      </c>
      <c r="F837" s="273">
        <v>5.6329000000000002</v>
      </c>
      <c r="G837" s="273">
        <f>F837-E837</f>
        <v>0.52669999999999995</v>
      </c>
      <c r="H837" s="273"/>
      <c r="I837" s="273"/>
    </row>
    <row r="838" spans="1:9" hidden="1">
      <c r="A838" s="245">
        <v>44167</v>
      </c>
      <c r="B838" s="245">
        <v>44169</v>
      </c>
      <c r="C838" s="273" t="s">
        <v>11</v>
      </c>
      <c r="D838" s="273">
        <v>39</v>
      </c>
      <c r="E838" s="273">
        <v>4.7184999999999997</v>
      </c>
      <c r="F838" s="273">
        <v>7.6959</v>
      </c>
      <c r="G838" s="273">
        <f>F838-E838</f>
        <v>2.9774000000000003</v>
      </c>
      <c r="H838" s="273"/>
      <c r="I838" s="273"/>
    </row>
    <row r="839" spans="1:9" hidden="1">
      <c r="A839" s="245">
        <v>44167</v>
      </c>
      <c r="B839" s="245">
        <v>44169</v>
      </c>
      <c r="C839" s="273" t="s">
        <v>11</v>
      </c>
      <c r="D839" s="273">
        <v>37</v>
      </c>
      <c r="E839" s="273">
        <v>4.7148000000000003</v>
      </c>
      <c r="F839" s="273">
        <v>6.6372</v>
      </c>
      <c r="G839" s="273">
        <f>F839-E839</f>
        <v>1.9223999999999997</v>
      </c>
      <c r="H839" s="273"/>
      <c r="I839" s="273"/>
    </row>
    <row r="840" spans="1:9" hidden="1">
      <c r="A840" s="245">
        <v>44167</v>
      </c>
      <c r="B840" s="245">
        <v>44169</v>
      </c>
      <c r="C840" s="273" t="s">
        <v>16</v>
      </c>
      <c r="D840" s="273">
        <v>58</v>
      </c>
      <c r="E840" s="273">
        <v>4.6151999999999997</v>
      </c>
      <c r="F840" s="273">
        <v>7.9221000000000004</v>
      </c>
      <c r="G840" s="273">
        <f>F840-E840</f>
        <v>3.3069000000000006</v>
      </c>
      <c r="H840" s="273"/>
      <c r="I840" s="273"/>
    </row>
    <row r="841" spans="1:9" hidden="1">
      <c r="A841" s="245">
        <v>44167</v>
      </c>
      <c r="B841" s="245">
        <v>44169</v>
      </c>
      <c r="C841" s="273" t="s">
        <v>16</v>
      </c>
      <c r="D841" s="273">
        <v>59</v>
      </c>
      <c r="E841" s="273">
        <v>4.8902999999999999</v>
      </c>
      <c r="F841" s="273">
        <v>8.0381999999999998</v>
      </c>
      <c r="G841" s="273">
        <f>F841-E841</f>
        <v>3.1478999999999999</v>
      </c>
      <c r="H841" s="273"/>
      <c r="I841" s="273"/>
    </row>
    <row r="842" spans="1:9" hidden="1">
      <c r="A842" s="245">
        <v>44167</v>
      </c>
      <c r="B842" s="245">
        <v>44169</v>
      </c>
      <c r="C842" s="273" t="s">
        <v>16</v>
      </c>
      <c r="D842" s="273">
        <v>57</v>
      </c>
      <c r="E842" s="273">
        <v>4.5063000000000004</v>
      </c>
      <c r="F842" s="273">
        <v>6.2667000000000002</v>
      </c>
      <c r="G842" s="273">
        <f>F842-E842</f>
        <v>1.7603999999999997</v>
      </c>
      <c r="H842" s="273"/>
      <c r="I842" s="273"/>
    </row>
    <row r="843" spans="1:9" hidden="1">
      <c r="A843" s="245">
        <v>44167</v>
      </c>
      <c r="B843" s="245">
        <v>44169</v>
      </c>
      <c r="C843" s="273" t="s">
        <v>16</v>
      </c>
      <c r="D843" s="273">
        <v>55</v>
      </c>
      <c r="E843" s="273">
        <v>5.1889000000000003</v>
      </c>
      <c r="F843" s="273">
        <v>6.5678999999999998</v>
      </c>
      <c r="G843" s="273">
        <f>F843-E843</f>
        <v>1.3789999999999996</v>
      </c>
      <c r="H843" s="273"/>
      <c r="I843" s="273"/>
    </row>
    <row r="844" spans="1:9" hidden="1">
      <c r="A844" s="245">
        <v>44167</v>
      </c>
      <c r="B844" s="245">
        <v>44169</v>
      </c>
      <c r="C844" s="273" t="s">
        <v>16</v>
      </c>
      <c r="D844" s="273">
        <v>51</v>
      </c>
      <c r="E844" s="273">
        <v>4.9221000000000004</v>
      </c>
      <c r="F844" s="273">
        <v>4.9459999999999997</v>
      </c>
      <c r="G844" s="273">
        <f>F844-E844</f>
        <v>2.3899999999999366E-2</v>
      </c>
      <c r="H844" s="273"/>
      <c r="I844" s="273"/>
    </row>
    <row r="845" spans="1:9" hidden="1">
      <c r="A845" s="245">
        <v>44167</v>
      </c>
      <c r="B845" s="245">
        <v>44169</v>
      </c>
      <c r="C845" s="273" t="s">
        <v>16</v>
      </c>
      <c r="D845" s="273">
        <v>56</v>
      </c>
      <c r="E845" s="273">
        <v>4.6776999999999997</v>
      </c>
      <c r="F845" s="273">
        <v>5.6456</v>
      </c>
      <c r="G845" s="273">
        <f>F845-E845</f>
        <v>0.9679000000000002</v>
      </c>
      <c r="H845" s="273"/>
      <c r="I845" s="273"/>
    </row>
    <row r="846" spans="1:9" hidden="1">
      <c r="A846" s="245">
        <v>44167</v>
      </c>
      <c r="B846" s="245">
        <v>44169</v>
      </c>
      <c r="C846" s="273" t="s">
        <v>16</v>
      </c>
      <c r="D846" s="273">
        <v>52</v>
      </c>
      <c r="E846" s="273">
        <v>4.8097000000000003</v>
      </c>
      <c r="F846" s="273">
        <v>4.8761999999999999</v>
      </c>
      <c r="G846" s="273">
        <f>F846-E846</f>
        <v>6.6499999999999559E-2</v>
      </c>
      <c r="H846" s="273"/>
      <c r="I846" s="273"/>
    </row>
    <row r="847" spans="1:9" hidden="1">
      <c r="A847" s="245">
        <v>44167</v>
      </c>
      <c r="B847" s="245">
        <v>44169</v>
      </c>
      <c r="C847" s="273" t="s">
        <v>11</v>
      </c>
      <c r="D847" s="273">
        <v>41</v>
      </c>
      <c r="E847" s="273">
        <v>4.9630000000000001</v>
      </c>
      <c r="F847" s="273">
        <v>10.7913</v>
      </c>
      <c r="G847" s="273">
        <f>F847-E847</f>
        <v>5.8282999999999996</v>
      </c>
      <c r="H847" s="273"/>
      <c r="I847" s="273"/>
    </row>
    <row r="848" spans="1:9" hidden="1">
      <c r="A848" s="245">
        <v>44167</v>
      </c>
      <c r="B848" s="245">
        <v>44169</v>
      </c>
      <c r="C848" s="273" t="s">
        <v>24</v>
      </c>
      <c r="D848" s="273">
        <v>7</v>
      </c>
      <c r="E848" s="273">
        <v>4.6082999999999998</v>
      </c>
      <c r="F848" s="273">
        <v>4.8533999999999997</v>
      </c>
      <c r="G848" s="273">
        <f>F848-E848</f>
        <v>0.24509999999999987</v>
      </c>
      <c r="H848" s="273"/>
      <c r="I848" s="273"/>
    </row>
    <row r="849" spans="1:7" hidden="1">
      <c r="A849" s="245">
        <v>44169</v>
      </c>
      <c r="B849" s="245">
        <v>44172</v>
      </c>
      <c r="C849" s="273" t="s">
        <v>19</v>
      </c>
      <c r="D849" s="273">
        <v>14</v>
      </c>
      <c r="E849" s="273">
        <v>5.1098999999999997</v>
      </c>
      <c r="F849" s="273">
        <v>5.5292000000000003</v>
      </c>
      <c r="G849" s="273">
        <f>F849-E849</f>
        <v>0.41930000000000067</v>
      </c>
    </row>
    <row r="850" spans="1:7" hidden="1">
      <c r="A850" s="245">
        <v>44169</v>
      </c>
      <c r="B850" s="245">
        <v>44172</v>
      </c>
      <c r="C850" s="273" t="s">
        <v>19</v>
      </c>
      <c r="D850" s="273">
        <v>15</v>
      </c>
      <c r="E850" s="273">
        <v>5.1726000000000001</v>
      </c>
      <c r="F850" s="273">
        <v>5.3357999999999999</v>
      </c>
      <c r="G850" s="273">
        <f>F850-E850</f>
        <v>0.16319999999999979</v>
      </c>
    </row>
    <row r="851" spans="1:7" hidden="1">
      <c r="A851" s="245">
        <v>44169</v>
      </c>
      <c r="B851" s="245">
        <v>44172</v>
      </c>
      <c r="C851" s="273" t="s">
        <v>19</v>
      </c>
      <c r="D851" s="273">
        <v>16</v>
      </c>
      <c r="E851" s="273">
        <v>5.4436999999999998</v>
      </c>
      <c r="F851" s="273">
        <v>5.5088999999999997</v>
      </c>
      <c r="G851" s="273">
        <f>F851-E851</f>
        <v>6.5199999999999925E-2</v>
      </c>
    </row>
    <row r="852" spans="1:7" hidden="1">
      <c r="A852" s="245">
        <v>44169</v>
      </c>
      <c r="B852" s="245">
        <v>44172</v>
      </c>
      <c r="C852" s="273" t="s">
        <v>19</v>
      </c>
      <c r="D852" s="273">
        <v>17</v>
      </c>
      <c r="E852" s="273">
        <v>5.3425000000000002</v>
      </c>
      <c r="F852" s="273">
        <v>5.7369000000000003</v>
      </c>
      <c r="G852" s="273">
        <f>F852-E852</f>
        <v>0.39440000000000008</v>
      </c>
    </row>
    <row r="853" spans="1:7" hidden="1">
      <c r="A853" s="245">
        <v>44169</v>
      </c>
      <c r="B853" s="245">
        <v>44172</v>
      </c>
      <c r="C853" s="273" t="s">
        <v>19</v>
      </c>
      <c r="D853" s="273">
        <v>18</v>
      </c>
      <c r="E853" s="273">
        <v>5.4008000000000003</v>
      </c>
      <c r="F853" s="273">
        <v>5.5327999999999999</v>
      </c>
      <c r="G853" s="273">
        <f t="shared" ref="G853:G870" si="16">F853-E853</f>
        <v>0.13199999999999967</v>
      </c>
    </row>
    <row r="854" spans="1:7" hidden="1">
      <c r="A854" s="245">
        <v>44169</v>
      </c>
      <c r="B854" s="245">
        <v>44172</v>
      </c>
      <c r="C854" s="273" t="s">
        <v>19</v>
      </c>
      <c r="D854" s="273">
        <v>19</v>
      </c>
      <c r="E854" s="273">
        <v>5.4215</v>
      </c>
      <c r="F854" s="273">
        <v>6.0732999999999997</v>
      </c>
      <c r="G854" s="273">
        <f t="shared" si="16"/>
        <v>0.65179999999999971</v>
      </c>
    </row>
    <row r="855" spans="1:7" hidden="1">
      <c r="A855" s="245">
        <v>44169</v>
      </c>
      <c r="B855" s="245">
        <v>44172</v>
      </c>
      <c r="C855" s="273" t="s">
        <v>19</v>
      </c>
      <c r="D855" s="273">
        <v>20</v>
      </c>
      <c r="E855" s="273">
        <v>5.2088999999999999</v>
      </c>
      <c r="F855" s="273">
        <v>5.2972000000000001</v>
      </c>
      <c r="G855" s="273">
        <f t="shared" si="16"/>
        <v>8.8300000000000267E-2</v>
      </c>
    </row>
    <row r="856" spans="1:7" hidden="1">
      <c r="A856" s="245">
        <v>44169</v>
      </c>
      <c r="B856" s="245">
        <v>44172</v>
      </c>
      <c r="C856" s="273" t="s">
        <v>11</v>
      </c>
      <c r="D856" s="273">
        <v>37</v>
      </c>
      <c r="E856" s="273">
        <v>5.4238</v>
      </c>
      <c r="F856" s="273">
        <v>6.5385</v>
      </c>
      <c r="G856" s="273">
        <f t="shared" si="16"/>
        <v>1.1147</v>
      </c>
    </row>
    <row r="857" spans="1:7" hidden="1">
      <c r="A857" s="245">
        <v>44169</v>
      </c>
      <c r="B857" s="245">
        <v>44172</v>
      </c>
      <c r="C857" s="273" t="s">
        <v>11</v>
      </c>
      <c r="D857" s="273">
        <v>38</v>
      </c>
      <c r="E857" s="273">
        <v>5.4417</v>
      </c>
      <c r="F857" s="273">
        <v>5.8376000000000001</v>
      </c>
      <c r="G857" s="273">
        <f t="shared" si="16"/>
        <v>0.39590000000000014</v>
      </c>
    </row>
    <row r="858" spans="1:7" hidden="1">
      <c r="A858" s="245">
        <v>44169</v>
      </c>
      <c r="B858" s="245">
        <v>44172</v>
      </c>
      <c r="C858" s="273" t="s">
        <v>11</v>
      </c>
      <c r="D858" s="273">
        <v>39</v>
      </c>
      <c r="E858" s="273">
        <v>5.0918000000000001</v>
      </c>
      <c r="F858" s="273">
        <v>6.6304999999999996</v>
      </c>
      <c r="G858" s="273">
        <f t="shared" si="16"/>
        <v>1.5386999999999995</v>
      </c>
    </row>
    <row r="859" spans="1:7" hidden="1">
      <c r="A859" s="245">
        <v>44169</v>
      </c>
      <c r="B859" s="245">
        <v>44172</v>
      </c>
      <c r="C859" s="273" t="s">
        <v>11</v>
      </c>
      <c r="D859" s="273">
        <v>40</v>
      </c>
      <c r="E859" s="273">
        <v>5.1600999999999999</v>
      </c>
      <c r="F859" s="273">
        <v>7.5544000000000002</v>
      </c>
      <c r="G859" s="273">
        <f t="shared" si="16"/>
        <v>2.3943000000000003</v>
      </c>
    </row>
    <row r="860" spans="1:7" hidden="1">
      <c r="A860" s="245">
        <v>44169</v>
      </c>
      <c r="B860" s="245">
        <v>44172</v>
      </c>
      <c r="C860" s="273" t="s">
        <v>11</v>
      </c>
      <c r="D860" s="273">
        <v>41</v>
      </c>
      <c r="E860" s="273">
        <v>5.6600999999999999</v>
      </c>
      <c r="F860" s="273">
        <v>10.5044</v>
      </c>
      <c r="G860" s="273">
        <f t="shared" si="16"/>
        <v>4.8443000000000005</v>
      </c>
    </row>
    <row r="861" spans="1:7" hidden="1">
      <c r="A861" s="245">
        <v>44169</v>
      </c>
      <c r="B861" s="245">
        <v>44172</v>
      </c>
      <c r="C861" s="273" t="s">
        <v>16</v>
      </c>
      <c r="D861" s="273">
        <v>55</v>
      </c>
      <c r="E861" s="273">
        <v>5.3886000000000003</v>
      </c>
      <c r="F861" s="273">
        <v>5.6864999999999997</v>
      </c>
      <c r="G861" s="273">
        <f t="shared" si="16"/>
        <v>0.29789999999999939</v>
      </c>
    </row>
    <row r="862" spans="1:7" hidden="1">
      <c r="A862" s="245">
        <v>44169</v>
      </c>
      <c r="B862" s="245">
        <v>44172</v>
      </c>
      <c r="C862" s="273" t="s">
        <v>16</v>
      </c>
      <c r="D862" s="273">
        <v>56</v>
      </c>
      <c r="E862" s="273">
        <v>5.4189999999999996</v>
      </c>
      <c r="F862" s="273">
        <v>6.1519000000000004</v>
      </c>
      <c r="G862" s="273">
        <f t="shared" si="16"/>
        <v>0.73290000000000077</v>
      </c>
    </row>
    <row r="863" spans="1:7" hidden="1">
      <c r="A863" s="245">
        <v>44169</v>
      </c>
      <c r="B863" s="245">
        <v>44172</v>
      </c>
      <c r="C863" s="273" t="s">
        <v>16</v>
      </c>
      <c r="D863" s="273">
        <v>57</v>
      </c>
      <c r="E863" s="273">
        <v>5.4653</v>
      </c>
      <c r="F863" s="273">
        <v>6.1189999999999998</v>
      </c>
      <c r="G863" s="273">
        <f t="shared" si="16"/>
        <v>0.65369999999999973</v>
      </c>
    </row>
    <row r="864" spans="1:7" hidden="1">
      <c r="A864" s="245">
        <v>44169</v>
      </c>
      <c r="B864" s="245">
        <v>44172</v>
      </c>
      <c r="C864" s="273" t="s">
        <v>16</v>
      </c>
      <c r="D864" s="273">
        <v>58</v>
      </c>
      <c r="E864" s="273">
        <v>5.7469999999999999</v>
      </c>
      <c r="F864" s="273">
        <v>8.2064000000000004</v>
      </c>
      <c r="G864" s="273">
        <f t="shared" si="16"/>
        <v>2.4594000000000005</v>
      </c>
    </row>
    <row r="865" spans="1:7" hidden="1">
      <c r="A865" s="245">
        <v>44169</v>
      </c>
      <c r="B865" s="245">
        <v>44172</v>
      </c>
      <c r="C865" s="273" t="s">
        <v>16</v>
      </c>
      <c r="D865" s="273">
        <v>59</v>
      </c>
      <c r="E865" s="273">
        <v>5.4652000000000003</v>
      </c>
      <c r="F865" s="273">
        <v>7.4273999999999996</v>
      </c>
      <c r="G865" s="273">
        <f t="shared" si="16"/>
        <v>1.9621999999999993</v>
      </c>
    </row>
    <row r="866" spans="1:7" hidden="1">
      <c r="A866" s="245">
        <v>44172</v>
      </c>
      <c r="B866" s="245">
        <v>44174</v>
      </c>
      <c r="C866" s="273" t="s">
        <v>19</v>
      </c>
      <c r="D866" s="273">
        <v>11</v>
      </c>
      <c r="E866" s="273">
        <v>5.3440000000000003</v>
      </c>
      <c r="F866" s="273">
        <v>5.3696000000000002</v>
      </c>
      <c r="G866" s="273">
        <f t="shared" si="16"/>
        <v>2.5599999999999845E-2</v>
      </c>
    </row>
    <row r="867" spans="1:7" hidden="1">
      <c r="A867" s="245">
        <v>44172</v>
      </c>
      <c r="B867" s="245">
        <v>44174</v>
      </c>
      <c r="C867" s="273" t="s">
        <v>19</v>
      </c>
      <c r="D867" s="273">
        <v>14</v>
      </c>
      <c r="E867" s="273">
        <v>4.2662000000000004</v>
      </c>
      <c r="F867" s="273">
        <v>4.3619000000000003</v>
      </c>
      <c r="G867" s="273">
        <f t="shared" si="16"/>
        <v>9.5699999999999896E-2</v>
      </c>
    </row>
    <row r="868" spans="1:7" hidden="1">
      <c r="A868" s="245">
        <v>44172</v>
      </c>
      <c r="B868" s="245">
        <v>44174</v>
      </c>
      <c r="C868" s="273" t="s">
        <v>19</v>
      </c>
      <c r="D868" s="273">
        <v>15</v>
      </c>
      <c r="E868" s="273">
        <v>5.3442999999999996</v>
      </c>
      <c r="F868" s="273">
        <v>5.3391000000000002</v>
      </c>
      <c r="G868" s="273">
        <f t="shared" si="16"/>
        <v>-5.1999999999994273E-3</v>
      </c>
    </row>
    <row r="869" spans="1:7" hidden="1">
      <c r="A869" s="245">
        <v>44172</v>
      </c>
      <c r="B869" s="245">
        <v>44174</v>
      </c>
      <c r="C869" s="273" t="s">
        <v>19</v>
      </c>
      <c r="D869" s="273">
        <v>17</v>
      </c>
      <c r="E869" s="273">
        <v>3.4005000000000001</v>
      </c>
      <c r="F869" s="273">
        <v>3.5528</v>
      </c>
      <c r="G869" s="273">
        <f t="shared" si="16"/>
        <v>0.15229999999999988</v>
      </c>
    </row>
    <row r="870" spans="1:7" hidden="1">
      <c r="A870" s="245">
        <v>44172</v>
      </c>
      <c r="B870" s="245">
        <v>44174</v>
      </c>
      <c r="C870" s="273" t="s">
        <v>19</v>
      </c>
      <c r="D870" s="273">
        <v>19</v>
      </c>
      <c r="E870" s="273">
        <v>5.0895999999999999</v>
      </c>
      <c r="F870" s="273">
        <v>5.2023999999999999</v>
      </c>
      <c r="G870" s="273">
        <f t="shared" si="16"/>
        <v>0.11280000000000001</v>
      </c>
    </row>
    <row r="871" spans="1:7" hidden="1">
      <c r="A871" s="245">
        <v>44172</v>
      </c>
      <c r="B871" s="245">
        <v>44174</v>
      </c>
      <c r="C871" s="273" t="s">
        <v>11</v>
      </c>
      <c r="D871" s="273">
        <v>35</v>
      </c>
      <c r="E871" s="273">
        <v>5.2667000000000002</v>
      </c>
      <c r="F871" s="273">
        <v>5.2972000000000001</v>
      </c>
      <c r="G871" s="273">
        <f>F871-E871</f>
        <v>3.0499999999999972E-2</v>
      </c>
    </row>
    <row r="872" spans="1:7" hidden="1">
      <c r="A872" s="245">
        <v>44172</v>
      </c>
      <c r="B872" s="245">
        <v>44174</v>
      </c>
      <c r="C872" s="273" t="s">
        <v>11</v>
      </c>
      <c r="D872" s="273">
        <v>37</v>
      </c>
      <c r="E872" s="273">
        <v>5.3792</v>
      </c>
      <c r="F872" s="273">
        <v>5.4920999999999998</v>
      </c>
      <c r="G872" s="273">
        <f>F872-E872</f>
        <v>0.11289999999999978</v>
      </c>
    </row>
    <row r="873" spans="1:7" hidden="1">
      <c r="A873" s="245">
        <v>44172</v>
      </c>
      <c r="B873" s="245">
        <v>44174</v>
      </c>
      <c r="C873" s="273" t="s">
        <v>11</v>
      </c>
      <c r="D873" s="273">
        <v>38</v>
      </c>
      <c r="E873" s="273">
        <v>4.9771999999999998</v>
      </c>
      <c r="F873" s="273">
        <v>5.1337000000000002</v>
      </c>
      <c r="G873" s="273">
        <f>F873-E873</f>
        <v>0.15650000000000031</v>
      </c>
    </row>
    <row r="874" spans="1:7" hidden="1">
      <c r="A874" s="245">
        <v>44172</v>
      </c>
      <c r="B874" s="245">
        <v>44174</v>
      </c>
      <c r="C874" s="273" t="s">
        <v>11</v>
      </c>
      <c r="D874" s="273">
        <v>39</v>
      </c>
      <c r="E874" s="273">
        <v>4.8677999999999999</v>
      </c>
      <c r="F874" s="273">
        <v>5.2906000000000004</v>
      </c>
      <c r="G874" s="273">
        <f>F874-E874</f>
        <v>0.42280000000000051</v>
      </c>
    </row>
    <row r="875" spans="1:7" hidden="1">
      <c r="A875" s="245">
        <v>44172</v>
      </c>
      <c r="B875" s="245">
        <v>44174</v>
      </c>
      <c r="C875" s="273" t="s">
        <v>11</v>
      </c>
      <c r="D875" s="273">
        <v>40</v>
      </c>
      <c r="E875" s="273">
        <v>5.2916999999999996</v>
      </c>
      <c r="F875" s="273">
        <v>6.2953999999999999</v>
      </c>
      <c r="G875" s="273">
        <f>F875-E875</f>
        <v>1.0037000000000003</v>
      </c>
    </row>
    <row r="876" spans="1:7" hidden="1">
      <c r="A876" s="245">
        <v>44172</v>
      </c>
      <c r="B876" s="245">
        <v>44174</v>
      </c>
      <c r="C876" s="273" t="s">
        <v>11</v>
      </c>
      <c r="D876" s="273">
        <v>41</v>
      </c>
      <c r="E876" s="273">
        <v>5.1913999999999998</v>
      </c>
      <c r="F876" s="273">
        <v>7.9177999999999997</v>
      </c>
      <c r="G876" s="273">
        <f>F876-E876</f>
        <v>2.7263999999999999</v>
      </c>
    </row>
    <row r="877" spans="1:7" hidden="1">
      <c r="A877" s="245">
        <v>44172</v>
      </c>
      <c r="B877" s="245">
        <v>44174</v>
      </c>
      <c r="C877" s="273" t="s">
        <v>16</v>
      </c>
      <c r="D877" s="273">
        <v>51</v>
      </c>
      <c r="E877" s="273">
        <v>5.2409999999999997</v>
      </c>
      <c r="F877" s="273">
        <v>5.2388000000000003</v>
      </c>
      <c r="G877" s="273">
        <f>F877-E877</f>
        <v>-2.1999999999993136E-3</v>
      </c>
    </row>
    <row r="878" spans="1:7" hidden="1">
      <c r="A878" s="245">
        <v>44172</v>
      </c>
      <c r="B878" s="245">
        <v>44174</v>
      </c>
      <c r="C878" s="273" t="s">
        <v>16</v>
      </c>
      <c r="D878" s="273">
        <v>55</v>
      </c>
      <c r="E878" s="273">
        <v>4.7771999999999997</v>
      </c>
      <c r="F878" s="273">
        <v>4.9194000000000004</v>
      </c>
      <c r="G878" s="273">
        <f>F878-E878</f>
        <v>0.14220000000000077</v>
      </c>
    </row>
    <row r="879" spans="1:7" hidden="1">
      <c r="A879" s="245">
        <v>44172</v>
      </c>
      <c r="B879" s="245">
        <v>44174</v>
      </c>
      <c r="C879" s="273" t="s">
        <v>16</v>
      </c>
      <c r="D879" s="273">
        <v>56</v>
      </c>
      <c r="E879" s="273">
        <v>5.5683999999999996</v>
      </c>
      <c r="F879" s="273">
        <v>5.7255000000000003</v>
      </c>
      <c r="G879" s="273">
        <f>F879-E879</f>
        <v>0.15710000000000068</v>
      </c>
    </row>
    <row r="880" spans="1:7" hidden="1">
      <c r="A880" s="245">
        <v>44172</v>
      </c>
      <c r="B880" s="245">
        <v>44174</v>
      </c>
      <c r="C880" s="273" t="s">
        <v>16</v>
      </c>
      <c r="D880" s="273">
        <v>57</v>
      </c>
      <c r="E880" s="273">
        <v>4.7869000000000002</v>
      </c>
      <c r="F880" s="273">
        <v>5.1288999999999998</v>
      </c>
      <c r="G880" s="273">
        <f>F880-E880</f>
        <v>0.34199999999999964</v>
      </c>
    </row>
    <row r="881" spans="1:7" hidden="1">
      <c r="A881" s="245">
        <v>44172</v>
      </c>
      <c r="B881" s="245">
        <v>44174</v>
      </c>
      <c r="C881" s="273" t="s">
        <v>16</v>
      </c>
      <c r="D881" s="273">
        <v>58</v>
      </c>
      <c r="E881" s="273">
        <v>5.3303000000000003</v>
      </c>
      <c r="F881" s="273">
        <v>6.5388999999999999</v>
      </c>
      <c r="G881" s="273">
        <f>F881-E881</f>
        <v>1.2085999999999997</v>
      </c>
    </row>
    <row r="882" spans="1:7" hidden="1">
      <c r="A882" s="245">
        <v>44172</v>
      </c>
      <c r="B882" s="245">
        <v>44174</v>
      </c>
      <c r="C882" s="273" t="s">
        <v>16</v>
      </c>
      <c r="D882" s="273">
        <v>59</v>
      </c>
      <c r="E882" s="273">
        <v>4.8501000000000003</v>
      </c>
      <c r="F882" s="273">
        <v>5.7388000000000003</v>
      </c>
      <c r="G882" s="273">
        <f>F882-E882</f>
        <v>0.88870000000000005</v>
      </c>
    </row>
    <row r="883" spans="1:7" hidden="1">
      <c r="A883" s="245">
        <v>44174</v>
      </c>
      <c r="B883" s="245">
        <v>44176</v>
      </c>
      <c r="C883" s="273" t="s">
        <v>8</v>
      </c>
      <c r="D883" s="273">
        <v>26</v>
      </c>
      <c r="E883" s="273">
        <v>5.7088999999999999</v>
      </c>
      <c r="F883" s="273">
        <v>6.2713000000000001</v>
      </c>
      <c r="G883" s="273">
        <f>F883-E883</f>
        <v>0.56240000000000023</v>
      </c>
    </row>
    <row r="884" spans="1:7" hidden="1">
      <c r="A884" s="245">
        <v>44174</v>
      </c>
      <c r="B884" s="245">
        <v>44176</v>
      </c>
      <c r="C884" s="273" t="s">
        <v>8</v>
      </c>
      <c r="D884" s="273">
        <v>23</v>
      </c>
      <c r="E884" s="273">
        <v>5.3193999999999999</v>
      </c>
      <c r="F884" s="273">
        <v>5.9977</v>
      </c>
      <c r="G884" s="273">
        <f>F884-E884</f>
        <v>0.67830000000000013</v>
      </c>
    </row>
    <row r="885" spans="1:7" hidden="1">
      <c r="A885" s="245">
        <v>44174</v>
      </c>
      <c r="B885" s="245">
        <v>44176</v>
      </c>
      <c r="C885" s="273" t="s">
        <v>8</v>
      </c>
      <c r="D885" s="273">
        <v>25</v>
      </c>
      <c r="E885" s="273">
        <v>5.4629000000000003</v>
      </c>
      <c r="F885" s="273">
        <v>5.5541999999999998</v>
      </c>
      <c r="G885" s="273">
        <f>F885-E885</f>
        <v>9.1299999999999493E-2</v>
      </c>
    </row>
    <row r="886" spans="1:7" hidden="1">
      <c r="A886" s="245">
        <v>44174</v>
      </c>
      <c r="B886" s="245">
        <v>44176</v>
      </c>
      <c r="C886" s="273" t="s">
        <v>8</v>
      </c>
      <c r="D886" s="273">
        <v>24</v>
      </c>
      <c r="E886" s="273">
        <v>5.1933999999999996</v>
      </c>
      <c r="F886" s="273">
        <v>6.2206000000000001</v>
      </c>
      <c r="G886" s="273">
        <f>F886-E886</f>
        <v>1.0272000000000006</v>
      </c>
    </row>
    <row r="887" spans="1:7" hidden="1">
      <c r="A887" s="245">
        <v>44174</v>
      </c>
      <c r="B887" s="245">
        <v>44176</v>
      </c>
      <c r="C887" s="273" t="s">
        <v>19</v>
      </c>
      <c r="D887" s="273">
        <v>17</v>
      </c>
      <c r="E887" s="273">
        <v>4.7285000000000004</v>
      </c>
      <c r="F887" s="273">
        <v>4.7332999999999998</v>
      </c>
      <c r="G887" s="273">
        <f>F887-E887</f>
        <v>4.7999999999994714E-3</v>
      </c>
    </row>
    <row r="888" spans="1:7" hidden="1">
      <c r="A888" s="245">
        <v>44174</v>
      </c>
      <c r="B888" s="245">
        <v>44176</v>
      </c>
      <c r="C888" s="273" t="s">
        <v>19</v>
      </c>
      <c r="D888" s="273">
        <v>14</v>
      </c>
      <c r="E888" s="273">
        <v>4.5162000000000004</v>
      </c>
      <c r="F888" s="273">
        <v>4.5769000000000002</v>
      </c>
      <c r="G888" s="273">
        <f t="shared" ref="G888:G921" si="17">F888-E888</f>
        <v>6.0699999999999754E-2</v>
      </c>
    </row>
    <row r="889" spans="1:7" hidden="1">
      <c r="A889" s="245">
        <v>44174</v>
      </c>
      <c r="B889" s="245">
        <v>44176</v>
      </c>
      <c r="C889" s="273" t="s">
        <v>11</v>
      </c>
      <c r="D889" s="273">
        <v>41</v>
      </c>
      <c r="E889" s="273">
        <v>5.6021000000000001</v>
      </c>
      <c r="F889" s="273">
        <v>7.4298999999999999</v>
      </c>
      <c r="G889" s="273">
        <f t="shared" si="17"/>
        <v>1.8277999999999999</v>
      </c>
    </row>
    <row r="890" spans="1:7" hidden="1">
      <c r="A890" s="245">
        <v>44174</v>
      </c>
      <c r="B890" s="245">
        <v>44176</v>
      </c>
      <c r="C890" s="273" t="s">
        <v>11</v>
      </c>
      <c r="D890" s="273">
        <v>40</v>
      </c>
      <c r="E890" s="273">
        <v>5.2028999999999996</v>
      </c>
      <c r="F890" s="273">
        <v>5.5815000000000001</v>
      </c>
      <c r="G890" s="273">
        <f t="shared" si="17"/>
        <v>0.37860000000000049</v>
      </c>
    </row>
    <row r="891" spans="1:7" hidden="1">
      <c r="A891" s="245">
        <v>44174</v>
      </c>
      <c r="B891" s="245">
        <v>44176</v>
      </c>
      <c r="C891" s="273" t="s">
        <v>11</v>
      </c>
      <c r="D891" s="273">
        <v>39</v>
      </c>
      <c r="E891" s="273">
        <v>5.6035000000000004</v>
      </c>
      <c r="F891" s="273">
        <v>5.8856000000000002</v>
      </c>
      <c r="G891" s="273">
        <f t="shared" si="17"/>
        <v>0.2820999999999998</v>
      </c>
    </row>
    <row r="892" spans="1:7" hidden="1">
      <c r="A892" s="245">
        <v>44174</v>
      </c>
      <c r="B892" s="245">
        <v>44176</v>
      </c>
      <c r="C892" s="273" t="s">
        <v>11</v>
      </c>
      <c r="D892" s="273">
        <v>38</v>
      </c>
      <c r="E892" s="273">
        <v>4.7133000000000003</v>
      </c>
      <c r="F892" s="273">
        <v>4.9303999999999997</v>
      </c>
      <c r="G892" s="273">
        <f t="shared" si="17"/>
        <v>0.2170999999999994</v>
      </c>
    </row>
    <row r="893" spans="1:7" hidden="1">
      <c r="A893" s="245">
        <v>44174</v>
      </c>
      <c r="B893" s="245">
        <v>44176</v>
      </c>
      <c r="C893" s="273" t="s">
        <v>16</v>
      </c>
      <c r="D893" s="273">
        <v>58</v>
      </c>
      <c r="E893" s="273">
        <v>5.4839000000000002</v>
      </c>
      <c r="F893" s="273">
        <v>5.7550999999999997</v>
      </c>
      <c r="G893" s="273">
        <f t="shared" si="17"/>
        <v>0.27119999999999944</v>
      </c>
    </row>
    <row r="894" spans="1:7" hidden="1">
      <c r="A894" s="245">
        <v>44174</v>
      </c>
      <c r="B894" s="245">
        <v>44176</v>
      </c>
      <c r="C894" s="273" t="s">
        <v>16</v>
      </c>
      <c r="D894" s="273">
        <v>56</v>
      </c>
      <c r="E894" s="273">
        <v>5.3369</v>
      </c>
      <c r="F894" s="273">
        <v>5.4856999999999996</v>
      </c>
      <c r="G894" s="273">
        <f t="shared" si="17"/>
        <v>0.1487999999999996</v>
      </c>
    </row>
    <row r="895" spans="1:7" hidden="1">
      <c r="A895" s="245">
        <v>44174</v>
      </c>
      <c r="B895" s="245">
        <v>44176</v>
      </c>
      <c r="C895" s="273" t="s">
        <v>16</v>
      </c>
      <c r="D895" s="273">
        <v>55</v>
      </c>
      <c r="E895" s="273">
        <v>4.9814999999999996</v>
      </c>
      <c r="F895" s="273">
        <v>5.0316999999999998</v>
      </c>
      <c r="G895" s="273">
        <f t="shared" si="17"/>
        <v>5.0200000000000244E-2</v>
      </c>
    </row>
    <row r="896" spans="1:7" hidden="1">
      <c r="A896" s="245">
        <v>44174</v>
      </c>
      <c r="B896" s="245">
        <v>44176</v>
      </c>
      <c r="C896" s="273" t="s">
        <v>16</v>
      </c>
      <c r="D896" s="273">
        <v>57</v>
      </c>
      <c r="E896" s="273">
        <v>5.2145999999999999</v>
      </c>
      <c r="F896" s="273">
        <v>5.5853000000000002</v>
      </c>
      <c r="G896" s="273">
        <f t="shared" si="17"/>
        <v>0.37070000000000025</v>
      </c>
    </row>
    <row r="897" spans="1:7" hidden="1">
      <c r="A897" s="245">
        <v>44174</v>
      </c>
      <c r="B897" s="245">
        <v>44176</v>
      </c>
      <c r="C897" s="273" t="s">
        <v>16</v>
      </c>
      <c r="D897" s="273">
        <v>59</v>
      </c>
      <c r="E897" s="273">
        <v>5.2927999999999997</v>
      </c>
      <c r="F897" s="273">
        <v>5.5368000000000004</v>
      </c>
      <c r="G897" s="273">
        <f t="shared" si="17"/>
        <v>0.24400000000000066</v>
      </c>
    </row>
    <row r="898" spans="1:7" hidden="1">
      <c r="A898" s="245">
        <v>44174</v>
      </c>
      <c r="B898" s="245">
        <v>44176</v>
      </c>
      <c r="C898" s="273" t="s">
        <v>26</v>
      </c>
      <c r="D898" s="273"/>
      <c r="E898" s="273">
        <v>4.4901</v>
      </c>
      <c r="F898" s="273">
        <v>4.5415999999999999</v>
      </c>
      <c r="G898" s="273">
        <f t="shared" si="17"/>
        <v>5.1499999999999879E-2</v>
      </c>
    </row>
    <row r="899" spans="1:7" hidden="1">
      <c r="A899" s="245">
        <v>44176</v>
      </c>
      <c r="B899" s="245">
        <v>44179</v>
      </c>
      <c r="C899" s="273" t="s">
        <v>11</v>
      </c>
      <c r="D899" s="273">
        <v>40</v>
      </c>
      <c r="E899" s="273">
        <v>4.8140999999999998</v>
      </c>
      <c r="F899" s="273">
        <v>4.9485999999999999</v>
      </c>
      <c r="G899" s="273">
        <f t="shared" si="17"/>
        <v>0.13450000000000006</v>
      </c>
    </row>
    <row r="900" spans="1:7" hidden="1">
      <c r="A900" s="245">
        <v>44176</v>
      </c>
      <c r="B900" s="245">
        <v>44179</v>
      </c>
      <c r="C900" s="273" t="s">
        <v>11</v>
      </c>
      <c r="D900" s="273">
        <v>41</v>
      </c>
      <c r="E900" s="273">
        <v>4.8653000000000004</v>
      </c>
      <c r="F900" s="273">
        <v>5.7798999999999996</v>
      </c>
      <c r="G900" s="273">
        <f t="shared" si="17"/>
        <v>0.91459999999999919</v>
      </c>
    </row>
    <row r="901" spans="1:7" hidden="1">
      <c r="A901" s="245">
        <v>44176</v>
      </c>
      <c r="B901" s="245">
        <v>44179</v>
      </c>
      <c r="C901" s="273" t="s">
        <v>11</v>
      </c>
      <c r="D901" s="273">
        <v>42</v>
      </c>
      <c r="E901" s="273">
        <v>5.2630999999999997</v>
      </c>
      <c r="F901" s="273">
        <v>6.3918999999999997</v>
      </c>
      <c r="G901" s="273">
        <f t="shared" si="17"/>
        <v>1.1288</v>
      </c>
    </row>
    <row r="902" spans="1:7" hidden="1">
      <c r="A902" s="245">
        <v>44176</v>
      </c>
      <c r="B902" s="245">
        <v>44179</v>
      </c>
      <c r="C902" s="273" t="s">
        <v>11</v>
      </c>
      <c r="D902" s="273">
        <v>43</v>
      </c>
      <c r="E902" s="273">
        <v>4.8733000000000004</v>
      </c>
      <c r="F902" s="273">
        <v>5.3867000000000003</v>
      </c>
      <c r="G902" s="273">
        <f t="shared" si="17"/>
        <v>0.51339999999999986</v>
      </c>
    </row>
    <row r="903" spans="1:7" hidden="1">
      <c r="A903" s="245">
        <v>44176</v>
      </c>
      <c r="B903" s="245">
        <v>44179</v>
      </c>
      <c r="C903" s="273" t="s">
        <v>16</v>
      </c>
      <c r="D903" s="273">
        <v>56</v>
      </c>
      <c r="E903" s="273">
        <v>5.5239000000000003</v>
      </c>
      <c r="F903" s="273">
        <v>5.6109</v>
      </c>
      <c r="G903" s="273">
        <f t="shared" si="17"/>
        <v>8.6999999999999744E-2</v>
      </c>
    </row>
    <row r="904" spans="1:7" hidden="1">
      <c r="A904" s="245">
        <v>44176</v>
      </c>
      <c r="B904" s="245">
        <v>44179</v>
      </c>
      <c r="C904" s="273" t="s">
        <v>16</v>
      </c>
      <c r="D904" s="273">
        <v>57</v>
      </c>
      <c r="E904" s="273">
        <v>7.3266</v>
      </c>
      <c r="F904" s="273">
        <v>7.5084999999999997</v>
      </c>
      <c r="G904" s="273">
        <f t="shared" si="17"/>
        <v>0.18189999999999973</v>
      </c>
    </row>
    <row r="905" spans="1:7" hidden="1">
      <c r="A905" s="245">
        <v>44176</v>
      </c>
      <c r="B905" s="245">
        <v>44179</v>
      </c>
      <c r="C905" s="273" t="s">
        <v>16</v>
      </c>
      <c r="D905" s="273">
        <v>59</v>
      </c>
      <c r="E905" s="273">
        <v>4.5141</v>
      </c>
      <c r="F905" s="273">
        <v>4.6738</v>
      </c>
      <c r="G905" s="273">
        <f t="shared" si="17"/>
        <v>0.15969999999999995</v>
      </c>
    </row>
    <row r="906" spans="1:7" hidden="1">
      <c r="A906" s="245">
        <v>44176</v>
      </c>
      <c r="B906" s="245">
        <v>44179</v>
      </c>
      <c r="C906" s="273" t="s">
        <v>24</v>
      </c>
      <c r="D906" s="273">
        <v>8</v>
      </c>
      <c r="E906" s="273">
        <v>5.3193000000000001</v>
      </c>
      <c r="F906" s="273">
        <v>8.7136999999999993</v>
      </c>
      <c r="G906" s="273">
        <f t="shared" si="17"/>
        <v>3.3943999999999992</v>
      </c>
    </row>
    <row r="907" spans="1:7" hidden="1">
      <c r="A907" s="245">
        <v>44179</v>
      </c>
      <c r="B907" s="245">
        <v>44181</v>
      </c>
      <c r="C907" s="273" t="s">
        <v>24</v>
      </c>
      <c r="D907" s="273">
        <v>9</v>
      </c>
      <c r="E907" s="273">
        <v>6.0175000000000001</v>
      </c>
      <c r="F907" s="273">
        <v>7.0084</v>
      </c>
      <c r="G907" s="273">
        <f t="shared" si="17"/>
        <v>0.99089999999999989</v>
      </c>
    </row>
    <row r="908" spans="1:7" hidden="1">
      <c r="A908" s="245">
        <v>44179</v>
      </c>
      <c r="B908" s="245">
        <v>44181</v>
      </c>
      <c r="C908" s="273" t="s">
        <v>16</v>
      </c>
      <c r="D908" s="273">
        <v>57</v>
      </c>
      <c r="E908" s="273">
        <v>3.7559</v>
      </c>
      <c r="F908" s="273">
        <v>3.8117000000000001</v>
      </c>
      <c r="G908" s="273">
        <f t="shared" si="17"/>
        <v>5.5800000000000072E-2</v>
      </c>
    </row>
    <row r="909" spans="1:7" hidden="1">
      <c r="A909" s="245">
        <v>44179</v>
      </c>
      <c r="B909" s="245">
        <v>44181</v>
      </c>
      <c r="C909" s="273" t="s">
        <v>16</v>
      </c>
      <c r="D909" s="273">
        <v>58</v>
      </c>
      <c r="E909" s="273">
        <v>5.3018000000000001</v>
      </c>
      <c r="F909" s="273">
        <v>5.4142999999999999</v>
      </c>
      <c r="G909" s="273">
        <f t="shared" si="17"/>
        <v>0.11249999999999982</v>
      </c>
    </row>
    <row r="910" spans="1:7" hidden="1">
      <c r="A910" s="245">
        <v>44179</v>
      </c>
      <c r="B910" s="245">
        <v>44181</v>
      </c>
      <c r="C910" s="273" t="s">
        <v>11</v>
      </c>
      <c r="D910" s="273">
        <v>42</v>
      </c>
      <c r="E910" s="273">
        <v>6.1600999999999999</v>
      </c>
      <c r="F910" s="273">
        <v>8.2482000000000006</v>
      </c>
      <c r="G910" s="273">
        <f t="shared" si="17"/>
        <v>2.0881000000000007</v>
      </c>
    </row>
    <row r="911" spans="1:7" hidden="1">
      <c r="A911" s="245">
        <v>44179</v>
      </c>
      <c r="B911" s="245">
        <v>44181</v>
      </c>
      <c r="C911" s="273" t="s">
        <v>11</v>
      </c>
      <c r="D911" s="273">
        <v>41</v>
      </c>
      <c r="E911" s="273">
        <v>6.2317999999999998</v>
      </c>
      <c r="F911" s="273">
        <v>6.6692</v>
      </c>
      <c r="G911" s="273">
        <f t="shared" si="17"/>
        <v>0.43740000000000023</v>
      </c>
    </row>
    <row r="912" spans="1:7" hidden="1">
      <c r="A912" s="245">
        <v>44179</v>
      </c>
      <c r="B912" s="245">
        <v>44181</v>
      </c>
      <c r="C912" s="273" t="s">
        <v>11</v>
      </c>
      <c r="D912" s="273">
        <v>43</v>
      </c>
      <c r="E912" s="273">
        <v>4.2606999999999999</v>
      </c>
      <c r="F912" s="273">
        <v>5.1418999999999997</v>
      </c>
      <c r="G912" s="273">
        <f t="shared" si="17"/>
        <v>0.88119999999999976</v>
      </c>
    </row>
    <row r="913" spans="1:9" hidden="1">
      <c r="A913" s="245">
        <v>44179</v>
      </c>
      <c r="B913" s="245">
        <v>44181</v>
      </c>
      <c r="C913" s="273" t="s">
        <v>11</v>
      </c>
      <c r="D913" s="273">
        <v>39</v>
      </c>
      <c r="E913" s="273">
        <v>5.4131999999999998</v>
      </c>
      <c r="F913" s="273">
        <v>5.5309999999999997</v>
      </c>
      <c r="G913" s="273">
        <f t="shared" si="17"/>
        <v>0.1177999999999999</v>
      </c>
      <c r="H913" s="273"/>
      <c r="I913" s="273"/>
    </row>
    <row r="914" spans="1:9" hidden="1">
      <c r="A914" s="245">
        <v>44179</v>
      </c>
      <c r="B914" s="245">
        <v>44181</v>
      </c>
      <c r="C914" s="273" t="s">
        <v>11</v>
      </c>
      <c r="D914" s="273">
        <v>37</v>
      </c>
      <c r="E914" s="273">
        <v>4.4402999999999997</v>
      </c>
      <c r="F914" s="273">
        <v>4.5236999999999998</v>
      </c>
      <c r="G914" s="273">
        <f t="shared" si="17"/>
        <v>8.3400000000000141E-2</v>
      </c>
      <c r="H914" s="273"/>
      <c r="I914" s="273"/>
    </row>
    <row r="915" spans="1:9" hidden="1">
      <c r="A915" s="245">
        <v>44179</v>
      </c>
      <c r="B915" s="245">
        <v>44181</v>
      </c>
      <c r="C915" s="273" t="s">
        <v>8</v>
      </c>
      <c r="D915" s="273">
        <v>23</v>
      </c>
      <c r="E915" s="273">
        <v>6.6820000000000004</v>
      </c>
      <c r="F915" s="273">
        <v>7.3208000000000002</v>
      </c>
      <c r="G915" s="273">
        <f t="shared" si="17"/>
        <v>0.63879999999999981</v>
      </c>
      <c r="H915" s="273"/>
      <c r="I915" s="273"/>
    </row>
    <row r="916" spans="1:9" hidden="1">
      <c r="A916" s="245">
        <v>44179</v>
      </c>
      <c r="B916" s="245">
        <v>44181</v>
      </c>
      <c r="C916" s="273" t="s">
        <v>8</v>
      </c>
      <c r="D916" s="273">
        <v>24</v>
      </c>
      <c r="E916" s="273">
        <v>4.3164999999999996</v>
      </c>
      <c r="F916" s="273">
        <v>5.3202999999999996</v>
      </c>
      <c r="G916" s="273">
        <f t="shared" si="17"/>
        <v>1.0038</v>
      </c>
      <c r="H916" s="273"/>
      <c r="I916" s="273"/>
    </row>
    <row r="917" spans="1:9" hidden="1">
      <c r="A917" s="245">
        <v>44179</v>
      </c>
      <c r="B917" s="245">
        <v>44181</v>
      </c>
      <c r="C917" s="273" t="s">
        <v>8</v>
      </c>
      <c r="D917" s="273">
        <v>26</v>
      </c>
      <c r="E917" s="273">
        <v>5.1311</v>
      </c>
      <c r="F917" s="273">
        <v>5.8150000000000004</v>
      </c>
      <c r="G917" s="273">
        <f t="shared" si="17"/>
        <v>0.6839000000000004</v>
      </c>
      <c r="H917" s="273"/>
      <c r="I917" s="273"/>
    </row>
    <row r="918" spans="1:9" hidden="1">
      <c r="A918" s="245">
        <v>44179</v>
      </c>
      <c r="B918" s="245">
        <v>44181</v>
      </c>
      <c r="C918" s="273" t="s">
        <v>8</v>
      </c>
      <c r="D918" s="273">
        <v>25</v>
      </c>
      <c r="E918" s="273">
        <v>6.1077000000000004</v>
      </c>
      <c r="F918" s="273">
        <v>6.3939000000000004</v>
      </c>
      <c r="G918" s="273">
        <f t="shared" si="17"/>
        <v>0.28620000000000001</v>
      </c>
      <c r="H918" s="273"/>
      <c r="I918" s="273"/>
    </row>
    <row r="919" spans="1:9" hidden="1">
      <c r="A919" s="245">
        <v>44179</v>
      </c>
      <c r="B919" s="245">
        <v>44181</v>
      </c>
      <c r="C919" s="273" t="s">
        <v>8</v>
      </c>
      <c r="D919" s="273">
        <v>27</v>
      </c>
      <c r="E919" s="273">
        <v>6.2625000000000002</v>
      </c>
      <c r="F919" s="273">
        <v>7.0983000000000001</v>
      </c>
      <c r="G919" s="273">
        <f t="shared" si="17"/>
        <v>0.83579999999999988</v>
      </c>
      <c r="H919" s="273"/>
      <c r="I919" s="273"/>
    </row>
    <row r="920" spans="1:9" hidden="1">
      <c r="A920" s="245">
        <v>44179</v>
      </c>
      <c r="B920" s="245">
        <v>44181</v>
      </c>
      <c r="C920" s="273" t="s">
        <v>8</v>
      </c>
      <c r="D920" s="273">
        <v>28</v>
      </c>
      <c r="E920" s="273">
        <v>3.8361000000000001</v>
      </c>
      <c r="F920" s="273">
        <v>4.9999000000000002</v>
      </c>
      <c r="G920" s="273">
        <f t="shared" si="17"/>
        <v>1.1638000000000002</v>
      </c>
      <c r="H920" s="273"/>
      <c r="I920" s="273"/>
    </row>
    <row r="921" spans="1:9" hidden="1">
      <c r="A921" s="245">
        <v>44179</v>
      </c>
      <c r="B921" s="245">
        <v>44181</v>
      </c>
      <c r="C921" s="273" t="s">
        <v>8</v>
      </c>
      <c r="D921" s="273">
        <v>29</v>
      </c>
      <c r="E921" s="273">
        <v>4.6890000000000001</v>
      </c>
      <c r="F921" s="273">
        <v>5.7333999999999996</v>
      </c>
      <c r="G921" s="273">
        <f t="shared" si="17"/>
        <v>1.0443999999999996</v>
      </c>
      <c r="H921" s="273"/>
      <c r="I921" s="273"/>
    </row>
    <row r="922" spans="1:9" hidden="1">
      <c r="A922" s="245">
        <v>44181</v>
      </c>
      <c r="B922" s="245">
        <v>44183</v>
      </c>
      <c r="C922" s="273" t="s">
        <v>8</v>
      </c>
      <c r="D922" s="273">
        <v>24</v>
      </c>
      <c r="E922" s="273">
        <v>4.6879999999999997</v>
      </c>
      <c r="F922" s="273">
        <v>4.9320000000000004</v>
      </c>
      <c r="G922" s="273">
        <f>F922-E922</f>
        <v>0.24400000000000066</v>
      </c>
      <c r="H922" s="273"/>
      <c r="I922" s="273"/>
    </row>
    <row r="923" spans="1:9" hidden="1">
      <c r="A923" s="245">
        <v>44181</v>
      </c>
      <c r="B923" s="245">
        <v>44183</v>
      </c>
      <c r="C923" s="273" t="s">
        <v>8</v>
      </c>
      <c r="D923" s="273">
        <v>28</v>
      </c>
      <c r="E923" s="273">
        <v>5.0069999999999997</v>
      </c>
      <c r="F923" s="273">
        <v>8.2603000000000009</v>
      </c>
      <c r="G923" s="273">
        <f>F923-E923</f>
        <v>3.2533000000000012</v>
      </c>
      <c r="H923" s="273"/>
      <c r="I923" s="273"/>
    </row>
    <row r="924" spans="1:9" hidden="1">
      <c r="A924" s="245">
        <v>44181</v>
      </c>
      <c r="B924" s="245">
        <v>44183</v>
      </c>
      <c r="C924" s="273" t="s">
        <v>8</v>
      </c>
      <c r="D924" s="273">
        <v>29</v>
      </c>
      <c r="E924" s="273">
        <v>5.1242000000000001</v>
      </c>
      <c r="F924" s="273">
        <v>8.6583000000000006</v>
      </c>
      <c r="G924" s="273">
        <f>F924-E924</f>
        <v>3.5341000000000005</v>
      </c>
      <c r="H924" s="273"/>
      <c r="I924" s="273"/>
    </row>
    <row r="925" spans="1:9" hidden="1">
      <c r="A925" s="245">
        <v>44181</v>
      </c>
      <c r="B925" s="245">
        <v>44183</v>
      </c>
      <c r="C925" s="273" t="s">
        <v>8</v>
      </c>
      <c r="D925" s="273">
        <v>26</v>
      </c>
      <c r="E925" s="273">
        <v>5.5666000000000002</v>
      </c>
      <c r="F925" s="273">
        <v>6.0138999999999996</v>
      </c>
      <c r="G925" s="273">
        <f>F925-E925</f>
        <v>0.44729999999999936</v>
      </c>
      <c r="H925" s="273"/>
      <c r="I925" s="273"/>
    </row>
    <row r="926" spans="1:9" hidden="1">
      <c r="A926" s="245">
        <v>44181</v>
      </c>
      <c r="B926" s="245">
        <v>44183</v>
      </c>
      <c r="C926" s="273" t="s">
        <v>8</v>
      </c>
      <c r="D926" s="273">
        <v>23</v>
      </c>
      <c r="E926" s="273">
        <v>4.4180000000000001</v>
      </c>
      <c r="F926" s="273">
        <v>4.9031000000000002</v>
      </c>
      <c r="G926" s="273">
        <f>F926-E926</f>
        <v>0.48510000000000009</v>
      </c>
      <c r="H926" s="273"/>
      <c r="I926" s="273"/>
    </row>
    <row r="927" spans="1:9" hidden="1">
      <c r="A927" s="245">
        <v>44181</v>
      </c>
      <c r="B927" s="245">
        <v>44183</v>
      </c>
      <c r="C927" s="273" t="s">
        <v>8</v>
      </c>
      <c r="D927" s="273">
        <v>25</v>
      </c>
      <c r="E927" s="273">
        <v>4.8535000000000004</v>
      </c>
      <c r="F927" s="273">
        <v>5.0046999999999997</v>
      </c>
      <c r="G927" s="273">
        <f>F927-E927</f>
        <v>0.15119999999999933</v>
      </c>
      <c r="H927" s="273"/>
      <c r="I927" s="273"/>
    </row>
    <row r="928" spans="1:9" hidden="1">
      <c r="A928" s="245">
        <v>44181</v>
      </c>
      <c r="B928" s="245">
        <v>44183</v>
      </c>
      <c r="C928" s="273" t="s">
        <v>8</v>
      </c>
      <c r="D928" s="273">
        <v>27</v>
      </c>
      <c r="E928" s="273">
        <v>4.9569999999999999</v>
      </c>
      <c r="F928" s="273">
        <v>7.3832000000000004</v>
      </c>
      <c r="G928" s="273">
        <f>F928-E928</f>
        <v>2.4262000000000006</v>
      </c>
      <c r="H928" s="273"/>
      <c r="I928" s="273"/>
    </row>
    <row r="929" spans="1:9" hidden="1">
      <c r="A929" s="245">
        <v>44181</v>
      </c>
      <c r="B929" s="245">
        <v>44183</v>
      </c>
      <c r="C929" s="273" t="s">
        <v>11</v>
      </c>
      <c r="D929" s="273">
        <v>40</v>
      </c>
      <c r="E929" s="273">
        <v>4.0498000000000003</v>
      </c>
      <c r="F929" s="273">
        <v>4.1334999999999997</v>
      </c>
      <c r="G929" s="273">
        <f>F929-E929</f>
        <v>8.3699999999999442E-2</v>
      </c>
      <c r="H929" s="273"/>
      <c r="I929" s="273"/>
    </row>
    <row r="930" spans="1:9" hidden="1">
      <c r="A930" s="245">
        <v>44181</v>
      </c>
      <c r="B930" s="245">
        <v>44183</v>
      </c>
      <c r="C930" s="273" t="s">
        <v>11</v>
      </c>
      <c r="D930" s="273">
        <v>43</v>
      </c>
      <c r="E930" s="273">
        <v>4.6914999999999996</v>
      </c>
      <c r="F930" s="273">
        <v>5.4366000000000003</v>
      </c>
      <c r="G930" s="273">
        <f>F930-E930</f>
        <v>0.74510000000000076</v>
      </c>
      <c r="H930" s="273"/>
      <c r="I930" s="273"/>
    </row>
    <row r="931" spans="1:9" hidden="1">
      <c r="A931" s="245">
        <v>44181</v>
      </c>
      <c r="B931" s="245">
        <v>44183</v>
      </c>
      <c r="C931" s="273" t="s">
        <v>11</v>
      </c>
      <c r="D931" s="273">
        <v>42</v>
      </c>
      <c r="E931" s="273">
        <v>4.9236000000000004</v>
      </c>
      <c r="F931" s="273">
        <v>8.2494999999999994</v>
      </c>
      <c r="G931" s="273">
        <f>F931-E931</f>
        <v>3.325899999999999</v>
      </c>
      <c r="H931" s="273"/>
      <c r="I931" s="273"/>
    </row>
    <row r="932" spans="1:9" hidden="1">
      <c r="A932" s="245">
        <v>44181</v>
      </c>
      <c r="B932" s="245">
        <v>44183</v>
      </c>
      <c r="C932" s="273" t="s">
        <v>11</v>
      </c>
      <c r="D932" s="273">
        <v>41</v>
      </c>
      <c r="E932" s="273">
        <v>4.7385999999999999</v>
      </c>
      <c r="F932" s="273">
        <v>5.0237999999999996</v>
      </c>
      <c r="G932" s="273">
        <f>F932-E932</f>
        <v>0.28519999999999968</v>
      </c>
      <c r="H932" s="273"/>
      <c r="I932" s="273"/>
    </row>
    <row r="933" spans="1:9" hidden="1">
      <c r="A933" s="245">
        <v>44181</v>
      </c>
      <c r="B933" s="245">
        <v>44183</v>
      </c>
      <c r="C933" s="273" t="s">
        <v>16</v>
      </c>
      <c r="D933" s="273">
        <v>57</v>
      </c>
      <c r="E933" s="273">
        <v>4.8964999999999996</v>
      </c>
      <c r="F933" s="273">
        <v>5.0263</v>
      </c>
      <c r="G933" s="273">
        <f>F933-E933</f>
        <v>0.12980000000000036</v>
      </c>
      <c r="H933" s="273"/>
      <c r="I933" s="273"/>
    </row>
    <row r="934" spans="1:9" hidden="1">
      <c r="A934" s="245">
        <v>44181</v>
      </c>
      <c r="B934" s="245">
        <v>44183</v>
      </c>
      <c r="C934" s="273" t="s">
        <v>16</v>
      </c>
      <c r="D934" s="273">
        <v>59</v>
      </c>
      <c r="E934" s="273">
        <v>3.9569000000000001</v>
      </c>
      <c r="F934" s="273">
        <v>4.0186000000000002</v>
      </c>
      <c r="G934" s="273">
        <f>F934-E934</f>
        <v>6.1700000000000088E-2</v>
      </c>
      <c r="H934" s="273"/>
      <c r="I934" s="273"/>
    </row>
    <row r="935" spans="1:9" hidden="1">
      <c r="A935" s="245">
        <v>44181</v>
      </c>
      <c r="B935" s="245">
        <v>44183</v>
      </c>
      <c r="C935" s="273" t="s">
        <v>24</v>
      </c>
      <c r="D935" s="273">
        <v>16</v>
      </c>
      <c r="E935" s="273">
        <v>5.2217000000000002</v>
      </c>
      <c r="F935" s="273">
        <v>5.3517000000000001</v>
      </c>
      <c r="G935" s="273">
        <f>F935-E935</f>
        <v>0.12999999999999989</v>
      </c>
      <c r="H935" s="273"/>
      <c r="I935" s="273"/>
    </row>
    <row r="936" spans="1:9" hidden="1">
      <c r="A936" s="245">
        <v>44181</v>
      </c>
      <c r="B936" s="245">
        <v>44183</v>
      </c>
      <c r="C936" s="273" t="s">
        <v>24</v>
      </c>
      <c r="D936" s="273">
        <v>10</v>
      </c>
      <c r="E936" s="273">
        <v>5.2740999999999998</v>
      </c>
      <c r="F936" s="273">
        <v>8.2624999999999993</v>
      </c>
      <c r="G936" s="273">
        <f>F936-E936</f>
        <v>2.9883999999999995</v>
      </c>
      <c r="H936" s="273"/>
      <c r="I936" s="273">
        <f>SUM(G935:G938)</f>
        <v>3.8166000000000002</v>
      </c>
    </row>
    <row r="937" spans="1:9" hidden="1">
      <c r="A937" s="245">
        <v>44181</v>
      </c>
      <c r="B937" s="245">
        <v>44183</v>
      </c>
      <c r="C937" s="273" t="s">
        <v>24</v>
      </c>
      <c r="D937" s="273">
        <v>14</v>
      </c>
      <c r="E937" s="273">
        <v>4.7965999999999998</v>
      </c>
      <c r="F937" s="273">
        <v>5.3310000000000004</v>
      </c>
      <c r="G937" s="273">
        <f>F937-E937</f>
        <v>0.53440000000000065</v>
      </c>
      <c r="H937" s="273"/>
      <c r="I937" s="273"/>
    </row>
    <row r="938" spans="1:9" hidden="1">
      <c r="A938" s="245">
        <v>44181</v>
      </c>
      <c r="B938" s="245">
        <v>44183</v>
      </c>
      <c r="C938" s="273" t="s">
        <v>24</v>
      </c>
      <c r="D938" s="273">
        <v>13</v>
      </c>
      <c r="E938" s="273">
        <v>5.2317</v>
      </c>
      <c r="F938" s="273">
        <v>5.3955000000000002</v>
      </c>
      <c r="G938" s="273">
        <f>F938-E938</f>
        <v>0.16380000000000017</v>
      </c>
      <c r="H938" s="273"/>
      <c r="I938" s="273"/>
    </row>
    <row r="939" spans="1:9" hidden="1">
      <c r="A939" s="245">
        <v>44180</v>
      </c>
      <c r="B939" s="245">
        <v>44183</v>
      </c>
      <c r="C939" s="273" t="s">
        <v>24</v>
      </c>
      <c r="D939" s="273">
        <v>8</v>
      </c>
      <c r="E939" s="273">
        <v>0</v>
      </c>
      <c r="F939" s="273">
        <v>6.1943999999999999</v>
      </c>
      <c r="G939" s="273">
        <f>F939-E939</f>
        <v>6.1943999999999999</v>
      </c>
      <c r="H939" s="273"/>
      <c r="I939" s="273"/>
    </row>
    <row r="940" spans="1:9" hidden="1">
      <c r="A940" s="245">
        <v>44180</v>
      </c>
      <c r="B940" s="245">
        <v>44183</v>
      </c>
      <c r="C940" s="273" t="s">
        <v>24</v>
      </c>
      <c r="D940" s="273">
        <v>9</v>
      </c>
      <c r="E940" s="273">
        <v>0</v>
      </c>
      <c r="F940" s="273">
        <v>2.3898999999999999</v>
      </c>
      <c r="G940" s="273">
        <f>F940-E940</f>
        <v>2.3898999999999999</v>
      </c>
      <c r="H940" s="273"/>
      <c r="I940" s="273"/>
    </row>
    <row r="941" spans="1:9" hidden="1">
      <c r="A941" s="245">
        <v>44183</v>
      </c>
      <c r="B941" s="245">
        <v>44186</v>
      </c>
      <c r="C941" s="273" t="s">
        <v>26</v>
      </c>
      <c r="D941" s="273"/>
      <c r="E941" s="273">
        <v>4.7403000000000004</v>
      </c>
      <c r="F941" s="273">
        <v>4.8121</v>
      </c>
      <c r="G941" s="273">
        <f>F941-E941</f>
        <v>7.1799999999999642E-2</v>
      </c>
      <c r="H941" s="273"/>
      <c r="I941" s="273"/>
    </row>
    <row r="942" spans="1:9" hidden="1">
      <c r="A942" s="245">
        <v>44183</v>
      </c>
      <c r="B942" s="245">
        <v>44186</v>
      </c>
      <c r="C942" s="273" t="s">
        <v>8</v>
      </c>
      <c r="D942" s="273">
        <v>26</v>
      </c>
      <c r="E942" s="273">
        <v>5.1595000000000004</v>
      </c>
      <c r="F942" s="273">
        <v>5.5137999999999998</v>
      </c>
      <c r="G942" s="273">
        <f>F942-E942</f>
        <v>0.35429999999999939</v>
      </c>
      <c r="H942" s="273"/>
      <c r="I942" s="273"/>
    </row>
    <row r="943" spans="1:9" hidden="1">
      <c r="A943" s="245">
        <v>44183</v>
      </c>
      <c r="B943" s="245">
        <v>44186</v>
      </c>
      <c r="C943" s="273" t="s">
        <v>8</v>
      </c>
      <c r="D943" s="273">
        <v>24</v>
      </c>
      <c r="E943" s="273">
        <v>5.3777999999999997</v>
      </c>
      <c r="F943" s="273">
        <v>6.8926999999999996</v>
      </c>
      <c r="G943" s="273">
        <f>F943-E943</f>
        <v>1.5148999999999999</v>
      </c>
      <c r="H943" s="273"/>
      <c r="I943" s="273"/>
    </row>
    <row r="944" spans="1:9" hidden="1">
      <c r="A944" s="245">
        <v>44183</v>
      </c>
      <c r="B944" s="245">
        <v>44186</v>
      </c>
      <c r="C944" s="273" t="s">
        <v>8</v>
      </c>
      <c r="D944" s="273">
        <v>23</v>
      </c>
      <c r="E944" s="273">
        <v>4.8262</v>
      </c>
      <c r="F944" s="273">
        <v>5.4428000000000001</v>
      </c>
      <c r="G944" s="273">
        <f>F944-E944</f>
        <v>0.61660000000000004</v>
      </c>
      <c r="H944" s="273"/>
      <c r="I944" s="273"/>
    </row>
    <row r="945" spans="1:7" hidden="1">
      <c r="A945" s="245">
        <v>44183</v>
      </c>
      <c r="B945" s="245">
        <v>44186</v>
      </c>
      <c r="C945" s="273" t="s">
        <v>8</v>
      </c>
      <c r="D945" s="273">
        <v>27</v>
      </c>
      <c r="E945" s="273">
        <v>5.2656999999999998</v>
      </c>
      <c r="F945" s="273">
        <v>5.3620999999999999</v>
      </c>
      <c r="G945" s="273">
        <f>F945-E945</f>
        <v>9.6400000000000041E-2</v>
      </c>
    </row>
    <row r="946" spans="1:7" hidden="1">
      <c r="A946" s="245">
        <v>44183</v>
      </c>
      <c r="B946" s="245">
        <v>44186</v>
      </c>
      <c r="C946" s="273" t="s">
        <v>8</v>
      </c>
      <c r="D946" s="273">
        <v>25</v>
      </c>
      <c r="E946" s="273">
        <v>5.1940999999999997</v>
      </c>
      <c r="F946" s="273">
        <v>5.3784999999999998</v>
      </c>
      <c r="G946" s="273">
        <f>F946-E946</f>
        <v>0.18440000000000012</v>
      </c>
    </row>
    <row r="947" spans="1:7" hidden="1">
      <c r="A947" s="245">
        <v>44183</v>
      </c>
      <c r="B947" s="245">
        <v>44186</v>
      </c>
      <c r="C947" s="273" t="s">
        <v>8</v>
      </c>
      <c r="D947" s="273">
        <v>28</v>
      </c>
      <c r="E947" s="273">
        <v>4.8818000000000001</v>
      </c>
      <c r="F947" s="273">
        <v>5.4927999999999999</v>
      </c>
      <c r="G947" s="273">
        <f>F947-E947</f>
        <v>0.61099999999999977</v>
      </c>
    </row>
    <row r="948" spans="1:7" hidden="1">
      <c r="A948" s="245">
        <v>44183</v>
      </c>
      <c r="B948" s="245">
        <v>44186</v>
      </c>
      <c r="C948" s="273" t="s">
        <v>8</v>
      </c>
      <c r="D948" s="273">
        <v>29</v>
      </c>
      <c r="E948" s="273">
        <v>4.8349000000000002</v>
      </c>
      <c r="F948" s="273">
        <v>6.2054999999999998</v>
      </c>
      <c r="G948" s="273">
        <f>F948-E948</f>
        <v>1.3705999999999996</v>
      </c>
    </row>
    <row r="949" spans="1:7" hidden="1">
      <c r="A949" s="245">
        <v>44183</v>
      </c>
      <c r="B949" s="245">
        <v>44186</v>
      </c>
      <c r="C949" s="273" t="s">
        <v>11</v>
      </c>
      <c r="D949" s="273">
        <v>41</v>
      </c>
      <c r="E949" s="273">
        <v>4.7243000000000004</v>
      </c>
      <c r="F949" s="273">
        <v>4.8246000000000002</v>
      </c>
      <c r="G949" s="273">
        <f>F949-E949</f>
        <v>0.10029999999999983</v>
      </c>
    </row>
    <row r="950" spans="1:7" hidden="1">
      <c r="A950" s="245">
        <v>44183</v>
      </c>
      <c r="B950" s="245">
        <v>44186</v>
      </c>
      <c r="C950" s="273" t="s">
        <v>11</v>
      </c>
      <c r="D950" s="273">
        <v>42</v>
      </c>
      <c r="E950" s="273">
        <v>5.0080999999999998</v>
      </c>
      <c r="F950" s="273">
        <v>7.2853000000000003</v>
      </c>
      <c r="G950" s="273">
        <f>F950-E950</f>
        <v>2.2772000000000006</v>
      </c>
    </row>
    <row r="951" spans="1:7" hidden="1">
      <c r="A951" s="245">
        <v>44183</v>
      </c>
      <c r="B951" s="245">
        <v>44186</v>
      </c>
      <c r="C951" s="273" t="s">
        <v>11</v>
      </c>
      <c r="D951" s="273">
        <v>43</v>
      </c>
      <c r="E951" s="273">
        <v>4.7446000000000002</v>
      </c>
      <c r="F951" s="273">
        <v>5.5157999999999996</v>
      </c>
      <c r="G951" s="273">
        <f>F951-E951</f>
        <v>0.77119999999999944</v>
      </c>
    </row>
    <row r="952" spans="1:7" hidden="1">
      <c r="A952" s="245">
        <v>44183</v>
      </c>
      <c r="B952" s="245">
        <v>44186</v>
      </c>
      <c r="C952" s="273" t="s">
        <v>16</v>
      </c>
      <c r="D952" s="273">
        <v>61</v>
      </c>
      <c r="E952" s="273">
        <v>5.1154000000000002</v>
      </c>
      <c r="F952" s="273">
        <v>5.2858999999999998</v>
      </c>
      <c r="G952" s="273">
        <f>F952-E952</f>
        <v>0.17049999999999965</v>
      </c>
    </row>
    <row r="953" spans="1:7" hidden="1">
      <c r="A953" s="245">
        <v>44183</v>
      </c>
      <c r="B953" s="245">
        <v>44186</v>
      </c>
      <c r="C953" s="273" t="s">
        <v>16</v>
      </c>
      <c r="D953" s="273">
        <v>57</v>
      </c>
      <c r="E953" s="273">
        <v>4.7483000000000004</v>
      </c>
      <c r="F953" s="273">
        <v>4.8056000000000001</v>
      </c>
      <c r="G953" s="273">
        <f>F953-E953</f>
        <v>5.7299999999999685E-2</v>
      </c>
    </row>
    <row r="954" spans="1:7" hidden="1">
      <c r="A954" s="245">
        <v>44183</v>
      </c>
      <c r="B954" s="245">
        <v>44186</v>
      </c>
      <c r="C954" s="273" t="s">
        <v>16</v>
      </c>
      <c r="D954" s="273">
        <v>62</v>
      </c>
      <c r="E954" s="273">
        <v>4.9032</v>
      </c>
      <c r="F954" s="273">
        <v>5.8494999999999999</v>
      </c>
      <c r="G954" s="273">
        <f>F954-E954</f>
        <v>0.94629999999999992</v>
      </c>
    </row>
    <row r="955" spans="1:7" hidden="1">
      <c r="A955" s="245">
        <v>44183</v>
      </c>
      <c r="B955" s="245">
        <v>44186</v>
      </c>
      <c r="C955" s="273" t="s">
        <v>16</v>
      </c>
      <c r="D955" s="273">
        <v>60</v>
      </c>
      <c r="E955" s="273">
        <v>4.2202999999999999</v>
      </c>
      <c r="F955" s="273">
        <v>5.0548999999999999</v>
      </c>
      <c r="G955" s="273">
        <f>F955-E955</f>
        <v>0.83460000000000001</v>
      </c>
    </row>
    <row r="956" spans="1:7" hidden="1">
      <c r="A956" s="245">
        <v>44183</v>
      </c>
      <c r="B956" s="245">
        <v>44186</v>
      </c>
      <c r="C956" s="273" t="s">
        <v>16</v>
      </c>
      <c r="D956" s="273">
        <v>64</v>
      </c>
      <c r="E956" s="273">
        <v>4.1269999999999998</v>
      </c>
      <c r="F956" s="273">
        <v>4.7247000000000003</v>
      </c>
      <c r="G956" s="273">
        <f>F956-E956</f>
        <v>0.59770000000000056</v>
      </c>
    </row>
    <row r="957" spans="1:7" hidden="1">
      <c r="A957" s="245">
        <v>44183</v>
      </c>
      <c r="B957" s="245">
        <v>44186</v>
      </c>
      <c r="C957" s="273" t="s">
        <v>16</v>
      </c>
      <c r="D957" s="273">
        <v>63</v>
      </c>
      <c r="E957" s="273">
        <v>5.4440999999999997</v>
      </c>
      <c r="F957" s="273">
        <v>5.6767599999999998</v>
      </c>
      <c r="G957" s="273">
        <f>F957-E957</f>
        <v>0.23266000000000009</v>
      </c>
    </row>
    <row r="958" spans="1:7" hidden="1">
      <c r="A958" s="245">
        <v>44183</v>
      </c>
      <c r="B958" s="245">
        <v>44186</v>
      </c>
      <c r="C958" s="273" t="s">
        <v>24</v>
      </c>
      <c r="D958" s="273">
        <v>16</v>
      </c>
      <c r="E958" s="273">
        <v>4.1557000000000004</v>
      </c>
      <c r="F958" s="273">
        <v>4.3749000000000002</v>
      </c>
      <c r="G958" s="273">
        <f>F958-E958</f>
        <v>0.21919999999999984</v>
      </c>
    </row>
    <row r="959" spans="1:7" hidden="1">
      <c r="A959" s="245">
        <v>44183</v>
      </c>
      <c r="B959" s="245">
        <v>44186</v>
      </c>
      <c r="C959" s="273" t="s">
        <v>24</v>
      </c>
      <c r="D959" s="273">
        <v>11</v>
      </c>
      <c r="E959" s="273">
        <v>5.1623000000000001</v>
      </c>
      <c r="F959" s="273">
        <v>6.3036000000000003</v>
      </c>
      <c r="G959" s="273">
        <f>F959-E959</f>
        <v>1.1413000000000002</v>
      </c>
    </row>
    <row r="960" spans="1:7" hidden="1">
      <c r="A960" s="245">
        <v>44183</v>
      </c>
      <c r="B960" s="245">
        <v>44186</v>
      </c>
      <c r="C960" s="273" t="s">
        <v>24</v>
      </c>
      <c r="D960" s="273">
        <v>15</v>
      </c>
      <c r="E960" s="273">
        <v>5.0937000000000001</v>
      </c>
      <c r="F960" s="273">
        <v>5.1272000000000002</v>
      </c>
      <c r="G960" s="273">
        <f>F960-E960</f>
        <v>3.3500000000000085E-2</v>
      </c>
    </row>
    <row r="961" spans="1:9" hidden="1">
      <c r="A961" s="245">
        <v>44183</v>
      </c>
      <c r="B961" s="245">
        <v>44186</v>
      </c>
      <c r="C961" s="273" t="s">
        <v>24</v>
      </c>
      <c r="D961" s="273">
        <v>8</v>
      </c>
      <c r="E961" s="273">
        <v>5.1585999999999999</v>
      </c>
      <c r="F961" s="273">
        <v>11.177199999999999</v>
      </c>
      <c r="G961" s="273">
        <f>F961-E961</f>
        <v>6.0185999999999993</v>
      </c>
      <c r="H961" s="273"/>
      <c r="I961" s="273"/>
    </row>
    <row r="962" spans="1:9" hidden="1">
      <c r="A962" s="245">
        <v>44183</v>
      </c>
      <c r="B962" s="245">
        <v>44186</v>
      </c>
      <c r="C962" s="273" t="s">
        <v>24</v>
      </c>
      <c r="D962" s="273">
        <v>10</v>
      </c>
      <c r="E962" s="273">
        <v>5.6883999999999997</v>
      </c>
      <c r="F962" s="273">
        <v>9.2903000000000002</v>
      </c>
      <c r="G962" s="273">
        <f>F962-E962</f>
        <v>3.6019000000000005</v>
      </c>
      <c r="H962" s="273"/>
      <c r="I962" s="273"/>
    </row>
    <row r="963" spans="1:9" hidden="1">
      <c r="A963" s="245">
        <v>44183</v>
      </c>
      <c r="B963" s="245">
        <v>44186</v>
      </c>
      <c r="C963" s="273" t="s">
        <v>24</v>
      </c>
      <c r="D963" s="273">
        <v>9</v>
      </c>
      <c r="E963" s="273">
        <v>4.8875999999999999</v>
      </c>
      <c r="F963" s="273">
        <v>7.8399000000000001</v>
      </c>
      <c r="G963" s="273">
        <f>F963-E963</f>
        <v>2.9523000000000001</v>
      </c>
      <c r="H963" s="273"/>
      <c r="I963" s="273" t="s">
        <v>27</v>
      </c>
    </row>
    <row r="964" spans="1:9" hidden="1">
      <c r="A964" s="245">
        <v>44183</v>
      </c>
      <c r="B964" s="245">
        <v>44186</v>
      </c>
      <c r="C964" s="273" t="s">
        <v>24</v>
      </c>
      <c r="D964" s="273">
        <v>13</v>
      </c>
      <c r="E964" s="273">
        <v>4.4711999999999996</v>
      </c>
      <c r="F964" s="273">
        <v>4.7187000000000001</v>
      </c>
      <c r="G964" s="273">
        <f>F964-E964</f>
        <v>0.2475000000000005</v>
      </c>
      <c r="H964" s="273"/>
      <c r="I964" s="273"/>
    </row>
    <row r="965" spans="1:9" hidden="1">
      <c r="A965" s="245">
        <v>44183</v>
      </c>
      <c r="B965" s="245">
        <v>44186</v>
      </c>
      <c r="C965" s="273" t="s">
        <v>24</v>
      </c>
      <c r="D965" s="273">
        <v>12</v>
      </c>
      <c r="E965" s="273">
        <v>4.9366000000000003</v>
      </c>
      <c r="F965" s="273">
        <v>5.29</v>
      </c>
      <c r="G965" s="273">
        <f>F965-E965</f>
        <v>0.35339999999999971</v>
      </c>
      <c r="H965" s="273"/>
      <c r="I965" s="273"/>
    </row>
    <row r="966" spans="1:9" hidden="1">
      <c r="A966" s="245">
        <v>44183</v>
      </c>
      <c r="B966" s="245">
        <v>44186</v>
      </c>
      <c r="C966" s="273" t="s">
        <v>24</v>
      </c>
      <c r="D966" s="273">
        <v>14</v>
      </c>
      <c r="E966" s="273">
        <v>4.9317000000000002</v>
      </c>
      <c r="F966" s="273">
        <v>6.0511999999999997</v>
      </c>
      <c r="G966" s="273">
        <f>F966-E966</f>
        <v>1.1194999999999995</v>
      </c>
      <c r="H966" s="273"/>
      <c r="I966" s="273"/>
    </row>
    <row r="967" spans="1:9" hidden="1">
      <c r="A967" s="245">
        <v>44186</v>
      </c>
      <c r="B967" s="245">
        <v>44188</v>
      </c>
      <c r="C967" s="273" t="s">
        <v>8</v>
      </c>
      <c r="D967" s="273">
        <v>24</v>
      </c>
      <c r="E967" s="273">
        <v>4.4428999999999998</v>
      </c>
      <c r="F967" s="273">
        <v>4.6436000000000002</v>
      </c>
      <c r="G967" s="273">
        <f t="shared" ref="G967:G1030" si="18">F967-E967</f>
        <v>0.20070000000000032</v>
      </c>
      <c r="H967" s="273"/>
      <c r="I967" s="273"/>
    </row>
    <row r="968" spans="1:9" hidden="1">
      <c r="A968" s="245">
        <v>44186</v>
      </c>
      <c r="B968" s="245">
        <v>44188</v>
      </c>
      <c r="C968" s="273" t="s">
        <v>8</v>
      </c>
      <c r="D968" s="273">
        <v>26</v>
      </c>
      <c r="E968" s="273">
        <v>4.7206000000000001</v>
      </c>
      <c r="F968" s="273">
        <v>5.6265999999999998</v>
      </c>
      <c r="G968" s="273">
        <f t="shared" si="18"/>
        <v>0.90599999999999969</v>
      </c>
      <c r="H968" s="273"/>
      <c r="I968" s="273"/>
    </row>
    <row r="969" spans="1:9" hidden="1">
      <c r="A969" s="245">
        <v>44186</v>
      </c>
      <c r="B969" s="245">
        <v>44188</v>
      </c>
      <c r="C969" s="273" t="s">
        <v>8</v>
      </c>
      <c r="D969" s="273">
        <v>27</v>
      </c>
      <c r="E969" s="273">
        <v>4.6641000000000004</v>
      </c>
      <c r="F969" s="273">
        <v>5.4684999999999997</v>
      </c>
      <c r="G969" s="273">
        <f t="shared" si="18"/>
        <v>0.80439999999999934</v>
      </c>
      <c r="H969" s="273"/>
      <c r="I969" s="273"/>
    </row>
    <row r="970" spans="1:9" hidden="1">
      <c r="A970" s="245">
        <v>44186</v>
      </c>
      <c r="B970" s="245">
        <v>44188</v>
      </c>
      <c r="C970" s="273" t="s">
        <v>8</v>
      </c>
      <c r="D970" s="273">
        <v>23</v>
      </c>
      <c r="E970" s="273">
        <v>4.8429000000000002</v>
      </c>
      <c r="F970" s="273">
        <v>5.9425999999999997</v>
      </c>
      <c r="G970" s="273">
        <f t="shared" si="18"/>
        <v>1.0996999999999995</v>
      </c>
      <c r="H970" s="273"/>
      <c r="I970" s="273"/>
    </row>
    <row r="971" spans="1:9" hidden="1">
      <c r="A971" s="245">
        <v>44186</v>
      </c>
      <c r="B971" s="245">
        <v>44188</v>
      </c>
      <c r="C971" s="273" t="s">
        <v>8</v>
      </c>
      <c r="D971" s="273">
        <v>29</v>
      </c>
      <c r="E971" s="273">
        <v>4.3258999999999999</v>
      </c>
      <c r="F971" s="273">
        <v>5.8752000000000004</v>
      </c>
      <c r="G971" s="273">
        <f t="shared" si="18"/>
        <v>1.5493000000000006</v>
      </c>
      <c r="H971" s="273"/>
      <c r="I971" s="273"/>
    </row>
    <row r="972" spans="1:9" hidden="1">
      <c r="A972" s="245">
        <v>44186</v>
      </c>
      <c r="B972" s="245">
        <v>44188</v>
      </c>
      <c r="C972" s="273" t="s">
        <v>8</v>
      </c>
      <c r="D972" s="273">
        <v>28</v>
      </c>
      <c r="E972" s="273">
        <v>5.1407999999999996</v>
      </c>
      <c r="F972" s="273">
        <v>6.5606</v>
      </c>
      <c r="G972" s="273">
        <f t="shared" si="18"/>
        <v>1.4198000000000004</v>
      </c>
      <c r="H972" s="273"/>
      <c r="I972" s="273"/>
    </row>
    <row r="973" spans="1:9" hidden="1">
      <c r="A973" s="245">
        <v>44186</v>
      </c>
      <c r="B973" s="245">
        <v>44188</v>
      </c>
      <c r="C973" s="273" t="s">
        <v>8</v>
      </c>
      <c r="D973" s="273">
        <v>25</v>
      </c>
      <c r="E973" s="273">
        <v>4.3857999999999997</v>
      </c>
      <c r="F973" s="273">
        <v>5.0044000000000004</v>
      </c>
      <c r="G973" s="273">
        <f t="shared" si="18"/>
        <v>0.6186000000000007</v>
      </c>
      <c r="H973" s="273"/>
      <c r="I973" s="273"/>
    </row>
    <row r="974" spans="1:9" hidden="1">
      <c r="A974" s="245">
        <v>44186</v>
      </c>
      <c r="B974" s="245">
        <v>44188</v>
      </c>
      <c r="C974" s="273" t="s">
        <v>11</v>
      </c>
      <c r="D974" s="273">
        <v>42</v>
      </c>
      <c r="E974" s="273">
        <v>4.7878999999999996</v>
      </c>
      <c r="F974" s="273">
        <v>6.7980999999999998</v>
      </c>
      <c r="G974" s="273">
        <f t="shared" si="18"/>
        <v>2.0102000000000002</v>
      </c>
      <c r="H974" s="273"/>
      <c r="I974" s="273"/>
    </row>
    <row r="975" spans="1:9" hidden="1">
      <c r="A975" s="245">
        <v>44186</v>
      </c>
      <c r="B975" s="245">
        <v>44188</v>
      </c>
      <c r="C975" s="273" t="s">
        <v>11</v>
      </c>
      <c r="D975" s="273">
        <v>43</v>
      </c>
      <c r="E975" s="273">
        <v>4.8574999999999999</v>
      </c>
      <c r="F975" s="273">
        <v>5.9306999999999999</v>
      </c>
      <c r="G975" s="273">
        <f t="shared" si="18"/>
        <v>1.0731999999999999</v>
      </c>
      <c r="H975" s="273"/>
      <c r="I975" s="273"/>
    </row>
    <row r="976" spans="1:9" hidden="1">
      <c r="A976" s="245">
        <v>44186</v>
      </c>
      <c r="B976" s="245">
        <v>44188</v>
      </c>
      <c r="C976" s="273" t="s">
        <v>16</v>
      </c>
      <c r="D976" s="273">
        <v>60</v>
      </c>
      <c r="E976" s="273">
        <v>5.0856000000000003</v>
      </c>
      <c r="F976" s="273">
        <v>6.5002000000000004</v>
      </c>
      <c r="G976" s="273">
        <f t="shared" si="18"/>
        <v>1.4146000000000001</v>
      </c>
      <c r="H976" s="273"/>
      <c r="I976" s="273"/>
    </row>
    <row r="977" spans="1:10" hidden="1">
      <c r="A977" s="245">
        <v>44186</v>
      </c>
      <c r="B977" s="245">
        <v>44188</v>
      </c>
      <c r="C977" s="273" t="s">
        <v>16</v>
      </c>
      <c r="D977" s="273">
        <v>63</v>
      </c>
      <c r="E977" s="273">
        <v>5.6531000000000002</v>
      </c>
      <c r="F977" s="273">
        <v>6.6355000000000004</v>
      </c>
      <c r="G977" s="273">
        <f t="shared" si="18"/>
        <v>0.98240000000000016</v>
      </c>
      <c r="H977" s="273"/>
      <c r="I977" s="273"/>
      <c r="J977" s="273"/>
    </row>
    <row r="978" spans="1:10" hidden="1">
      <c r="A978" s="245">
        <v>44186</v>
      </c>
      <c r="B978" s="245">
        <v>44188</v>
      </c>
      <c r="C978" s="273" t="s">
        <v>16</v>
      </c>
      <c r="D978" s="273">
        <v>61</v>
      </c>
      <c r="E978" s="273">
        <v>3.9571000000000001</v>
      </c>
      <c r="F978" s="273">
        <v>5.3140999999999998</v>
      </c>
      <c r="G978" s="273">
        <f t="shared" si="18"/>
        <v>1.3569999999999998</v>
      </c>
      <c r="H978" s="273"/>
      <c r="I978" s="273"/>
      <c r="J978" s="273"/>
    </row>
    <row r="979" spans="1:10" hidden="1">
      <c r="A979" s="245">
        <v>44186</v>
      </c>
      <c r="B979" s="245">
        <v>44188</v>
      </c>
      <c r="C979" s="273" t="s">
        <v>16</v>
      </c>
      <c r="D979" s="273">
        <v>62</v>
      </c>
      <c r="E979" s="273">
        <v>5.2492000000000001</v>
      </c>
      <c r="F979" s="273">
        <v>6.5370999999999997</v>
      </c>
      <c r="G979" s="273">
        <f t="shared" si="18"/>
        <v>1.2878999999999996</v>
      </c>
      <c r="H979" s="273"/>
      <c r="I979" s="273"/>
      <c r="J979" s="273"/>
    </row>
    <row r="980" spans="1:10" hidden="1">
      <c r="A980" s="245">
        <v>44186</v>
      </c>
      <c r="B980" s="245">
        <v>44188</v>
      </c>
      <c r="C980" s="273" t="s">
        <v>16</v>
      </c>
      <c r="D980" s="273">
        <v>64</v>
      </c>
      <c r="E980" s="273">
        <v>4.4272</v>
      </c>
      <c r="F980" s="273">
        <v>6.1215999999999999</v>
      </c>
      <c r="G980" s="273">
        <f t="shared" si="18"/>
        <v>1.6943999999999999</v>
      </c>
      <c r="H980" s="273"/>
      <c r="I980" s="273"/>
      <c r="J980" s="273"/>
    </row>
    <row r="981" spans="1:10" hidden="1">
      <c r="A981" s="245">
        <v>44186</v>
      </c>
      <c r="B981" s="245">
        <v>44188</v>
      </c>
      <c r="C981" s="273" t="s">
        <v>24</v>
      </c>
      <c r="D981" s="273">
        <v>9</v>
      </c>
      <c r="E981" s="273">
        <v>4.2465000000000002</v>
      </c>
      <c r="F981" s="273">
        <v>6.8261000000000003</v>
      </c>
      <c r="G981" s="273">
        <f t="shared" si="18"/>
        <v>2.5796000000000001</v>
      </c>
      <c r="H981" s="273"/>
      <c r="I981" s="273">
        <f>SUM(G981:G982)</f>
        <v>5.1454000000000004</v>
      </c>
      <c r="J981" s="273"/>
    </row>
    <row r="982" spans="1:10" hidden="1">
      <c r="A982" s="245">
        <v>44186</v>
      </c>
      <c r="B982" s="245">
        <v>44188</v>
      </c>
      <c r="C982" s="273" t="s">
        <v>24</v>
      </c>
      <c r="D982" s="273">
        <v>8</v>
      </c>
      <c r="E982" s="273">
        <v>4.4523999999999999</v>
      </c>
      <c r="F982" s="273">
        <v>7.0182000000000002</v>
      </c>
      <c r="G982" s="273">
        <f t="shared" si="18"/>
        <v>2.5658000000000003</v>
      </c>
      <c r="H982" s="273"/>
      <c r="I982" s="273"/>
      <c r="J982" s="273"/>
    </row>
    <row r="983" spans="1:10" hidden="1">
      <c r="A983" s="245">
        <v>44186</v>
      </c>
      <c r="B983" s="245">
        <v>44188</v>
      </c>
      <c r="C983" s="273" t="s">
        <v>24</v>
      </c>
      <c r="D983" s="273">
        <v>14</v>
      </c>
      <c r="E983" s="273">
        <v>5.0317999999999996</v>
      </c>
      <c r="F983" s="273">
        <v>6.3558000000000003</v>
      </c>
      <c r="G983" s="273">
        <f t="shared" si="18"/>
        <v>1.3240000000000007</v>
      </c>
      <c r="H983" s="273"/>
      <c r="I983" s="273">
        <f>SUM(G983:G989)</f>
        <v>5.4724999999999993</v>
      </c>
      <c r="J983" s="273"/>
    </row>
    <row r="984" spans="1:10" hidden="1">
      <c r="A984" s="245">
        <v>44186</v>
      </c>
      <c r="B984" s="245">
        <v>44188</v>
      </c>
      <c r="C984" s="273" t="s">
        <v>24</v>
      </c>
      <c r="D984" s="273">
        <v>15</v>
      </c>
      <c r="E984" s="273">
        <v>5.3982999999999999</v>
      </c>
      <c r="F984" s="273">
        <v>5.4966999999999997</v>
      </c>
      <c r="G984" s="273">
        <f t="shared" si="18"/>
        <v>9.8399999999999821E-2</v>
      </c>
      <c r="H984" s="273"/>
      <c r="I984" s="273"/>
      <c r="J984" s="273"/>
    </row>
    <row r="985" spans="1:10" hidden="1">
      <c r="A985" s="245">
        <v>44186</v>
      </c>
      <c r="B985" s="245">
        <v>44188</v>
      </c>
      <c r="C985" s="273" t="s">
        <v>24</v>
      </c>
      <c r="D985" s="273">
        <v>11</v>
      </c>
      <c r="E985" s="273">
        <v>4.5846</v>
      </c>
      <c r="F985" s="273">
        <v>4.9733999999999998</v>
      </c>
      <c r="G985" s="273">
        <f t="shared" si="18"/>
        <v>0.38879999999999981</v>
      </c>
      <c r="H985" s="273"/>
      <c r="I985" s="273"/>
      <c r="J985" s="273"/>
    </row>
    <row r="986" spans="1:10" hidden="1">
      <c r="A986" s="245">
        <v>44186</v>
      </c>
      <c r="B986" s="245">
        <v>44188</v>
      </c>
      <c r="C986" s="273" t="s">
        <v>24</v>
      </c>
      <c r="D986" s="273">
        <v>16</v>
      </c>
      <c r="E986" s="273">
        <v>5.0294999999999996</v>
      </c>
      <c r="F986" s="273">
        <v>5.5027999999999997</v>
      </c>
      <c r="G986" s="273">
        <f t="shared" si="18"/>
        <v>0.47330000000000005</v>
      </c>
      <c r="H986" s="273"/>
      <c r="I986" s="273"/>
      <c r="J986" s="273"/>
    </row>
    <row r="987" spans="1:10" hidden="1">
      <c r="A987" s="245">
        <v>44186</v>
      </c>
      <c r="B987" s="245">
        <v>44188</v>
      </c>
      <c r="C987" s="273" t="s">
        <v>24</v>
      </c>
      <c r="D987" s="273">
        <v>12</v>
      </c>
      <c r="E987" s="273">
        <v>5.1531000000000002</v>
      </c>
      <c r="F987" s="273">
        <v>6.0689000000000002</v>
      </c>
      <c r="G987" s="273">
        <f t="shared" si="18"/>
        <v>0.91579999999999995</v>
      </c>
      <c r="H987" s="273"/>
      <c r="I987" s="273"/>
      <c r="J987" s="273"/>
    </row>
    <row r="988" spans="1:10" hidden="1">
      <c r="A988" s="245">
        <v>44186</v>
      </c>
      <c r="B988" s="245">
        <v>44188</v>
      </c>
      <c r="C988" s="273" t="s">
        <v>24</v>
      </c>
      <c r="D988" s="273">
        <v>13</v>
      </c>
      <c r="E988" s="273">
        <v>4.8227000000000002</v>
      </c>
      <c r="F988" s="273">
        <v>5.8239999999999998</v>
      </c>
      <c r="G988" s="273">
        <f t="shared" si="18"/>
        <v>1.0012999999999996</v>
      </c>
      <c r="H988" s="273"/>
      <c r="I988" s="273"/>
      <c r="J988" s="273"/>
    </row>
    <row r="989" spans="1:10" hidden="1">
      <c r="A989" s="245">
        <v>44186</v>
      </c>
      <c r="B989" s="245">
        <v>44188</v>
      </c>
      <c r="C989" s="273" t="s">
        <v>24</v>
      </c>
      <c r="D989" s="273">
        <v>10</v>
      </c>
      <c r="E989" s="273">
        <v>4.6645000000000003</v>
      </c>
      <c r="F989" s="273">
        <v>5.9353999999999996</v>
      </c>
      <c r="G989" s="273">
        <f t="shared" si="18"/>
        <v>1.2708999999999993</v>
      </c>
      <c r="H989" s="273"/>
      <c r="I989" s="273"/>
      <c r="J989" s="273"/>
    </row>
    <row r="990" spans="1:10" hidden="1">
      <c r="A990" s="245">
        <v>44188</v>
      </c>
      <c r="B990" s="245">
        <v>44189</v>
      </c>
      <c r="C990" s="273" t="s">
        <v>8</v>
      </c>
      <c r="D990" s="273">
        <v>23</v>
      </c>
      <c r="E990" s="273">
        <v>4.5473999999999997</v>
      </c>
      <c r="F990" s="273">
        <v>4.8571</v>
      </c>
      <c r="G990" s="273">
        <f t="shared" si="18"/>
        <v>0.30970000000000031</v>
      </c>
      <c r="H990" s="273"/>
      <c r="I990" s="273"/>
      <c r="J990" s="273"/>
    </row>
    <row r="991" spans="1:10" hidden="1">
      <c r="A991" s="245">
        <v>44188</v>
      </c>
      <c r="B991" s="245">
        <v>44189</v>
      </c>
      <c r="C991" s="273" t="s">
        <v>8</v>
      </c>
      <c r="D991" s="273">
        <v>24</v>
      </c>
      <c r="E991" s="273">
        <v>4.4606000000000003</v>
      </c>
      <c r="F991" s="273">
        <v>4.5816999999999997</v>
      </c>
      <c r="G991" s="273">
        <f t="shared" si="18"/>
        <v>0.12109999999999932</v>
      </c>
      <c r="H991" s="273"/>
      <c r="I991" s="273"/>
      <c r="J991" s="273"/>
    </row>
    <row r="992" spans="1:10" hidden="1">
      <c r="A992" s="245">
        <v>44188</v>
      </c>
      <c r="B992" s="245">
        <v>44189</v>
      </c>
      <c r="C992" s="273" t="s">
        <v>8</v>
      </c>
      <c r="D992" s="273">
        <v>25</v>
      </c>
      <c r="E992" s="273">
        <v>4.8444000000000003</v>
      </c>
      <c r="F992" s="273">
        <v>5.1978</v>
      </c>
      <c r="G992" s="273">
        <f t="shared" si="18"/>
        <v>0.35339999999999971</v>
      </c>
      <c r="H992" s="273"/>
      <c r="I992" s="273"/>
      <c r="J992" s="273"/>
    </row>
    <row r="993" spans="1:7" hidden="1">
      <c r="A993" s="245">
        <v>44188</v>
      </c>
      <c r="B993" s="245">
        <v>44189</v>
      </c>
      <c r="C993" s="273" t="s">
        <v>8</v>
      </c>
      <c r="D993" s="273">
        <v>26</v>
      </c>
      <c r="E993" s="273">
        <v>4.4535999999999998</v>
      </c>
      <c r="F993" s="273">
        <v>4.8563999999999998</v>
      </c>
      <c r="G993" s="273">
        <f t="shared" si="18"/>
        <v>0.40280000000000005</v>
      </c>
    </row>
    <row r="994" spans="1:7" hidden="1">
      <c r="A994" s="245">
        <v>44188</v>
      </c>
      <c r="B994" s="245">
        <v>44189</v>
      </c>
      <c r="C994" s="273" t="s">
        <v>8</v>
      </c>
      <c r="D994" s="273">
        <v>27</v>
      </c>
      <c r="E994" s="273">
        <v>4.5513000000000003</v>
      </c>
      <c r="F994" s="273">
        <v>5.4187000000000003</v>
      </c>
      <c r="G994" s="273">
        <f t="shared" si="18"/>
        <v>0.86739999999999995</v>
      </c>
    </row>
    <row r="995" spans="1:7" hidden="1">
      <c r="A995" s="245">
        <v>44188</v>
      </c>
      <c r="B995" s="245">
        <v>44189</v>
      </c>
      <c r="C995" s="273" t="s">
        <v>8</v>
      </c>
      <c r="D995" s="273">
        <v>28</v>
      </c>
      <c r="E995" s="273">
        <v>4.3201000000000001</v>
      </c>
      <c r="F995" s="273">
        <v>4.4974999999999996</v>
      </c>
      <c r="G995" s="273">
        <f t="shared" si="18"/>
        <v>0.17739999999999956</v>
      </c>
    </row>
    <row r="996" spans="1:7" hidden="1">
      <c r="A996" s="245">
        <v>44188</v>
      </c>
      <c r="B996" s="245">
        <v>44189</v>
      </c>
      <c r="C996" s="273" t="s">
        <v>8</v>
      </c>
      <c r="D996" s="273">
        <v>29</v>
      </c>
      <c r="E996" s="273">
        <v>4.4066000000000001</v>
      </c>
      <c r="F996" s="273">
        <v>5.1645000000000003</v>
      </c>
      <c r="G996" s="273">
        <f t="shared" si="18"/>
        <v>0.75790000000000024</v>
      </c>
    </row>
    <row r="997" spans="1:7" hidden="1">
      <c r="A997" s="245">
        <v>44188</v>
      </c>
      <c r="B997" s="245">
        <v>44189</v>
      </c>
      <c r="C997" s="273" t="s">
        <v>11</v>
      </c>
      <c r="D997" s="273">
        <v>42</v>
      </c>
      <c r="E997" s="273">
        <v>5.3487</v>
      </c>
      <c r="F997" s="273">
        <v>6.3670999999999998</v>
      </c>
      <c r="G997" s="273">
        <f t="shared" si="18"/>
        <v>1.0183999999999997</v>
      </c>
    </row>
    <row r="998" spans="1:7" hidden="1">
      <c r="A998" s="245">
        <v>44188</v>
      </c>
      <c r="B998" s="245">
        <v>44189</v>
      </c>
      <c r="C998" s="273" t="s">
        <v>11</v>
      </c>
      <c r="D998" s="273">
        <v>43</v>
      </c>
      <c r="E998" s="273">
        <v>4.2417999999999996</v>
      </c>
      <c r="F998" s="273">
        <v>4.4644000000000004</v>
      </c>
      <c r="G998" s="273">
        <f t="shared" si="18"/>
        <v>0.2226000000000008</v>
      </c>
    </row>
    <row r="999" spans="1:7" hidden="1">
      <c r="A999" s="245">
        <v>44188</v>
      </c>
      <c r="B999" s="245">
        <v>44189</v>
      </c>
      <c r="C999" s="273" t="s">
        <v>16</v>
      </c>
      <c r="D999" s="273">
        <v>60</v>
      </c>
      <c r="E999" s="273">
        <v>5.1048999999999998</v>
      </c>
      <c r="F999" s="273">
        <v>5.5778999999999996</v>
      </c>
      <c r="G999" s="273">
        <f t="shared" si="18"/>
        <v>0.47299999999999986</v>
      </c>
    </row>
    <row r="1000" spans="1:7" hidden="1">
      <c r="A1000" s="245">
        <v>44188</v>
      </c>
      <c r="B1000" s="245">
        <v>44189</v>
      </c>
      <c r="C1000" s="273" t="s">
        <v>16</v>
      </c>
      <c r="D1000" s="273">
        <v>61</v>
      </c>
      <c r="E1000" s="273">
        <v>4.7614999999999998</v>
      </c>
      <c r="F1000" s="273">
        <v>5.4039000000000001</v>
      </c>
      <c r="G1000" s="273">
        <f t="shared" si="18"/>
        <v>0.6424000000000003</v>
      </c>
    </row>
    <row r="1001" spans="1:7" hidden="1">
      <c r="A1001" s="245">
        <v>44188</v>
      </c>
      <c r="B1001" s="245">
        <v>44189</v>
      </c>
      <c r="C1001" s="273" t="s">
        <v>16</v>
      </c>
      <c r="D1001" s="273">
        <v>62</v>
      </c>
      <c r="E1001" s="273">
        <v>5.1227999999999998</v>
      </c>
      <c r="F1001" s="273">
        <v>5.7123999999999997</v>
      </c>
      <c r="G1001" s="273">
        <f t="shared" si="18"/>
        <v>0.5895999999999999</v>
      </c>
    </row>
    <row r="1002" spans="1:7" hidden="1">
      <c r="A1002" s="245">
        <v>44188</v>
      </c>
      <c r="B1002" s="245">
        <v>44189</v>
      </c>
      <c r="C1002" s="273" t="s">
        <v>16</v>
      </c>
      <c r="D1002" s="273">
        <v>63</v>
      </c>
      <c r="E1002" s="273">
        <v>4.9260000000000002</v>
      </c>
      <c r="F1002" s="273">
        <v>5.4295</v>
      </c>
      <c r="G1002" s="273">
        <f t="shared" si="18"/>
        <v>0.50349999999999984</v>
      </c>
    </row>
    <row r="1003" spans="1:7" hidden="1">
      <c r="A1003" s="245">
        <v>44188</v>
      </c>
      <c r="B1003" s="245">
        <v>44189</v>
      </c>
      <c r="C1003" s="273" t="s">
        <v>16</v>
      </c>
      <c r="D1003" s="273">
        <v>64</v>
      </c>
      <c r="E1003" s="273">
        <v>3.6884999999999999</v>
      </c>
      <c r="F1003" s="273">
        <v>4.4103000000000003</v>
      </c>
      <c r="G1003" s="273">
        <f t="shared" si="18"/>
        <v>0.72180000000000044</v>
      </c>
    </row>
    <row r="1004" spans="1:7" hidden="1">
      <c r="A1004" s="245">
        <v>44188</v>
      </c>
      <c r="B1004" s="245">
        <v>44189</v>
      </c>
      <c r="C1004" s="273" t="s">
        <v>24</v>
      </c>
      <c r="D1004" s="273">
        <v>8</v>
      </c>
      <c r="E1004" s="273">
        <v>5.0480999999999998</v>
      </c>
      <c r="F1004" s="273">
        <v>5.5529000000000002</v>
      </c>
      <c r="G1004" s="273">
        <f t="shared" si="18"/>
        <v>0.50480000000000036</v>
      </c>
    </row>
    <row r="1005" spans="1:7" hidden="1">
      <c r="A1005" s="245">
        <v>44188</v>
      </c>
      <c r="B1005" s="245">
        <v>44189</v>
      </c>
      <c r="C1005" s="273" t="s">
        <v>24</v>
      </c>
      <c r="D1005" s="273">
        <v>9</v>
      </c>
      <c r="E1005" s="273">
        <v>4.3331999999999997</v>
      </c>
      <c r="F1005" s="273">
        <v>5.3197000000000001</v>
      </c>
      <c r="G1005" s="273">
        <f t="shared" si="18"/>
        <v>0.98650000000000038</v>
      </c>
    </row>
    <row r="1006" spans="1:7" hidden="1">
      <c r="A1006" s="245">
        <v>44188</v>
      </c>
      <c r="B1006" s="245">
        <v>44189</v>
      </c>
      <c r="C1006" s="273" t="s">
        <v>24</v>
      </c>
      <c r="D1006" s="273">
        <v>10</v>
      </c>
      <c r="E1006" s="273">
        <v>4.2278000000000002</v>
      </c>
      <c r="F1006" s="273">
        <v>4.4767999999999999</v>
      </c>
      <c r="G1006" s="273">
        <f t="shared" si="18"/>
        <v>0.24899999999999967</v>
      </c>
    </row>
    <row r="1007" spans="1:7" hidden="1">
      <c r="A1007" s="245">
        <v>44188</v>
      </c>
      <c r="B1007" s="245">
        <v>44189</v>
      </c>
      <c r="C1007" s="273" t="s">
        <v>24</v>
      </c>
      <c r="D1007" s="273">
        <v>11</v>
      </c>
      <c r="E1007" s="273">
        <v>4.6351000000000004</v>
      </c>
      <c r="F1007" s="273">
        <v>5.0030999999999999</v>
      </c>
      <c r="G1007" s="273">
        <f t="shared" si="18"/>
        <v>0.36799999999999944</v>
      </c>
    </row>
    <row r="1008" spans="1:7" hidden="1">
      <c r="A1008" s="245">
        <v>44188</v>
      </c>
      <c r="B1008" s="245">
        <v>44189</v>
      </c>
      <c r="C1008" s="273" t="s">
        <v>24</v>
      </c>
      <c r="D1008" s="273">
        <v>12</v>
      </c>
      <c r="E1008" s="273">
        <v>4.9650999999999996</v>
      </c>
      <c r="F1008" s="273">
        <v>5.8090000000000002</v>
      </c>
      <c r="G1008" s="273">
        <f t="shared" si="18"/>
        <v>0.84390000000000054</v>
      </c>
    </row>
    <row r="1009" spans="1:8" hidden="1">
      <c r="A1009" s="245">
        <v>44188</v>
      </c>
      <c r="B1009" s="245">
        <v>44189</v>
      </c>
      <c r="C1009" s="273" t="s">
        <v>24</v>
      </c>
      <c r="D1009" s="273">
        <v>13</v>
      </c>
      <c r="E1009" s="273">
        <v>5.0892999999999997</v>
      </c>
      <c r="F1009" s="273">
        <v>6.0891999999999999</v>
      </c>
      <c r="G1009" s="273">
        <f t="shared" si="18"/>
        <v>0.99990000000000023</v>
      </c>
      <c r="H1009" s="273"/>
    </row>
    <row r="1010" spans="1:8" hidden="1">
      <c r="A1010" s="245">
        <v>44188</v>
      </c>
      <c r="B1010" s="245">
        <v>44189</v>
      </c>
      <c r="C1010" s="273" t="s">
        <v>24</v>
      </c>
      <c r="D1010" s="273">
        <v>14</v>
      </c>
      <c r="E1010" s="273">
        <v>4.5911999999999997</v>
      </c>
      <c r="F1010" s="273">
        <v>5.3856999999999999</v>
      </c>
      <c r="G1010" s="273">
        <f t="shared" si="18"/>
        <v>0.79450000000000021</v>
      </c>
      <c r="H1010" s="273"/>
    </row>
    <row r="1011" spans="1:8" hidden="1">
      <c r="A1011" s="245">
        <v>44188</v>
      </c>
      <c r="B1011" s="245">
        <v>44189</v>
      </c>
      <c r="C1011" s="273" t="s">
        <v>24</v>
      </c>
      <c r="D1011" s="273">
        <v>15</v>
      </c>
      <c r="E1011" s="273">
        <v>4.7142999999999997</v>
      </c>
      <c r="F1011" s="273">
        <v>4.8876999999999997</v>
      </c>
      <c r="G1011" s="273">
        <f t="shared" si="18"/>
        <v>0.1734</v>
      </c>
      <c r="H1011" s="273"/>
    </row>
    <row r="1012" spans="1:8" hidden="1">
      <c r="A1012" s="245">
        <v>44188</v>
      </c>
      <c r="B1012" s="245">
        <v>44189</v>
      </c>
      <c r="C1012" s="273" t="s">
        <v>24</v>
      </c>
      <c r="D1012" s="273">
        <v>16</v>
      </c>
      <c r="E1012" s="273">
        <v>3.903</v>
      </c>
      <c r="F1012" s="273">
        <v>4.3464999999999998</v>
      </c>
      <c r="G1012" s="273">
        <f t="shared" si="18"/>
        <v>0.44349999999999978</v>
      </c>
      <c r="H1012" s="273"/>
    </row>
    <row r="1013" spans="1:8" s="262" customFormat="1" hidden="1">
      <c r="A1013" s="245">
        <v>44193</v>
      </c>
      <c r="B1013" s="245">
        <v>44195</v>
      </c>
      <c r="C1013" s="273" t="s">
        <v>8</v>
      </c>
      <c r="D1013" s="273">
        <v>26</v>
      </c>
      <c r="E1013" s="273">
        <v>5.2619999999999996</v>
      </c>
      <c r="F1013" s="273">
        <v>5.6234999999999999</v>
      </c>
      <c r="G1013" s="273">
        <f t="shared" si="18"/>
        <v>0.36150000000000038</v>
      </c>
      <c r="H1013" s="273"/>
    </row>
    <row r="1014" spans="1:8" s="262" customFormat="1" hidden="1">
      <c r="A1014" s="245">
        <v>44193</v>
      </c>
      <c r="B1014" s="245">
        <v>44195</v>
      </c>
      <c r="C1014" s="273" t="s">
        <v>8</v>
      </c>
      <c r="D1014" s="273">
        <v>28</v>
      </c>
      <c r="E1014" s="273">
        <v>5.1826999999999996</v>
      </c>
      <c r="F1014" s="273">
        <v>5.8143000000000002</v>
      </c>
      <c r="G1014" s="273">
        <f t="shared" si="18"/>
        <v>0.63160000000000061</v>
      </c>
      <c r="H1014" s="273"/>
    </row>
    <row r="1015" spans="1:8" s="262" customFormat="1" hidden="1">
      <c r="A1015" s="245">
        <v>44193</v>
      </c>
      <c r="B1015" s="245">
        <v>44195</v>
      </c>
      <c r="C1015" s="273" t="s">
        <v>8</v>
      </c>
      <c r="D1015" s="273">
        <v>29</v>
      </c>
      <c r="E1015" s="273">
        <v>5.3323</v>
      </c>
      <c r="F1015" s="273">
        <v>5.5696000000000003</v>
      </c>
      <c r="G1015" s="273">
        <f t="shared" si="18"/>
        <v>0.23730000000000029</v>
      </c>
      <c r="H1015" s="273"/>
    </row>
    <row r="1016" spans="1:8" s="262" customFormat="1" hidden="1">
      <c r="A1016" s="245">
        <v>44193</v>
      </c>
      <c r="B1016" s="245">
        <v>44195</v>
      </c>
      <c r="C1016" s="273" t="s">
        <v>8</v>
      </c>
      <c r="D1016" s="273">
        <v>30</v>
      </c>
      <c r="E1016" s="273">
        <v>5.4131</v>
      </c>
      <c r="F1016" s="273">
        <v>11.5716</v>
      </c>
      <c r="G1016" s="88">
        <f t="shared" si="18"/>
        <v>6.1585000000000001</v>
      </c>
      <c r="H1016" s="273"/>
    </row>
    <row r="1017" spans="1:8" s="262" customFormat="1" hidden="1">
      <c r="A1017" s="245">
        <v>44193</v>
      </c>
      <c r="B1017" s="245">
        <v>44195</v>
      </c>
      <c r="C1017" s="273" t="s">
        <v>8</v>
      </c>
      <c r="D1017" s="273">
        <v>31</v>
      </c>
      <c r="E1017" s="273">
        <v>5.1940999999999997</v>
      </c>
      <c r="F1017" s="273">
        <v>10.629</v>
      </c>
      <c r="G1017" s="88">
        <f t="shared" si="18"/>
        <v>5.4348999999999998</v>
      </c>
      <c r="H1017" s="273"/>
    </row>
    <row r="1018" spans="1:8" s="262" customFormat="1" hidden="1">
      <c r="A1018" s="245">
        <v>44193</v>
      </c>
      <c r="B1018" s="245">
        <v>44195</v>
      </c>
      <c r="C1018" s="273" t="s">
        <v>8</v>
      </c>
      <c r="D1018" s="273">
        <v>32</v>
      </c>
      <c r="E1018" s="273">
        <v>5.7348999999999997</v>
      </c>
      <c r="F1018" s="273">
        <v>10.5336</v>
      </c>
      <c r="G1018" s="88">
        <f t="shared" si="18"/>
        <v>4.7987000000000002</v>
      </c>
      <c r="H1018" s="273"/>
    </row>
    <row r="1019" spans="1:8" hidden="1">
      <c r="A1019" s="245">
        <v>44193</v>
      </c>
      <c r="B1019" s="245">
        <v>44195</v>
      </c>
      <c r="C1019" s="273" t="s">
        <v>11</v>
      </c>
      <c r="D1019" s="273">
        <v>42</v>
      </c>
      <c r="E1019" s="273">
        <v>5.3555999999999999</v>
      </c>
      <c r="F1019" s="273">
        <v>5.6376999999999997</v>
      </c>
      <c r="G1019" s="88">
        <f t="shared" si="18"/>
        <v>0.2820999999999998</v>
      </c>
      <c r="H1019" s="273"/>
    </row>
    <row r="1020" spans="1:8" hidden="1">
      <c r="A1020" s="245">
        <v>44193</v>
      </c>
      <c r="B1020" s="245">
        <v>44195</v>
      </c>
      <c r="C1020" s="273" t="s">
        <v>11</v>
      </c>
      <c r="D1020" s="273">
        <v>43</v>
      </c>
      <c r="E1020" s="273">
        <v>4.9612999999999996</v>
      </c>
      <c r="F1020" s="273">
        <v>6.1271000000000004</v>
      </c>
      <c r="G1020" s="88">
        <f t="shared" si="18"/>
        <v>1.1658000000000008</v>
      </c>
      <c r="H1020" s="273">
        <f>SUM(G1019:G1020)</f>
        <v>1.4479000000000006</v>
      </c>
    </row>
    <row r="1021" spans="1:8" hidden="1">
      <c r="A1021" s="263">
        <v>44193</v>
      </c>
      <c r="B1021" s="263">
        <v>44195</v>
      </c>
      <c r="C1021" s="88" t="s">
        <v>16</v>
      </c>
      <c r="D1021" s="88">
        <v>60</v>
      </c>
      <c r="E1021" s="88">
        <v>4.6614000000000004</v>
      </c>
      <c r="F1021" s="88">
        <v>8.6332000000000004</v>
      </c>
      <c r="G1021" s="88">
        <f t="shared" si="18"/>
        <v>3.9718</v>
      </c>
      <c r="H1021" s="273"/>
    </row>
    <row r="1022" spans="1:8" hidden="1">
      <c r="A1022" s="263">
        <v>44193</v>
      </c>
      <c r="B1022" s="263">
        <v>44195</v>
      </c>
      <c r="C1022" s="88" t="s">
        <v>16</v>
      </c>
      <c r="D1022" s="88">
        <v>61</v>
      </c>
      <c r="E1022" s="88">
        <v>5.5537000000000001</v>
      </c>
      <c r="F1022" s="88">
        <v>6.5971000000000002</v>
      </c>
      <c r="G1022" s="273">
        <f t="shared" si="18"/>
        <v>1.0434000000000001</v>
      </c>
      <c r="H1022" s="273"/>
    </row>
    <row r="1023" spans="1:8" hidden="1">
      <c r="A1023" s="263">
        <v>44193</v>
      </c>
      <c r="B1023" s="263">
        <v>44195</v>
      </c>
      <c r="C1023" s="88" t="s">
        <v>16</v>
      </c>
      <c r="D1023" s="88">
        <v>62</v>
      </c>
      <c r="E1023" s="88">
        <v>4.9078999999999997</v>
      </c>
      <c r="F1023" s="88">
        <v>7.0602</v>
      </c>
      <c r="G1023" s="273">
        <f t="shared" si="18"/>
        <v>2.1523000000000003</v>
      </c>
      <c r="H1023" s="273"/>
    </row>
    <row r="1024" spans="1:8" hidden="1">
      <c r="A1024" s="263">
        <v>44193</v>
      </c>
      <c r="B1024" s="263">
        <v>44195</v>
      </c>
      <c r="C1024" s="88" t="s">
        <v>16</v>
      </c>
      <c r="D1024" s="88">
        <v>63</v>
      </c>
      <c r="E1024" s="88">
        <v>5.2694999999999999</v>
      </c>
      <c r="F1024" s="88">
        <v>7.1422999999999996</v>
      </c>
      <c r="G1024" s="273">
        <f t="shared" si="18"/>
        <v>1.8727999999999998</v>
      </c>
      <c r="H1024" s="273"/>
    </row>
    <row r="1025" spans="1:8" hidden="1">
      <c r="A1025" s="263">
        <v>44193</v>
      </c>
      <c r="B1025" s="263">
        <v>44195</v>
      </c>
      <c r="C1025" s="88" t="s">
        <v>16</v>
      </c>
      <c r="D1025" s="88">
        <v>64</v>
      </c>
      <c r="E1025" s="88">
        <v>5.1738999999999997</v>
      </c>
      <c r="F1025" s="88">
        <v>7.6822999999999997</v>
      </c>
      <c r="G1025" s="273">
        <f t="shared" si="18"/>
        <v>2.5084</v>
      </c>
      <c r="H1025" s="273"/>
    </row>
    <row r="1026" spans="1:8" hidden="1">
      <c r="A1026" s="263">
        <v>44193</v>
      </c>
      <c r="B1026" s="263">
        <v>44195</v>
      </c>
      <c r="C1026" s="88" t="s">
        <v>16</v>
      </c>
      <c r="D1026" s="88">
        <v>65</v>
      </c>
      <c r="E1026" s="88">
        <v>5.2156000000000002</v>
      </c>
      <c r="F1026" s="88">
        <v>9.5757999999999992</v>
      </c>
      <c r="G1026" s="88">
        <f t="shared" si="18"/>
        <v>4.360199999999999</v>
      </c>
      <c r="H1026" s="273"/>
    </row>
    <row r="1027" spans="1:8" hidden="1">
      <c r="A1027" s="263">
        <v>44193</v>
      </c>
      <c r="B1027" s="263">
        <v>44195</v>
      </c>
      <c r="C1027" s="88" t="s">
        <v>16</v>
      </c>
      <c r="D1027" s="88">
        <v>66</v>
      </c>
      <c r="E1027" s="88">
        <v>4.7210999999999999</v>
      </c>
      <c r="F1027" s="88">
        <v>11.3873</v>
      </c>
      <c r="G1027" s="88">
        <f t="shared" si="18"/>
        <v>6.6661999999999999</v>
      </c>
      <c r="H1027" s="273"/>
    </row>
    <row r="1028" spans="1:8" hidden="1">
      <c r="A1028" s="245">
        <v>44193</v>
      </c>
      <c r="B1028" s="245">
        <v>44195</v>
      </c>
      <c r="C1028" s="273" t="s">
        <v>24</v>
      </c>
      <c r="D1028" s="273">
        <v>9</v>
      </c>
      <c r="E1028" s="273">
        <v>4.0454999999999997</v>
      </c>
      <c r="F1028" s="273">
        <v>4.4417999999999997</v>
      </c>
      <c r="G1028" s="273">
        <f t="shared" si="18"/>
        <v>0.3963000000000001</v>
      </c>
      <c r="H1028" s="273"/>
    </row>
    <row r="1029" spans="1:8" hidden="1">
      <c r="A1029" s="245">
        <v>44193</v>
      </c>
      <c r="B1029" s="245">
        <v>44195</v>
      </c>
      <c r="C1029" s="273" t="s">
        <v>24</v>
      </c>
      <c r="D1029" s="273">
        <v>10</v>
      </c>
      <c r="E1029" s="273">
        <v>4.8945999999999996</v>
      </c>
      <c r="F1029" s="273">
        <v>6.7339000000000002</v>
      </c>
      <c r="G1029" s="273">
        <f t="shared" si="18"/>
        <v>1.8393000000000006</v>
      </c>
      <c r="H1029" s="273"/>
    </row>
    <row r="1030" spans="1:8" hidden="1">
      <c r="A1030" s="245">
        <v>44193</v>
      </c>
      <c r="B1030" s="245">
        <v>44195</v>
      </c>
      <c r="C1030" s="273" t="s">
        <v>24</v>
      </c>
      <c r="D1030" s="273">
        <v>11</v>
      </c>
      <c r="E1030" s="273">
        <v>5.66</v>
      </c>
      <c r="F1030" s="273">
        <v>7.3673999999999999</v>
      </c>
      <c r="G1030" s="273">
        <f t="shared" si="18"/>
        <v>1.7073999999999998</v>
      </c>
      <c r="H1030" s="273"/>
    </row>
    <row r="1031" spans="1:8" hidden="1">
      <c r="A1031" s="245">
        <v>44193</v>
      </c>
      <c r="B1031" s="245">
        <v>44195</v>
      </c>
      <c r="C1031" s="273" t="s">
        <v>24</v>
      </c>
      <c r="D1031" s="273">
        <v>12</v>
      </c>
      <c r="E1031" s="273">
        <v>5.0107999999999997</v>
      </c>
      <c r="F1031" s="273">
        <v>5.1590999999999996</v>
      </c>
      <c r="G1031" s="273">
        <f t="shared" ref="G1031:G1038" si="19">F1031-E1031</f>
        <v>0.14829999999999988</v>
      </c>
      <c r="H1031" s="273"/>
    </row>
    <row r="1032" spans="1:8" hidden="1">
      <c r="A1032" s="245">
        <v>44193</v>
      </c>
      <c r="B1032" s="245">
        <v>44195</v>
      </c>
      <c r="C1032" s="273" t="s">
        <v>24</v>
      </c>
      <c r="D1032" s="273">
        <v>13</v>
      </c>
      <c r="E1032" s="273">
        <v>5.2268999999999997</v>
      </c>
      <c r="F1032" s="273">
        <v>5.3547000000000002</v>
      </c>
      <c r="G1032" s="273">
        <f t="shared" si="19"/>
        <v>0.12780000000000058</v>
      </c>
      <c r="H1032" s="273"/>
    </row>
    <row r="1033" spans="1:8" hidden="1">
      <c r="A1033" s="245">
        <v>44193</v>
      </c>
      <c r="B1033" s="245">
        <v>44195</v>
      </c>
      <c r="C1033" s="273" t="s">
        <v>24</v>
      </c>
      <c r="D1033" s="273">
        <v>14</v>
      </c>
      <c r="E1033" s="273">
        <v>5.6627999999999998</v>
      </c>
      <c r="F1033" s="273">
        <v>7.3836000000000004</v>
      </c>
      <c r="G1033" s="273">
        <f t="shared" si="19"/>
        <v>1.7208000000000006</v>
      </c>
      <c r="H1033" s="273"/>
    </row>
    <row r="1034" spans="1:8" hidden="1">
      <c r="A1034" s="245">
        <v>44193</v>
      </c>
      <c r="B1034" s="245">
        <v>44195</v>
      </c>
      <c r="C1034" s="273" t="s">
        <v>24</v>
      </c>
      <c r="D1034" s="273">
        <v>15</v>
      </c>
      <c r="E1034" s="273">
        <v>5.2401</v>
      </c>
      <c r="F1034" s="273">
        <v>6.2583000000000002</v>
      </c>
      <c r="G1034" s="273">
        <f t="shared" si="19"/>
        <v>1.0182000000000002</v>
      </c>
      <c r="H1034" s="273">
        <f>SUM(G1028:G1032)</f>
        <v>4.219100000000001</v>
      </c>
    </row>
    <row r="1035" spans="1:8" hidden="1">
      <c r="A1035" s="245">
        <v>44193</v>
      </c>
      <c r="B1035" s="245">
        <v>44195</v>
      </c>
      <c r="C1035" s="273" t="s">
        <v>24</v>
      </c>
      <c r="D1035" s="273">
        <v>16</v>
      </c>
      <c r="E1035" s="273">
        <v>5.1102999999999996</v>
      </c>
      <c r="F1035" s="273">
        <v>6.7563000000000004</v>
      </c>
      <c r="G1035" s="273">
        <f t="shared" si="19"/>
        <v>1.6460000000000008</v>
      </c>
      <c r="H1035" s="273">
        <f>SUM(G1033:G1035)</f>
        <v>4.3850000000000016</v>
      </c>
    </row>
    <row r="1036" spans="1:8">
      <c r="A1036" s="245">
        <v>44201</v>
      </c>
      <c r="B1036" s="245">
        <v>44204</v>
      </c>
      <c r="C1036" s="273" t="s">
        <v>8</v>
      </c>
      <c r="D1036" s="273">
        <v>30</v>
      </c>
      <c r="E1036" s="273">
        <v>3.2187999999999999</v>
      </c>
      <c r="F1036" s="273">
        <v>3.4878999999999998</v>
      </c>
      <c r="G1036" s="273">
        <f>F1036-E1036</f>
        <v>0.26909999999999989</v>
      </c>
      <c r="H1036" s="273"/>
    </row>
    <row r="1037" spans="1:8">
      <c r="A1037" s="245">
        <v>44201</v>
      </c>
      <c r="B1037" s="245">
        <v>44204</v>
      </c>
      <c r="C1037" s="273" t="s">
        <v>8</v>
      </c>
      <c r="D1037" s="273">
        <v>25</v>
      </c>
      <c r="E1037" s="273">
        <v>2.9275000000000002</v>
      </c>
      <c r="F1037" s="273">
        <v>2.9839000000000002</v>
      </c>
      <c r="G1037" s="273">
        <f>F1037-E1037</f>
        <v>5.6400000000000006E-2</v>
      </c>
      <c r="H1037" s="273"/>
    </row>
    <row r="1038" spans="1:8">
      <c r="A1038" s="245">
        <v>44201</v>
      </c>
      <c r="B1038" s="245">
        <v>44204</v>
      </c>
      <c r="C1038" s="273" t="s">
        <v>8</v>
      </c>
      <c r="D1038" s="273">
        <v>33</v>
      </c>
      <c r="E1038" s="273">
        <v>2.8854000000000002</v>
      </c>
      <c r="F1038" s="273">
        <v>3.5325000000000002</v>
      </c>
      <c r="G1038" s="273">
        <f>F1038-E1038</f>
        <v>0.64710000000000001</v>
      </c>
      <c r="H1038" s="273"/>
    </row>
    <row r="1039" spans="1:8">
      <c r="A1039" s="245">
        <v>44201</v>
      </c>
      <c r="B1039" s="245">
        <v>44204</v>
      </c>
      <c r="C1039" s="273" t="s">
        <v>8</v>
      </c>
      <c r="D1039" s="273">
        <v>31</v>
      </c>
      <c r="E1039" s="273">
        <v>5.9108000000000001</v>
      </c>
      <c r="F1039" s="273">
        <v>6.4863</v>
      </c>
      <c r="G1039" s="273">
        <f>F1039-E1039</f>
        <v>0.5754999999999999</v>
      </c>
      <c r="H1039" s="273"/>
    </row>
    <row r="1040" spans="1:8">
      <c r="A1040" s="245">
        <v>44201</v>
      </c>
      <c r="B1040" s="245">
        <v>44204</v>
      </c>
      <c r="C1040" s="273" t="s">
        <v>11</v>
      </c>
      <c r="D1040" s="273">
        <v>43</v>
      </c>
      <c r="E1040" s="273">
        <v>3.0200999999999998</v>
      </c>
      <c r="F1040" s="273">
        <v>3.2103000000000002</v>
      </c>
      <c r="G1040" s="273">
        <f>F1040-E1040</f>
        <v>0.19020000000000037</v>
      </c>
      <c r="H1040" s="273"/>
    </row>
    <row r="1041" spans="1:7">
      <c r="A1041" s="245">
        <v>44201</v>
      </c>
      <c r="B1041" s="245">
        <v>44204</v>
      </c>
      <c r="C1041" s="273" t="s">
        <v>11</v>
      </c>
      <c r="D1041" s="273">
        <v>44</v>
      </c>
      <c r="E1041" s="273">
        <v>4.9488000000000003</v>
      </c>
      <c r="F1041" s="273">
        <v>5.4767999999999999</v>
      </c>
      <c r="G1041" s="273">
        <f>F1041-E1041</f>
        <v>0.52799999999999958</v>
      </c>
    </row>
    <row r="1042" spans="1:7">
      <c r="A1042" s="245">
        <v>44201</v>
      </c>
      <c r="B1042" s="245">
        <v>44204</v>
      </c>
      <c r="C1042" s="273" t="s">
        <v>11</v>
      </c>
      <c r="D1042" s="273">
        <v>42</v>
      </c>
      <c r="E1042" s="273">
        <v>2.9657</v>
      </c>
      <c r="F1042" s="273">
        <v>3.0266999999999999</v>
      </c>
      <c r="G1042" s="273">
        <f>F1042-E1042</f>
        <v>6.0999999999999943E-2</v>
      </c>
    </row>
    <row r="1043" spans="1:7">
      <c r="A1043" s="245">
        <v>44201</v>
      </c>
      <c r="B1043" s="245">
        <v>44204</v>
      </c>
      <c r="C1043" s="273" t="s">
        <v>11</v>
      </c>
      <c r="D1043" s="273">
        <v>45</v>
      </c>
      <c r="E1043" s="273">
        <v>4.8262999999999998</v>
      </c>
      <c r="F1043" s="273">
        <v>5.1140999999999996</v>
      </c>
      <c r="G1043" s="273">
        <f>F1043-E1043</f>
        <v>0.28779999999999983</v>
      </c>
    </row>
    <row r="1044" spans="1:7">
      <c r="A1044" s="245">
        <v>44201</v>
      </c>
      <c r="B1044" s="245">
        <v>44204</v>
      </c>
      <c r="C1044" s="273" t="s">
        <v>16</v>
      </c>
      <c r="D1044" s="273">
        <v>61</v>
      </c>
      <c r="E1044" s="273">
        <v>2.9304999999999999</v>
      </c>
      <c r="F1044" s="273">
        <v>3.0663</v>
      </c>
      <c r="G1044" s="273">
        <f>F1044-E1044</f>
        <v>0.13580000000000014</v>
      </c>
    </row>
    <row r="1045" spans="1:7">
      <c r="A1045" s="245">
        <v>44201</v>
      </c>
      <c r="B1045" s="245">
        <v>44204</v>
      </c>
      <c r="C1045" s="273" t="s">
        <v>16</v>
      </c>
      <c r="D1045" s="273">
        <v>64</v>
      </c>
      <c r="E1045" s="273">
        <v>4.7638999999999996</v>
      </c>
      <c r="F1045" s="273">
        <v>5.1379999999999999</v>
      </c>
      <c r="G1045" s="273">
        <f>F1045-E1045</f>
        <v>0.37410000000000032</v>
      </c>
    </row>
    <row r="1046" spans="1:7">
      <c r="A1046" s="245">
        <v>44201</v>
      </c>
      <c r="B1046" s="245">
        <v>44204</v>
      </c>
      <c r="C1046" s="273" t="s">
        <v>16</v>
      </c>
      <c r="D1046" s="273">
        <v>63</v>
      </c>
      <c r="E1046" s="273">
        <v>3.2978000000000001</v>
      </c>
      <c r="F1046" s="273">
        <v>3.3837000000000002</v>
      </c>
      <c r="G1046" s="273">
        <f>F1046-E1046</f>
        <v>8.5900000000000087E-2</v>
      </c>
    </row>
    <row r="1047" spans="1:7">
      <c r="A1047" s="245">
        <v>44201</v>
      </c>
      <c r="B1047" s="245">
        <v>44204</v>
      </c>
      <c r="C1047" s="273" t="s">
        <v>24</v>
      </c>
      <c r="D1047" s="273">
        <v>14</v>
      </c>
      <c r="E1047" s="273">
        <v>5.2720000000000002</v>
      </c>
      <c r="F1047" s="273">
        <v>5.6029999999999998</v>
      </c>
      <c r="G1047" s="273">
        <f>F1047-E1047</f>
        <v>0.33099999999999952</v>
      </c>
    </row>
    <row r="1048" spans="1:7">
      <c r="A1048" s="245">
        <v>44201</v>
      </c>
      <c r="B1048" s="245">
        <v>44204</v>
      </c>
      <c r="C1048" s="273" t="s">
        <v>24</v>
      </c>
      <c r="D1048" s="273">
        <v>16</v>
      </c>
      <c r="E1048" s="273">
        <v>3.1242000000000001</v>
      </c>
      <c r="F1048" s="273">
        <v>3.1945000000000001</v>
      </c>
      <c r="G1048" s="273">
        <f>F1048-E1048</f>
        <v>7.0300000000000029E-2</v>
      </c>
    </row>
    <row r="1049" spans="1:7">
      <c r="A1049" s="245">
        <v>44201</v>
      </c>
      <c r="B1049" s="245">
        <v>44204</v>
      </c>
      <c r="C1049" s="273" t="s">
        <v>26</v>
      </c>
      <c r="D1049" s="273"/>
      <c r="E1049" s="273">
        <v>3.0815000000000001</v>
      </c>
      <c r="F1049" s="273">
        <v>3.4102000000000001</v>
      </c>
      <c r="G1049" s="273">
        <f>F1049-E1049</f>
        <v>0.32869999999999999</v>
      </c>
    </row>
    <row r="1050" spans="1:7">
      <c r="A1050" s="245">
        <v>44204</v>
      </c>
      <c r="B1050" s="245">
        <v>44207</v>
      </c>
      <c r="C1050" s="273" t="s">
        <v>26</v>
      </c>
      <c r="D1050" s="273"/>
      <c r="E1050" s="273">
        <v>4.8592000000000004</v>
      </c>
      <c r="F1050" s="273">
        <v>5.3010000000000002</v>
      </c>
      <c r="G1050" s="273">
        <f>F1050-E1050</f>
        <v>0.44179999999999975</v>
      </c>
    </row>
    <row r="1051" spans="1:7">
      <c r="A1051" s="245">
        <v>44204</v>
      </c>
      <c r="B1051" s="245">
        <v>44207</v>
      </c>
      <c r="C1051" s="273" t="s">
        <v>19</v>
      </c>
      <c r="D1051" s="273">
        <v>22</v>
      </c>
      <c r="E1051" s="273">
        <v>5.6391</v>
      </c>
      <c r="F1051" s="273">
        <v>6.9442000000000004</v>
      </c>
      <c r="G1051" s="273">
        <f>F1051-E1051</f>
        <v>1.3051000000000004</v>
      </c>
    </row>
    <row r="1052" spans="1:7">
      <c r="A1052" s="245">
        <v>44204</v>
      </c>
      <c r="B1052" s="245">
        <v>44207</v>
      </c>
      <c r="C1052" s="273" t="s">
        <v>11</v>
      </c>
      <c r="D1052" s="273">
        <v>44</v>
      </c>
      <c r="E1052" s="273">
        <v>4.72</v>
      </c>
      <c r="F1052" s="273">
        <v>6.5224000000000002</v>
      </c>
      <c r="G1052" s="273">
        <f>F1052-E1052</f>
        <v>1.8024000000000004</v>
      </c>
    </row>
    <row r="1053" spans="1:7">
      <c r="A1053" s="245">
        <v>44204</v>
      </c>
      <c r="B1053" s="245">
        <v>44207</v>
      </c>
      <c r="C1053" s="273" t="s">
        <v>11</v>
      </c>
      <c r="D1053" s="273">
        <v>42</v>
      </c>
      <c r="E1053" s="273">
        <v>5.1391</v>
      </c>
      <c r="F1053" s="273">
        <v>5.2218</v>
      </c>
      <c r="G1053" s="273">
        <f>F1053-E1053</f>
        <v>8.2699999999999996E-2</v>
      </c>
    </row>
    <row r="1054" spans="1:7">
      <c r="A1054" s="245">
        <v>44204</v>
      </c>
      <c r="B1054" s="245">
        <v>44207</v>
      </c>
      <c r="C1054" s="273" t="s">
        <v>11</v>
      </c>
      <c r="D1054" s="273">
        <v>45</v>
      </c>
      <c r="E1054" s="273">
        <v>5.2393000000000001</v>
      </c>
      <c r="F1054" s="273">
        <v>7.5940000000000003</v>
      </c>
      <c r="G1054" s="273">
        <f>F1054-E1054</f>
        <v>2.3547000000000002</v>
      </c>
    </row>
    <row r="1055" spans="1:7">
      <c r="A1055" s="245">
        <v>44204</v>
      </c>
      <c r="B1055" s="245">
        <v>44207</v>
      </c>
      <c r="C1055" s="273" t="s">
        <v>8</v>
      </c>
      <c r="D1055" s="273">
        <v>30</v>
      </c>
      <c r="E1055" s="273">
        <v>5.0656999999999996</v>
      </c>
      <c r="F1055" s="273">
        <v>5.2374999999999998</v>
      </c>
      <c r="G1055" s="273">
        <f>F1055-E1055</f>
        <v>0.17180000000000017</v>
      </c>
    </row>
    <row r="1056" spans="1:7">
      <c r="A1056" s="245">
        <v>44204</v>
      </c>
      <c r="B1056" s="245">
        <v>44207</v>
      </c>
      <c r="C1056" s="273" t="s">
        <v>8</v>
      </c>
      <c r="D1056" s="273">
        <v>34</v>
      </c>
      <c r="E1056" s="273">
        <v>5.1910999999999996</v>
      </c>
      <c r="F1056" s="273">
        <v>5.5396000000000001</v>
      </c>
      <c r="G1056" s="273">
        <f>F1056-E1056</f>
        <v>0.34850000000000048</v>
      </c>
    </row>
    <row r="1057" spans="1:7">
      <c r="A1057" s="245">
        <v>44204</v>
      </c>
      <c r="B1057" s="245">
        <v>44207</v>
      </c>
      <c r="C1057" s="273" t="s">
        <v>8</v>
      </c>
      <c r="D1057" s="273">
        <v>35</v>
      </c>
      <c r="E1057" s="273">
        <v>5.4149000000000003</v>
      </c>
      <c r="F1057" s="273">
        <v>6.6205999999999996</v>
      </c>
      <c r="G1057" s="273">
        <f>F1057-E1057</f>
        <v>1.2056999999999993</v>
      </c>
    </row>
    <row r="1058" spans="1:7">
      <c r="A1058" s="245">
        <v>44204</v>
      </c>
      <c r="B1058" s="245">
        <v>44207</v>
      </c>
      <c r="C1058" s="273" t="s">
        <v>8</v>
      </c>
      <c r="D1058" s="273">
        <v>33</v>
      </c>
      <c r="E1058" s="273">
        <v>5.6271000000000004</v>
      </c>
      <c r="F1058" s="273">
        <v>6.1919000000000004</v>
      </c>
      <c r="G1058" s="273">
        <f>F1058-E1058</f>
        <v>0.56479999999999997</v>
      </c>
    </row>
    <row r="1059" spans="1:7">
      <c r="A1059" s="245">
        <v>44204</v>
      </c>
      <c r="B1059" s="245">
        <v>44207</v>
      </c>
      <c r="C1059" s="273" t="s">
        <v>8</v>
      </c>
      <c r="D1059" s="273">
        <v>31</v>
      </c>
      <c r="E1059" s="273">
        <v>5.3236999999999997</v>
      </c>
      <c r="F1059" s="273">
        <v>5.4953000000000003</v>
      </c>
      <c r="G1059" s="273">
        <f>F1059-E1059</f>
        <v>0.17160000000000064</v>
      </c>
    </row>
    <row r="1060" spans="1:7">
      <c r="A1060" s="245">
        <v>44204</v>
      </c>
      <c r="B1060" s="245">
        <v>44207</v>
      </c>
      <c r="C1060" s="273" t="s">
        <v>24</v>
      </c>
      <c r="D1060" s="273">
        <v>15</v>
      </c>
      <c r="E1060" s="273">
        <v>5.0693000000000001</v>
      </c>
      <c r="F1060" s="273">
        <v>5.3101000000000003</v>
      </c>
      <c r="G1060" s="273">
        <f>F1060-E1060</f>
        <v>0.24080000000000013</v>
      </c>
    </row>
    <row r="1061" spans="1:7">
      <c r="A1061" s="245">
        <v>44204</v>
      </c>
      <c r="B1061" s="245">
        <v>44207</v>
      </c>
      <c r="C1061" s="273" t="s">
        <v>24</v>
      </c>
      <c r="D1061" s="273">
        <v>14</v>
      </c>
      <c r="E1061" s="273">
        <v>5.4343000000000004</v>
      </c>
      <c r="F1061" s="273">
        <v>5.5172999999999996</v>
      </c>
      <c r="G1061" s="273">
        <f>F1061-E1061</f>
        <v>8.2999999999999297E-2</v>
      </c>
    </row>
    <row r="1062" spans="1:7">
      <c r="A1062" s="245">
        <v>44204</v>
      </c>
      <c r="B1062" s="245">
        <v>44207</v>
      </c>
      <c r="C1062" s="273" t="s">
        <v>16</v>
      </c>
      <c r="D1062" s="273">
        <v>69</v>
      </c>
      <c r="E1062" s="273">
        <v>5.2461000000000002</v>
      </c>
      <c r="F1062" s="273">
        <v>6.6635</v>
      </c>
      <c r="G1062" s="273">
        <f>F1062-E1062</f>
        <v>1.4173999999999998</v>
      </c>
    </row>
    <row r="1063" spans="1:7">
      <c r="A1063" s="245">
        <v>44204</v>
      </c>
      <c r="B1063" s="245">
        <v>44207</v>
      </c>
      <c r="C1063" s="273" t="s">
        <v>16</v>
      </c>
      <c r="D1063" s="273">
        <v>67</v>
      </c>
      <c r="E1063" s="273">
        <v>5.9992999999999999</v>
      </c>
      <c r="F1063" s="273">
        <v>7.3552999999999997</v>
      </c>
      <c r="G1063" s="273">
        <f>F1063-E1063</f>
        <v>1.3559999999999999</v>
      </c>
    </row>
    <row r="1064" spans="1:7">
      <c r="A1064" s="245">
        <v>44204</v>
      </c>
      <c r="B1064" s="245">
        <v>44207</v>
      </c>
      <c r="C1064" s="273" t="s">
        <v>16</v>
      </c>
      <c r="D1064" s="273">
        <v>68</v>
      </c>
      <c r="E1064" s="273">
        <v>5.4051999999999998</v>
      </c>
      <c r="F1064" s="273">
        <v>6.3197999999999999</v>
      </c>
      <c r="G1064" s="273">
        <f>F1064-E1064</f>
        <v>0.91460000000000008</v>
      </c>
    </row>
    <row r="1065" spans="1:7">
      <c r="A1065" s="245">
        <v>44207</v>
      </c>
      <c r="B1065" s="245">
        <v>44209</v>
      </c>
      <c r="C1065" s="273" t="s">
        <v>26</v>
      </c>
      <c r="D1065" s="273"/>
      <c r="E1065" s="273">
        <v>3.6497999999999999</v>
      </c>
      <c r="F1065" s="273">
        <v>3.6896</v>
      </c>
      <c r="G1065" s="273">
        <f>F1065-E1065</f>
        <v>3.9800000000000058E-2</v>
      </c>
    </row>
    <row r="1066" spans="1:7">
      <c r="A1066" s="245">
        <v>44207</v>
      </c>
      <c r="B1066" s="245">
        <v>44209</v>
      </c>
      <c r="C1066" s="273" t="s">
        <v>8</v>
      </c>
      <c r="D1066" s="273">
        <v>33</v>
      </c>
      <c r="E1066" s="273">
        <v>4.9309000000000003</v>
      </c>
      <c r="F1066" s="273">
        <v>5.0975999999999999</v>
      </c>
      <c r="G1066" s="273">
        <f>F1066-E1066</f>
        <v>0.16669999999999963</v>
      </c>
    </row>
    <row r="1067" spans="1:7">
      <c r="A1067" s="245">
        <v>44207</v>
      </c>
      <c r="B1067" s="245">
        <v>44209</v>
      </c>
      <c r="C1067" s="273" t="s">
        <v>8</v>
      </c>
      <c r="D1067" s="273">
        <v>31</v>
      </c>
      <c r="E1067" s="273">
        <v>5.8525</v>
      </c>
      <c r="F1067" s="273">
        <v>5.8655999999999997</v>
      </c>
      <c r="G1067" s="273">
        <f>F1067-E1067</f>
        <v>1.3099999999999667E-2</v>
      </c>
    </row>
    <row r="1068" spans="1:7">
      <c r="A1068" s="245">
        <v>44207</v>
      </c>
      <c r="B1068" s="245">
        <v>44209</v>
      </c>
      <c r="C1068" s="273" t="s">
        <v>8</v>
      </c>
      <c r="D1068" s="273">
        <v>30</v>
      </c>
      <c r="E1068" s="273">
        <v>4.7138</v>
      </c>
      <c r="F1068" s="273">
        <v>4.7211999999999996</v>
      </c>
      <c r="G1068" s="273">
        <f>F1068-E1068</f>
        <v>7.3999999999996291E-3</v>
      </c>
    </row>
    <row r="1069" spans="1:7">
      <c r="A1069" s="245">
        <v>44207</v>
      </c>
      <c r="B1069" s="245">
        <v>44209</v>
      </c>
      <c r="C1069" s="273" t="s">
        <v>8</v>
      </c>
      <c r="D1069" s="273">
        <v>34</v>
      </c>
      <c r="E1069" s="273">
        <v>4.9928999999999997</v>
      </c>
      <c r="F1069" s="273">
        <v>5.2693000000000003</v>
      </c>
      <c r="G1069" s="273">
        <f>F1069-E1069</f>
        <v>0.27640000000000065</v>
      </c>
    </row>
    <row r="1070" spans="1:7">
      <c r="A1070" s="245">
        <v>44207</v>
      </c>
      <c r="B1070" s="245">
        <v>44209</v>
      </c>
      <c r="C1070" s="273" t="s">
        <v>8</v>
      </c>
      <c r="D1070" s="273">
        <v>35</v>
      </c>
      <c r="E1070" s="273">
        <v>5.6994999999999996</v>
      </c>
      <c r="F1070" s="273">
        <v>6.8162000000000003</v>
      </c>
      <c r="G1070" s="273">
        <f>F1070-E1070</f>
        <v>1.1167000000000007</v>
      </c>
    </row>
    <row r="1071" spans="1:7">
      <c r="A1071" s="245">
        <v>44207</v>
      </c>
      <c r="B1071" s="245">
        <v>44209</v>
      </c>
      <c r="C1071" s="273" t="s">
        <v>19</v>
      </c>
      <c r="D1071" s="273">
        <v>27</v>
      </c>
      <c r="E1071" s="273">
        <v>5.0510000000000002</v>
      </c>
      <c r="F1071" s="273">
        <v>5.1414</v>
      </c>
      <c r="G1071" s="273">
        <f>F1071-E1071</f>
        <v>9.0399999999999814E-2</v>
      </c>
    </row>
    <row r="1072" spans="1:7">
      <c r="A1072" s="245">
        <v>44207</v>
      </c>
      <c r="B1072" s="245">
        <v>44209</v>
      </c>
      <c r="C1072" s="273" t="s">
        <v>19</v>
      </c>
      <c r="D1072" s="273">
        <v>25</v>
      </c>
      <c r="E1072" s="273">
        <v>4.6353</v>
      </c>
      <c r="F1072" s="273">
        <v>4.7380000000000004</v>
      </c>
      <c r="G1072" s="273">
        <f>F1072-E1072</f>
        <v>0.10270000000000046</v>
      </c>
    </row>
    <row r="1073" spans="1:7">
      <c r="A1073" s="245">
        <v>44207</v>
      </c>
      <c r="B1073" s="245">
        <v>44209</v>
      </c>
      <c r="C1073" s="273" t="s">
        <v>19</v>
      </c>
      <c r="D1073" s="273">
        <v>26</v>
      </c>
      <c r="E1073" s="273">
        <v>4.9930000000000003</v>
      </c>
      <c r="F1073" s="273">
        <v>5.1839000000000004</v>
      </c>
      <c r="G1073" s="273">
        <f>F1073-E1073</f>
        <v>0.19090000000000007</v>
      </c>
    </row>
    <row r="1074" spans="1:7">
      <c r="A1074" s="245">
        <v>44207</v>
      </c>
      <c r="B1074" s="245">
        <v>44209</v>
      </c>
      <c r="C1074" s="273" t="s">
        <v>19</v>
      </c>
      <c r="D1074" s="273">
        <v>22</v>
      </c>
      <c r="E1074" s="273">
        <v>5.1997999999999998</v>
      </c>
      <c r="F1074" s="273">
        <v>7.1086999999999998</v>
      </c>
      <c r="G1074" s="273">
        <f>F1074-E1074</f>
        <v>1.9089</v>
      </c>
    </row>
    <row r="1075" spans="1:7">
      <c r="A1075" s="245">
        <v>44207</v>
      </c>
      <c r="B1075" s="245">
        <v>44209</v>
      </c>
      <c r="C1075" s="273" t="s">
        <v>19</v>
      </c>
      <c r="D1075" s="273">
        <v>21</v>
      </c>
      <c r="E1075" s="273">
        <v>5.5976999999999997</v>
      </c>
      <c r="F1075" s="273">
        <v>5.7354000000000003</v>
      </c>
      <c r="G1075" s="273">
        <f>F1075-E1075</f>
        <v>0.1377000000000006</v>
      </c>
    </row>
    <row r="1076" spans="1:7">
      <c r="A1076" s="245">
        <v>44207</v>
      </c>
      <c r="B1076" s="245">
        <v>44209</v>
      </c>
      <c r="C1076" s="273" t="s">
        <v>11</v>
      </c>
      <c r="D1076" s="273">
        <v>42</v>
      </c>
      <c r="E1076" s="273">
        <v>5.0457000000000001</v>
      </c>
      <c r="F1076" s="273">
        <v>5.0239000000000003</v>
      </c>
      <c r="G1076" s="273">
        <f>F1076-E1076</f>
        <v>-2.179999999999982E-2</v>
      </c>
    </row>
    <row r="1077" spans="1:7">
      <c r="A1077" s="245">
        <v>44207</v>
      </c>
      <c r="B1077" s="245">
        <v>44209</v>
      </c>
      <c r="C1077" s="273" t="s">
        <v>11</v>
      </c>
      <c r="D1077" s="273">
        <v>44</v>
      </c>
      <c r="E1077" s="273">
        <v>5.6002000000000001</v>
      </c>
      <c r="F1077" s="273">
        <v>6.8888999999999996</v>
      </c>
      <c r="G1077" s="273">
        <f>F1077-E1077</f>
        <v>1.2886999999999995</v>
      </c>
    </row>
    <row r="1078" spans="1:7">
      <c r="A1078" s="245">
        <v>44207</v>
      </c>
      <c r="B1078" s="245">
        <v>44209</v>
      </c>
      <c r="C1078" s="273" t="s">
        <v>11</v>
      </c>
      <c r="D1078" s="273">
        <v>48</v>
      </c>
      <c r="E1078" s="273">
        <v>5.3673999999999999</v>
      </c>
      <c r="F1078" s="273">
        <v>5.3445</v>
      </c>
      <c r="G1078" s="273">
        <f>F1078-E1078</f>
        <v>-2.289999999999992E-2</v>
      </c>
    </row>
    <row r="1079" spans="1:7">
      <c r="A1079" s="245">
        <v>44207</v>
      </c>
      <c r="B1079" s="245">
        <v>44209</v>
      </c>
      <c r="C1079" s="273" t="s">
        <v>11</v>
      </c>
      <c r="D1079" s="273">
        <v>45</v>
      </c>
      <c r="E1079" s="273">
        <v>4.5968999999999998</v>
      </c>
      <c r="F1079" s="273">
        <v>5.9703999999999997</v>
      </c>
      <c r="G1079" s="273">
        <f>F1079-E1079</f>
        <v>1.3734999999999999</v>
      </c>
    </row>
    <row r="1080" spans="1:7">
      <c r="A1080" s="245">
        <v>44207</v>
      </c>
      <c r="B1080" s="245">
        <v>44209</v>
      </c>
      <c r="C1080" s="273" t="s">
        <v>11</v>
      </c>
      <c r="D1080" s="273">
        <v>50</v>
      </c>
      <c r="E1080" s="273">
        <v>5.3794000000000004</v>
      </c>
      <c r="F1080" s="273">
        <v>5.3867000000000003</v>
      </c>
      <c r="G1080" s="273">
        <f>F1080-E1080</f>
        <v>7.2999999999998622E-3</v>
      </c>
    </row>
    <row r="1081" spans="1:7">
      <c r="A1081" s="245">
        <v>44207</v>
      </c>
      <c r="B1081" s="245">
        <v>44209</v>
      </c>
      <c r="C1081" s="273" t="s">
        <v>16</v>
      </c>
      <c r="D1081" s="273">
        <v>68</v>
      </c>
      <c r="E1081" s="273">
        <v>6.6745000000000001</v>
      </c>
      <c r="F1081" s="273">
        <v>7.5998000000000001</v>
      </c>
      <c r="G1081" s="273">
        <f>F1081-E1081</f>
        <v>0.92530000000000001</v>
      </c>
    </row>
    <row r="1082" spans="1:7">
      <c r="A1082" s="245">
        <v>44207</v>
      </c>
      <c r="B1082" s="245">
        <v>44209</v>
      </c>
      <c r="C1082" s="273" t="s">
        <v>16</v>
      </c>
      <c r="D1082" s="273">
        <v>69</v>
      </c>
      <c r="E1082" s="273">
        <v>5.0092999999999996</v>
      </c>
      <c r="F1082" s="273">
        <v>6.0727000000000002</v>
      </c>
      <c r="G1082" s="273">
        <f>F1082-E1082</f>
        <v>1.0634000000000006</v>
      </c>
    </row>
    <row r="1083" spans="1:7">
      <c r="A1083" s="245">
        <v>44207</v>
      </c>
      <c r="B1083" s="245">
        <v>44209</v>
      </c>
      <c r="C1083" s="273" t="s">
        <v>16</v>
      </c>
      <c r="D1083" s="273">
        <v>67</v>
      </c>
      <c r="E1083" s="273">
        <v>5.5335999999999999</v>
      </c>
      <c r="F1083" s="273">
        <v>6.3521999999999998</v>
      </c>
      <c r="G1083" s="273">
        <f>F1083-E1083</f>
        <v>0.81859999999999999</v>
      </c>
    </row>
    <row r="1084" spans="1:7">
      <c r="A1084" s="245">
        <v>44209</v>
      </c>
      <c r="B1084" s="245">
        <v>44211</v>
      </c>
      <c r="C1084" s="273" t="s">
        <v>16</v>
      </c>
      <c r="D1084" s="273">
        <v>72</v>
      </c>
      <c r="E1084" s="273">
        <v>5.7279999999999998</v>
      </c>
      <c r="F1084" s="273">
        <v>6.7484999999999999</v>
      </c>
      <c r="G1084" s="273">
        <f t="shared" ref="G1084:G1147" si="20">F1084-E1084</f>
        <v>1.0205000000000002</v>
      </c>
    </row>
    <row r="1085" spans="1:7">
      <c r="A1085" s="245">
        <v>44209</v>
      </c>
      <c r="B1085" s="245">
        <v>44211</v>
      </c>
      <c r="C1085" s="273" t="s">
        <v>16</v>
      </c>
      <c r="D1085" s="273">
        <v>68</v>
      </c>
      <c r="E1085" s="273">
        <v>5.2968000000000002</v>
      </c>
      <c r="F1085" s="273">
        <v>6.0369999999999999</v>
      </c>
      <c r="G1085" s="273">
        <f t="shared" si="20"/>
        <v>0.74019999999999975</v>
      </c>
    </row>
    <row r="1086" spans="1:7">
      <c r="A1086" s="245">
        <v>44209</v>
      </c>
      <c r="B1086" s="245">
        <v>44211</v>
      </c>
      <c r="C1086" s="273" t="s">
        <v>16</v>
      </c>
      <c r="D1086" s="273">
        <v>69</v>
      </c>
      <c r="E1086" s="273">
        <v>5.0304000000000002</v>
      </c>
      <c r="F1086" s="273">
        <v>6.4207999999999998</v>
      </c>
      <c r="G1086" s="273">
        <f t="shared" si="20"/>
        <v>1.3903999999999996</v>
      </c>
    </row>
    <row r="1087" spans="1:7">
      <c r="A1087" s="245">
        <v>44209</v>
      </c>
      <c r="B1087" s="245">
        <v>44211</v>
      </c>
      <c r="C1087" s="273" t="s">
        <v>24</v>
      </c>
      <c r="D1087" s="273">
        <v>17</v>
      </c>
      <c r="E1087" s="273">
        <v>5.7241999999999997</v>
      </c>
      <c r="F1087" s="273">
        <v>4.8404999999999996</v>
      </c>
      <c r="G1087" s="273">
        <f t="shared" si="20"/>
        <v>-0.88370000000000015</v>
      </c>
    </row>
    <row r="1088" spans="1:7">
      <c r="A1088" s="245">
        <v>44209</v>
      </c>
      <c r="B1088" s="245">
        <v>44211</v>
      </c>
      <c r="C1088" s="273" t="s">
        <v>24</v>
      </c>
      <c r="D1088" s="273">
        <v>18</v>
      </c>
      <c r="E1088" s="273">
        <v>5.5439999999999996</v>
      </c>
      <c r="F1088" s="273">
        <v>5.7973999999999997</v>
      </c>
      <c r="G1088" s="273">
        <f t="shared" si="20"/>
        <v>0.25340000000000007</v>
      </c>
    </row>
    <row r="1089" spans="1:7">
      <c r="A1089" s="245">
        <v>44209</v>
      </c>
      <c r="B1089" s="245">
        <v>44211</v>
      </c>
      <c r="C1089" s="273" t="s">
        <v>24</v>
      </c>
      <c r="D1089" s="273">
        <v>19</v>
      </c>
      <c r="E1089" s="273">
        <v>3.7446999999999999</v>
      </c>
      <c r="F1089" s="273">
        <v>7.0354999999999999</v>
      </c>
      <c r="G1089" s="273">
        <f t="shared" si="20"/>
        <v>3.2907999999999999</v>
      </c>
    </row>
    <row r="1090" spans="1:7">
      <c r="A1090" s="245">
        <v>44209</v>
      </c>
      <c r="B1090" s="245">
        <v>44211</v>
      </c>
      <c r="C1090" s="273" t="s">
        <v>8</v>
      </c>
      <c r="D1090" s="273">
        <v>33</v>
      </c>
      <c r="E1090" s="273">
        <v>5.7327000000000004</v>
      </c>
      <c r="F1090" s="273">
        <v>6.0766999999999998</v>
      </c>
      <c r="G1090" s="273">
        <f t="shared" si="20"/>
        <v>0.34399999999999942</v>
      </c>
    </row>
    <row r="1091" spans="1:7" ht="15">
      <c r="A1091" s="245">
        <v>44209</v>
      </c>
      <c r="B1091" s="245">
        <v>44211</v>
      </c>
      <c r="C1091" s="273" t="s">
        <v>8</v>
      </c>
      <c r="D1091" s="273">
        <v>35</v>
      </c>
      <c r="E1091" s="273">
        <v>5.6820000000000004</v>
      </c>
      <c r="F1091" s="264">
        <v>7.9480000000000004</v>
      </c>
      <c r="G1091" s="273">
        <f t="shared" si="20"/>
        <v>2.266</v>
      </c>
    </row>
    <row r="1092" spans="1:7">
      <c r="A1092" s="245">
        <v>44209</v>
      </c>
      <c r="B1092" s="245">
        <v>44211</v>
      </c>
      <c r="C1092" s="273" t="s">
        <v>8</v>
      </c>
      <c r="D1092" s="273">
        <v>34</v>
      </c>
      <c r="E1092" s="273">
        <v>4.2065000000000001</v>
      </c>
      <c r="F1092" s="273">
        <v>5.3966000000000003</v>
      </c>
      <c r="G1092" s="273">
        <f t="shared" si="20"/>
        <v>1.1901000000000002</v>
      </c>
    </row>
    <row r="1093" spans="1:7">
      <c r="A1093" s="245">
        <v>44209</v>
      </c>
      <c r="B1093" s="245">
        <v>44211</v>
      </c>
      <c r="C1093" s="273" t="s">
        <v>11</v>
      </c>
      <c r="D1093" s="273">
        <v>45</v>
      </c>
      <c r="E1093" s="273">
        <v>3.9885000000000002</v>
      </c>
      <c r="F1093" s="273">
        <v>5.2477</v>
      </c>
      <c r="G1093" s="273">
        <f t="shared" si="20"/>
        <v>1.2591999999999999</v>
      </c>
    </row>
    <row r="1094" spans="1:7">
      <c r="A1094" s="245">
        <v>44209</v>
      </c>
      <c r="B1094" s="245">
        <v>44211</v>
      </c>
      <c r="C1094" s="273" t="s">
        <v>11</v>
      </c>
      <c r="D1094" s="273">
        <v>47</v>
      </c>
      <c r="E1094" s="273">
        <v>4.0252999999999997</v>
      </c>
      <c r="F1094" s="273">
        <v>5.3049999999999997</v>
      </c>
      <c r="G1094" s="273">
        <f t="shared" si="20"/>
        <v>1.2797000000000001</v>
      </c>
    </row>
    <row r="1095" spans="1:7">
      <c r="A1095" s="245">
        <v>44209</v>
      </c>
      <c r="B1095" s="245">
        <v>44211</v>
      </c>
      <c r="C1095" s="273" t="s">
        <v>11</v>
      </c>
      <c r="D1095" s="273">
        <v>50</v>
      </c>
      <c r="E1095" s="273">
        <v>5.5106000000000002</v>
      </c>
      <c r="F1095" s="273">
        <v>9.1056000000000008</v>
      </c>
      <c r="G1095" s="273">
        <f t="shared" si="20"/>
        <v>3.5950000000000006</v>
      </c>
    </row>
    <row r="1096" spans="1:7">
      <c r="A1096" s="245">
        <v>44209</v>
      </c>
      <c r="B1096" s="245">
        <v>44211</v>
      </c>
      <c r="C1096" s="273" t="s">
        <v>11</v>
      </c>
      <c r="D1096" s="273">
        <v>44</v>
      </c>
      <c r="E1096" s="273">
        <v>5.5860000000000003</v>
      </c>
      <c r="F1096" s="273">
        <v>6.8304</v>
      </c>
      <c r="G1096" s="273">
        <f t="shared" si="20"/>
        <v>1.2443999999999997</v>
      </c>
    </row>
    <row r="1097" spans="1:7">
      <c r="A1097" s="245">
        <v>44209</v>
      </c>
      <c r="B1097" s="245">
        <v>44211</v>
      </c>
      <c r="C1097" s="273" t="s">
        <v>11</v>
      </c>
      <c r="D1097" s="273">
        <v>49</v>
      </c>
      <c r="E1097" s="273">
        <v>5.8856000000000002</v>
      </c>
      <c r="F1097" s="273">
        <v>11.2462</v>
      </c>
      <c r="G1097" s="273">
        <f t="shared" si="20"/>
        <v>5.3605999999999998</v>
      </c>
    </row>
    <row r="1098" spans="1:7">
      <c r="A1098" s="245">
        <v>44209</v>
      </c>
      <c r="B1098" s="245">
        <v>44211</v>
      </c>
      <c r="C1098" s="273" t="s">
        <v>11</v>
      </c>
      <c r="D1098" s="273">
        <v>46</v>
      </c>
      <c r="E1098" s="273">
        <v>5.5019999999999998</v>
      </c>
      <c r="F1098" s="273">
        <v>5.6407999999999996</v>
      </c>
      <c r="G1098" s="273">
        <f t="shared" si="20"/>
        <v>0.13879999999999981</v>
      </c>
    </row>
    <row r="1099" spans="1:7">
      <c r="A1099" s="245">
        <v>44209</v>
      </c>
      <c r="B1099" s="245">
        <v>44211</v>
      </c>
      <c r="C1099" s="273" t="s">
        <v>11</v>
      </c>
      <c r="D1099" s="273">
        <v>48</v>
      </c>
      <c r="E1099" s="273">
        <v>4.9809999999999999</v>
      </c>
      <c r="F1099" s="273">
        <v>5.9812000000000003</v>
      </c>
      <c r="G1099" s="273">
        <f t="shared" si="20"/>
        <v>1.0002000000000004</v>
      </c>
    </row>
    <row r="1100" spans="1:7">
      <c r="A1100" s="245">
        <v>44209</v>
      </c>
      <c r="B1100" s="245">
        <v>44211</v>
      </c>
      <c r="C1100" s="273" t="s">
        <v>19</v>
      </c>
      <c r="D1100" s="273">
        <v>27</v>
      </c>
      <c r="E1100" s="273">
        <v>3.8094000000000001</v>
      </c>
      <c r="F1100" s="273">
        <v>8.8569999999999993</v>
      </c>
      <c r="G1100" s="273">
        <f t="shared" si="20"/>
        <v>5.0475999999999992</v>
      </c>
    </row>
    <row r="1101" spans="1:7">
      <c r="A1101" s="245">
        <v>44209</v>
      </c>
      <c r="B1101" s="245">
        <v>44211</v>
      </c>
      <c r="C1101" s="273" t="s">
        <v>19</v>
      </c>
      <c r="D1101" s="273">
        <v>22</v>
      </c>
      <c r="E1101" s="273">
        <v>5.617</v>
      </c>
      <c r="F1101" s="273">
        <v>6.8079999999999998</v>
      </c>
      <c r="G1101" s="273">
        <f t="shared" si="20"/>
        <v>1.1909999999999998</v>
      </c>
    </row>
    <row r="1102" spans="1:7">
      <c r="A1102" s="245">
        <v>44209</v>
      </c>
      <c r="B1102" s="245">
        <v>44211</v>
      </c>
      <c r="C1102" s="273" t="s">
        <v>19</v>
      </c>
      <c r="D1102" s="273">
        <v>25</v>
      </c>
      <c r="E1102" s="273">
        <v>4.6520000000000001</v>
      </c>
      <c r="F1102" s="273">
        <v>8.2251999999999992</v>
      </c>
      <c r="G1102" s="273">
        <f t="shared" si="20"/>
        <v>3.573199999999999</v>
      </c>
    </row>
    <row r="1103" spans="1:7">
      <c r="A1103" s="245">
        <v>44209</v>
      </c>
      <c r="B1103" s="245">
        <v>44211</v>
      </c>
      <c r="C1103" s="273" t="s">
        <v>19</v>
      </c>
      <c r="D1103" s="273">
        <v>21</v>
      </c>
      <c r="E1103" s="273">
        <v>5.2333999999999996</v>
      </c>
      <c r="F1103" s="273">
        <v>6.6656000000000004</v>
      </c>
      <c r="G1103" s="273">
        <f t="shared" si="20"/>
        <v>1.4322000000000008</v>
      </c>
    </row>
    <row r="1104" spans="1:7">
      <c r="A1104" s="245">
        <v>44209</v>
      </c>
      <c r="B1104" s="245">
        <v>44211</v>
      </c>
      <c r="C1104" s="273" t="s">
        <v>19</v>
      </c>
      <c r="D1104" s="273">
        <v>26</v>
      </c>
      <c r="E1104" s="273">
        <v>4.1760999999999999</v>
      </c>
      <c r="F1104" s="273">
        <v>7.1170999999999998</v>
      </c>
      <c r="G1104" s="273">
        <f t="shared" si="20"/>
        <v>2.9409999999999998</v>
      </c>
    </row>
    <row r="1105" spans="1:9">
      <c r="A1105" s="245">
        <v>44209</v>
      </c>
      <c r="B1105" s="245">
        <v>44211</v>
      </c>
      <c r="C1105" s="273" t="s">
        <v>26</v>
      </c>
      <c r="D1105" s="273"/>
      <c r="E1105" s="273">
        <v>5.0369999999999999</v>
      </c>
      <c r="F1105" s="273">
        <v>5.0579999999999998</v>
      </c>
      <c r="G1105" s="273">
        <f t="shared" si="20"/>
        <v>2.0999999999999908E-2</v>
      </c>
      <c r="H1105" s="273"/>
      <c r="I1105" s="273"/>
    </row>
    <row r="1106" spans="1:9">
      <c r="A1106" s="245">
        <v>44211</v>
      </c>
      <c r="B1106" s="245">
        <v>44214</v>
      </c>
      <c r="C1106" s="273" t="s">
        <v>26</v>
      </c>
      <c r="D1106" s="273"/>
      <c r="E1106" s="273">
        <v>4.5297999999999998</v>
      </c>
      <c r="F1106" s="273">
        <v>4.5594000000000001</v>
      </c>
      <c r="G1106" s="273">
        <f t="shared" si="20"/>
        <v>2.9600000000000293E-2</v>
      </c>
      <c r="H1106" s="273"/>
      <c r="I1106" s="273"/>
    </row>
    <row r="1107" spans="1:9">
      <c r="A1107" s="245">
        <v>44211</v>
      </c>
      <c r="B1107" s="245">
        <v>44214</v>
      </c>
      <c r="C1107" s="273" t="s">
        <v>8</v>
      </c>
      <c r="D1107" s="273">
        <v>33</v>
      </c>
      <c r="E1107" s="273">
        <v>4.1908000000000003</v>
      </c>
      <c r="F1107" s="273">
        <v>4.2919</v>
      </c>
      <c r="G1107" s="273">
        <f t="shared" si="20"/>
        <v>0.10109999999999975</v>
      </c>
      <c r="H1107" s="265"/>
      <c r="I1107" s="273"/>
    </row>
    <row r="1108" spans="1:9">
      <c r="A1108" s="245">
        <v>44211</v>
      </c>
      <c r="B1108" s="245">
        <v>44214</v>
      </c>
      <c r="C1108" s="273" t="s">
        <v>8</v>
      </c>
      <c r="D1108" s="273">
        <v>35</v>
      </c>
      <c r="E1108" s="273">
        <v>4.5707000000000004</v>
      </c>
      <c r="F1108" s="273">
        <v>5.2178000000000004</v>
      </c>
      <c r="G1108" s="273">
        <f t="shared" si="20"/>
        <v>0.64710000000000001</v>
      </c>
      <c r="H1108" s="265"/>
      <c r="I1108" s="273"/>
    </row>
    <row r="1109" spans="1:9">
      <c r="A1109" s="245">
        <v>44211</v>
      </c>
      <c r="B1109" s="245">
        <v>44214</v>
      </c>
      <c r="C1109" s="273" t="s">
        <v>19</v>
      </c>
      <c r="D1109" s="273">
        <v>25</v>
      </c>
      <c r="E1109" s="273">
        <v>5.9058999999999999</v>
      </c>
      <c r="F1109" s="273">
        <v>9.3003</v>
      </c>
      <c r="G1109" s="273">
        <f t="shared" si="20"/>
        <v>3.3944000000000001</v>
      </c>
      <c r="H1109" s="273"/>
      <c r="I1109" s="273"/>
    </row>
    <row r="1110" spans="1:9">
      <c r="A1110" s="245">
        <v>44211</v>
      </c>
      <c r="B1110" s="245">
        <v>44214</v>
      </c>
      <c r="C1110" s="273" t="s">
        <v>19</v>
      </c>
      <c r="D1110" s="273">
        <v>22</v>
      </c>
      <c r="E1110" s="273">
        <v>4.4920999999999998</v>
      </c>
      <c r="F1110" s="273">
        <v>9.8462999999999994</v>
      </c>
      <c r="G1110" s="273">
        <f t="shared" si="20"/>
        <v>5.3541999999999996</v>
      </c>
      <c r="H1110" s="273"/>
      <c r="I1110" s="273"/>
    </row>
    <row r="1111" spans="1:9">
      <c r="A1111" s="245">
        <v>44211</v>
      </c>
      <c r="B1111" s="245">
        <v>44214</v>
      </c>
      <c r="C1111" s="273" t="s">
        <v>11</v>
      </c>
      <c r="D1111" s="273">
        <v>51</v>
      </c>
      <c r="E1111" s="273">
        <v>4.6539999999999999</v>
      </c>
      <c r="F1111" s="273">
        <v>8.5138999999999996</v>
      </c>
      <c r="G1111" s="273">
        <f t="shared" si="20"/>
        <v>3.8598999999999997</v>
      </c>
      <c r="H1111" s="273" t="s">
        <v>27</v>
      </c>
      <c r="I1111" s="273"/>
    </row>
    <row r="1112" spans="1:9">
      <c r="A1112" s="245">
        <v>44211</v>
      </c>
      <c r="B1112" s="245">
        <v>44214</v>
      </c>
      <c r="C1112" s="273" t="s">
        <v>11</v>
      </c>
      <c r="D1112" s="273">
        <v>48</v>
      </c>
      <c r="E1112" s="273">
        <v>4.3924000000000003</v>
      </c>
      <c r="F1112" s="273">
        <v>7.3800999999999997</v>
      </c>
      <c r="G1112" s="273">
        <f t="shared" si="20"/>
        <v>2.9876999999999994</v>
      </c>
      <c r="H1112" s="266"/>
      <c r="I1112" s="273"/>
    </row>
    <row r="1113" spans="1:9">
      <c r="A1113" s="245">
        <v>44211</v>
      </c>
      <c r="B1113" s="245">
        <v>44214</v>
      </c>
      <c r="C1113" s="273" t="s">
        <v>11</v>
      </c>
      <c r="D1113" s="273">
        <v>50</v>
      </c>
      <c r="E1113" s="273">
        <v>4.5766999999999998</v>
      </c>
      <c r="F1113" s="273">
        <v>7.0121000000000002</v>
      </c>
      <c r="G1113" s="273">
        <f t="shared" si="20"/>
        <v>2.4354000000000005</v>
      </c>
      <c r="H1113" s="265"/>
      <c r="I1113" s="273"/>
    </row>
    <row r="1114" spans="1:9">
      <c r="A1114" s="245">
        <v>44211</v>
      </c>
      <c r="B1114" s="245">
        <v>44214</v>
      </c>
      <c r="C1114" s="273" t="s">
        <v>11</v>
      </c>
      <c r="D1114" s="273">
        <v>47</v>
      </c>
      <c r="E1114" s="273">
        <v>4.8189000000000002</v>
      </c>
      <c r="F1114" s="273">
        <v>9.2591000000000001</v>
      </c>
      <c r="G1114" s="273">
        <f t="shared" si="20"/>
        <v>4.4401999999999999</v>
      </c>
      <c r="H1114" s="81"/>
      <c r="I1114" s="273">
        <f>SUM(G1111:G1118)</f>
        <v>28.546899999999997</v>
      </c>
    </row>
    <row r="1115" spans="1:9">
      <c r="A1115" s="245">
        <v>44211</v>
      </c>
      <c r="B1115" s="245">
        <v>44214</v>
      </c>
      <c r="C1115" s="273" t="s">
        <v>11</v>
      </c>
      <c r="D1115" s="273">
        <v>52</v>
      </c>
      <c r="E1115" s="273">
        <v>4.7964000000000002</v>
      </c>
      <c r="F1115" s="273">
        <v>13.609500000000001</v>
      </c>
      <c r="G1115" s="273">
        <f t="shared" si="20"/>
        <v>8.8131000000000004</v>
      </c>
      <c r="H1115" s="265"/>
      <c r="I1115" s="273"/>
    </row>
    <row r="1116" spans="1:9">
      <c r="A1116" s="245">
        <v>44211</v>
      </c>
      <c r="B1116" s="245">
        <v>44214</v>
      </c>
      <c r="C1116" s="273" t="s">
        <v>11</v>
      </c>
      <c r="D1116" s="273">
        <v>44</v>
      </c>
      <c r="E1116" s="273">
        <v>5.3312999999999997</v>
      </c>
      <c r="F1116" s="273">
        <v>5.9894999999999996</v>
      </c>
      <c r="G1116" s="273">
        <f t="shared" si="20"/>
        <v>0.6581999999999999</v>
      </c>
      <c r="H1116" s="265"/>
      <c r="I1116" s="273"/>
    </row>
    <row r="1117" spans="1:9">
      <c r="A1117" s="245">
        <v>44211</v>
      </c>
      <c r="B1117" s="245">
        <v>44214</v>
      </c>
      <c r="C1117" s="273" t="s">
        <v>11</v>
      </c>
      <c r="D1117" s="273">
        <v>55</v>
      </c>
      <c r="E1117" s="273">
        <v>4.6482000000000001</v>
      </c>
      <c r="F1117" s="273">
        <v>9.1196000000000002</v>
      </c>
      <c r="G1117" s="273">
        <f t="shared" si="20"/>
        <v>4.4714</v>
      </c>
      <c r="H1117" s="273"/>
      <c r="I1117" s="273"/>
    </row>
    <row r="1118" spans="1:9">
      <c r="A1118" s="245">
        <v>44211</v>
      </c>
      <c r="B1118" s="245">
        <v>44214</v>
      </c>
      <c r="C1118" s="273" t="s">
        <v>11</v>
      </c>
      <c r="D1118" s="273">
        <v>45</v>
      </c>
      <c r="E1118" s="273">
        <v>3.8363999999999998</v>
      </c>
      <c r="F1118" s="273">
        <v>4.7173999999999996</v>
      </c>
      <c r="G1118" s="273">
        <f t="shared" si="20"/>
        <v>0.88099999999999978</v>
      </c>
      <c r="H1118" s="265"/>
      <c r="I1118" s="273">
        <f>G1107+G1108+G1112+G1113+G1115+G1116+G1118+G1119+G1122+G1126+9.3</f>
        <v>34.882900000000006</v>
      </c>
    </row>
    <row r="1119" spans="1:9">
      <c r="A1119" s="245">
        <v>44211</v>
      </c>
      <c r="B1119" s="245">
        <v>44214</v>
      </c>
      <c r="C1119" s="273" t="s">
        <v>16</v>
      </c>
      <c r="D1119" s="273">
        <v>67</v>
      </c>
      <c r="E1119" s="273">
        <v>4.7815000000000003</v>
      </c>
      <c r="F1119" s="273">
        <v>6.0194000000000001</v>
      </c>
      <c r="G1119" s="273">
        <f t="shared" si="20"/>
        <v>1.2378999999999998</v>
      </c>
      <c r="H1119" s="265"/>
      <c r="I1119" s="273"/>
    </row>
    <row r="1120" spans="1:9">
      <c r="A1120" s="245">
        <v>44211</v>
      </c>
      <c r="B1120" s="245">
        <v>44214</v>
      </c>
      <c r="C1120" s="273" t="s">
        <v>16</v>
      </c>
      <c r="D1120" s="273">
        <v>68</v>
      </c>
      <c r="E1120" s="273">
        <v>4.4001000000000001</v>
      </c>
      <c r="F1120" s="273">
        <v>4.6773999999999996</v>
      </c>
      <c r="G1120" s="273">
        <f t="shared" si="20"/>
        <v>0.27729999999999944</v>
      </c>
      <c r="H1120" s="273"/>
      <c r="I1120" s="273"/>
    </row>
    <row r="1121" spans="1:9">
      <c r="A1121" s="245">
        <v>44211</v>
      </c>
      <c r="B1121" s="245">
        <v>44214</v>
      </c>
      <c r="C1121" s="273" t="s">
        <v>16</v>
      </c>
      <c r="D1121" s="273">
        <v>73</v>
      </c>
      <c r="E1121" s="273">
        <v>5.3193000000000001</v>
      </c>
      <c r="F1121" s="273">
        <v>8.2553000000000001</v>
      </c>
      <c r="G1121" s="273">
        <f t="shared" si="20"/>
        <v>2.9359999999999999</v>
      </c>
      <c r="H1121" s="273"/>
      <c r="I1121" s="273"/>
    </row>
    <row r="1122" spans="1:9">
      <c r="A1122" s="245">
        <v>44211</v>
      </c>
      <c r="B1122" s="245">
        <v>44214</v>
      </c>
      <c r="C1122" s="273" t="s">
        <v>16</v>
      </c>
      <c r="D1122" s="273">
        <v>70</v>
      </c>
      <c r="E1122" s="273">
        <v>4.5552999999999999</v>
      </c>
      <c r="F1122" s="273">
        <v>11.866300000000001</v>
      </c>
      <c r="G1122" s="273">
        <f t="shared" si="20"/>
        <v>7.3110000000000008</v>
      </c>
      <c r="H1122" s="265"/>
      <c r="I1122" s="273"/>
    </row>
    <row r="1123" spans="1:9">
      <c r="A1123" s="245">
        <v>44211</v>
      </c>
      <c r="B1123" s="245">
        <v>44214</v>
      </c>
      <c r="C1123" s="273" t="s">
        <v>16</v>
      </c>
      <c r="D1123" s="273">
        <v>69</v>
      </c>
      <c r="E1123" s="273">
        <v>5.0857000000000001</v>
      </c>
      <c r="F1123" s="273">
        <v>5.6478000000000002</v>
      </c>
      <c r="G1123" s="273">
        <f t="shared" si="20"/>
        <v>0.56210000000000004</v>
      </c>
      <c r="H1123" s="273"/>
      <c r="I1123" s="273">
        <f>SUM(G1120,G1123:G1124)</f>
        <v>2.9800999999999993</v>
      </c>
    </row>
    <row r="1124" spans="1:9">
      <c r="A1124" s="245">
        <v>44211</v>
      </c>
      <c r="B1124" s="245">
        <v>44214</v>
      </c>
      <c r="C1124" s="273" t="s">
        <v>16</v>
      </c>
      <c r="D1124" s="273">
        <v>71</v>
      </c>
      <c r="E1124" s="273">
        <v>5.4336000000000002</v>
      </c>
      <c r="F1124" s="273">
        <v>7.5743</v>
      </c>
      <c r="G1124" s="273">
        <f t="shared" si="20"/>
        <v>2.1406999999999998</v>
      </c>
      <c r="H1124" s="273"/>
      <c r="I1124" s="273"/>
    </row>
    <row r="1125" spans="1:9">
      <c r="A1125" s="245">
        <v>44211</v>
      </c>
      <c r="B1125" s="245">
        <v>44214</v>
      </c>
      <c r="C1125" s="273" t="s">
        <v>24</v>
      </c>
      <c r="D1125" s="273">
        <v>19</v>
      </c>
      <c r="E1125" s="273">
        <v>4.4188000000000001</v>
      </c>
      <c r="F1125" s="273">
        <v>8.2342999999999993</v>
      </c>
      <c r="G1125" s="273">
        <f t="shared" si="20"/>
        <v>3.8154999999999992</v>
      </c>
      <c r="H1125" s="273"/>
      <c r="I1125" s="273"/>
    </row>
    <row r="1126" spans="1:9">
      <c r="A1126" s="245">
        <v>44211</v>
      </c>
      <c r="B1126" s="245">
        <v>44214</v>
      </c>
      <c r="C1126" s="273" t="s">
        <v>18</v>
      </c>
      <c r="D1126" s="273"/>
      <c r="E1126" s="273">
        <v>4.4596999999999998</v>
      </c>
      <c r="F1126" s="273">
        <v>4.9701000000000004</v>
      </c>
      <c r="G1126" s="273">
        <f t="shared" si="20"/>
        <v>0.51040000000000063</v>
      </c>
      <c r="H1126" s="265"/>
      <c r="I1126" s="273"/>
    </row>
    <row r="1127" spans="1:9">
      <c r="A1127" s="245">
        <v>44211</v>
      </c>
      <c r="B1127" s="245">
        <v>44214</v>
      </c>
      <c r="C1127" s="273" t="s">
        <v>19</v>
      </c>
      <c r="D1127" s="273" t="s">
        <v>28</v>
      </c>
      <c r="E1127" s="273">
        <v>0</v>
      </c>
      <c r="F1127" s="273">
        <f>0.5*8+4.5+4.9</f>
        <v>13.4</v>
      </c>
      <c r="G1127" s="273">
        <f t="shared" si="20"/>
        <v>13.4</v>
      </c>
      <c r="H1127" s="265"/>
      <c r="I1127" s="273"/>
    </row>
    <row r="1128" spans="1:9">
      <c r="A1128" s="245">
        <v>44211</v>
      </c>
      <c r="B1128" s="245">
        <v>44214</v>
      </c>
      <c r="C1128" s="273" t="s">
        <v>24</v>
      </c>
      <c r="D1128" s="273" t="s">
        <v>28</v>
      </c>
      <c r="E1128" s="273">
        <v>0</v>
      </c>
      <c r="F1128" s="273">
        <f>0.5*8+0.8</f>
        <v>4.8</v>
      </c>
      <c r="G1128" s="273">
        <f t="shared" si="20"/>
        <v>4.8</v>
      </c>
      <c r="H1128" s="265"/>
      <c r="I1128" s="273"/>
    </row>
    <row r="1129" spans="1:9">
      <c r="A1129" s="245">
        <v>44211</v>
      </c>
      <c r="B1129" s="245">
        <v>44214</v>
      </c>
      <c r="C1129" s="273" t="s">
        <v>11</v>
      </c>
      <c r="D1129" s="273" t="s">
        <v>28</v>
      </c>
      <c r="E1129" s="273">
        <v>0</v>
      </c>
      <c r="F1129" s="273">
        <f>0.5*6+0.1</f>
        <v>3.1</v>
      </c>
      <c r="G1129" s="273">
        <f t="shared" si="20"/>
        <v>3.1</v>
      </c>
      <c r="H1129" s="265"/>
      <c r="I1129" s="273"/>
    </row>
    <row r="1130" spans="1:9">
      <c r="A1130" s="245">
        <v>44211</v>
      </c>
      <c r="B1130" s="245">
        <v>44214</v>
      </c>
      <c r="C1130" s="273" t="s">
        <v>16</v>
      </c>
      <c r="D1130" s="273" t="s">
        <v>28</v>
      </c>
      <c r="E1130" s="273">
        <v>0</v>
      </c>
      <c r="F1130" s="273">
        <v>0.6</v>
      </c>
      <c r="G1130" s="273">
        <f t="shared" si="20"/>
        <v>0.6</v>
      </c>
      <c r="H1130" s="265"/>
      <c r="I1130" s="273"/>
    </row>
    <row r="1131" spans="1:9">
      <c r="A1131" s="245">
        <v>44214</v>
      </c>
      <c r="B1131" s="245">
        <v>44216</v>
      </c>
      <c r="C1131" s="273" t="s">
        <v>18</v>
      </c>
      <c r="D1131" s="273"/>
      <c r="E1131" s="273">
        <v>4.5491000000000001</v>
      </c>
      <c r="F1131" s="273">
        <v>5.9409999999999998</v>
      </c>
      <c r="G1131" s="273">
        <f t="shared" si="20"/>
        <v>1.3918999999999997</v>
      </c>
      <c r="H1131" s="273"/>
      <c r="I1131" s="273"/>
    </row>
    <row r="1132" spans="1:9">
      <c r="A1132" s="245">
        <v>44214</v>
      </c>
      <c r="B1132" s="245">
        <v>44216</v>
      </c>
      <c r="C1132" s="273" t="s">
        <v>24</v>
      </c>
      <c r="D1132" s="273">
        <v>18</v>
      </c>
      <c r="E1132" s="273">
        <v>6.5225999999999997</v>
      </c>
      <c r="F1132" s="273">
        <v>7.5591999999999997</v>
      </c>
      <c r="G1132" s="273">
        <f t="shared" si="20"/>
        <v>1.0366</v>
      </c>
      <c r="H1132" s="273"/>
      <c r="I1132" s="273"/>
    </row>
    <row r="1133" spans="1:9">
      <c r="A1133" s="245">
        <v>44214</v>
      </c>
      <c r="B1133" s="245">
        <v>44216</v>
      </c>
      <c r="C1133" s="273" t="s">
        <v>24</v>
      </c>
      <c r="D1133" s="273">
        <v>19</v>
      </c>
      <c r="E1133" s="273">
        <v>4.6689999999999996</v>
      </c>
      <c r="F1133" s="273">
        <v>9.3034999999999997</v>
      </c>
      <c r="G1133" s="273">
        <f t="shared" si="20"/>
        <v>4.6345000000000001</v>
      </c>
      <c r="H1133" s="273"/>
      <c r="I1133" s="273"/>
    </row>
    <row r="1134" spans="1:9">
      <c r="A1134" s="245">
        <v>44214</v>
      </c>
      <c r="B1134" s="245">
        <v>44216</v>
      </c>
      <c r="C1134" s="273" t="s">
        <v>24</v>
      </c>
      <c r="D1134" s="273">
        <v>17</v>
      </c>
      <c r="E1134" s="273">
        <v>5.4720000000000004</v>
      </c>
      <c r="F1134" s="273">
        <v>10.812799999999999</v>
      </c>
      <c r="G1134" s="273">
        <f t="shared" si="20"/>
        <v>5.3407999999999989</v>
      </c>
      <c r="H1134" s="273"/>
      <c r="I1134" s="273"/>
    </row>
    <row r="1135" spans="1:9">
      <c r="A1135" s="245">
        <v>44214</v>
      </c>
      <c r="B1135" s="245">
        <v>44216</v>
      </c>
      <c r="C1135" s="273" t="s">
        <v>19</v>
      </c>
      <c r="D1135" s="273">
        <v>21</v>
      </c>
      <c r="E1135" s="273">
        <v>5.6466000000000003</v>
      </c>
      <c r="F1135" s="273">
        <v>8.2439</v>
      </c>
      <c r="G1135" s="273">
        <f t="shared" si="20"/>
        <v>2.5972999999999997</v>
      </c>
      <c r="H1135" s="273"/>
      <c r="I1135" s="273"/>
    </row>
    <row r="1136" spans="1:9">
      <c r="A1136" s="245">
        <v>44214</v>
      </c>
      <c r="B1136" s="245">
        <v>44216</v>
      </c>
      <c r="C1136" s="273" t="s">
        <v>19</v>
      </c>
      <c r="D1136" s="273">
        <v>28</v>
      </c>
      <c r="E1136" s="273">
        <v>5.1292</v>
      </c>
      <c r="F1136" s="273">
        <v>5.1266999999999996</v>
      </c>
      <c r="G1136" s="273">
        <f t="shared" si="20"/>
        <v>-2.5000000000003908E-3</v>
      </c>
      <c r="H1136" s="273"/>
      <c r="I1136" s="273"/>
    </row>
    <row r="1137" spans="1:7">
      <c r="A1137" s="245">
        <v>44214</v>
      </c>
      <c r="B1137" s="245">
        <v>44216</v>
      </c>
      <c r="C1137" s="273" t="s">
        <v>19</v>
      </c>
      <c r="D1137" s="273">
        <v>24</v>
      </c>
      <c r="E1137" s="273">
        <v>4.9108999999999998</v>
      </c>
      <c r="F1137" s="273">
        <v>8.0130999999999997</v>
      </c>
      <c r="G1137" s="273">
        <f t="shared" si="20"/>
        <v>3.1021999999999998</v>
      </c>
    </row>
    <row r="1138" spans="1:7">
      <c r="A1138" s="245">
        <v>44214</v>
      </c>
      <c r="B1138" s="245">
        <v>44216</v>
      </c>
      <c r="C1138" s="273" t="s">
        <v>19</v>
      </c>
      <c r="D1138" s="273">
        <v>26</v>
      </c>
      <c r="E1138" s="273">
        <v>5.1364000000000001</v>
      </c>
      <c r="F1138" s="273">
        <v>7.4673999999999996</v>
      </c>
      <c r="G1138" s="273">
        <f t="shared" si="20"/>
        <v>2.3309999999999995</v>
      </c>
    </row>
    <row r="1139" spans="1:7">
      <c r="A1139" s="245">
        <v>44214</v>
      </c>
      <c r="B1139" s="245">
        <v>44216</v>
      </c>
      <c r="C1139" s="273" t="s">
        <v>19</v>
      </c>
      <c r="D1139" s="273">
        <v>25</v>
      </c>
      <c r="E1139" s="273">
        <v>4.4927999999999999</v>
      </c>
      <c r="F1139" s="273">
        <v>7.4306000000000001</v>
      </c>
      <c r="G1139" s="273">
        <f t="shared" si="20"/>
        <v>2.9378000000000002</v>
      </c>
    </row>
    <row r="1140" spans="1:7">
      <c r="A1140" s="245">
        <v>44214</v>
      </c>
      <c r="B1140" s="245">
        <v>44216</v>
      </c>
      <c r="C1140" s="273" t="s">
        <v>19</v>
      </c>
      <c r="D1140" s="273">
        <v>22</v>
      </c>
      <c r="E1140" s="273">
        <v>5.2831999999999999</v>
      </c>
      <c r="F1140" s="273">
        <v>11.0466</v>
      </c>
      <c r="G1140" s="273">
        <f t="shared" si="20"/>
        <v>5.7633999999999999</v>
      </c>
    </row>
    <row r="1141" spans="1:7">
      <c r="A1141" s="245">
        <v>44214</v>
      </c>
      <c r="B1141" s="245">
        <v>44216</v>
      </c>
      <c r="C1141" s="273" t="s">
        <v>16</v>
      </c>
      <c r="D1141" s="273">
        <v>68</v>
      </c>
      <c r="E1141" s="273">
        <v>5.2476000000000003</v>
      </c>
      <c r="F1141" s="273">
        <v>5.2493999999999996</v>
      </c>
      <c r="G1141" s="273">
        <f t="shared" si="20"/>
        <v>1.7999999999993577E-3</v>
      </c>
    </row>
    <row r="1142" spans="1:7">
      <c r="A1142" s="245">
        <v>44214</v>
      </c>
      <c r="B1142" s="245">
        <v>44216</v>
      </c>
      <c r="C1142" s="273" t="s">
        <v>16</v>
      </c>
      <c r="D1142" s="273">
        <v>75</v>
      </c>
      <c r="E1142" s="273">
        <v>5.5217999999999998</v>
      </c>
      <c r="F1142" s="273">
        <v>5.5186000000000002</v>
      </c>
      <c r="G1142" s="273">
        <f t="shared" si="20"/>
        <v>-3.1999999999996476E-3</v>
      </c>
    </row>
    <row r="1143" spans="1:7">
      <c r="A1143" s="245">
        <v>44214</v>
      </c>
      <c r="B1143" s="245">
        <v>44216</v>
      </c>
      <c r="C1143" s="273" t="s">
        <v>16</v>
      </c>
      <c r="D1143" s="273">
        <v>71</v>
      </c>
      <c r="E1143" s="273">
        <v>4.3262999999999998</v>
      </c>
      <c r="F1143" s="273">
        <v>9.1636000000000006</v>
      </c>
      <c r="G1143" s="273">
        <f t="shared" si="20"/>
        <v>4.8373000000000008</v>
      </c>
    </row>
    <row r="1144" spans="1:7">
      <c r="A1144" s="245">
        <v>44214</v>
      </c>
      <c r="B1144" s="245">
        <v>44216</v>
      </c>
      <c r="C1144" s="273" t="s">
        <v>16</v>
      </c>
      <c r="D1144" s="273">
        <v>73</v>
      </c>
      <c r="E1144" s="273">
        <v>4.5585000000000004</v>
      </c>
      <c r="F1144" s="273">
        <v>8.6907999999999994</v>
      </c>
      <c r="G1144" s="273">
        <f t="shared" si="20"/>
        <v>4.132299999999999</v>
      </c>
    </row>
    <row r="1145" spans="1:7">
      <c r="A1145" s="245">
        <v>44214</v>
      </c>
      <c r="B1145" s="245">
        <v>44216</v>
      </c>
      <c r="C1145" s="273" t="s">
        <v>16</v>
      </c>
      <c r="D1145" s="273">
        <v>72</v>
      </c>
      <c r="E1145" s="273">
        <v>4.4401000000000002</v>
      </c>
      <c r="F1145" s="273">
        <v>8.2510999999999992</v>
      </c>
      <c r="G1145" s="273">
        <f t="shared" si="20"/>
        <v>3.8109999999999991</v>
      </c>
    </row>
    <row r="1146" spans="1:7">
      <c r="A1146" s="245">
        <v>44214</v>
      </c>
      <c r="B1146" s="245">
        <v>44216</v>
      </c>
      <c r="C1146" s="273" t="s">
        <v>16</v>
      </c>
      <c r="D1146" s="273">
        <v>69</v>
      </c>
      <c r="E1146" s="273">
        <v>4.4650999999999996</v>
      </c>
      <c r="F1146" s="273">
        <v>4.6231</v>
      </c>
      <c r="G1146" s="273">
        <f t="shared" si="20"/>
        <v>0.15800000000000036</v>
      </c>
    </row>
    <row r="1147" spans="1:7">
      <c r="A1147" s="245">
        <v>44214</v>
      </c>
      <c r="B1147" s="245">
        <v>44216</v>
      </c>
      <c r="C1147" s="273" t="s">
        <v>11</v>
      </c>
      <c r="D1147" s="273">
        <v>47</v>
      </c>
      <c r="E1147" s="273">
        <v>5.5419</v>
      </c>
      <c r="F1147" s="273">
        <v>8.5814000000000004</v>
      </c>
      <c r="G1147" s="273">
        <f t="shared" si="20"/>
        <v>3.0395000000000003</v>
      </c>
    </row>
    <row r="1148" spans="1:7">
      <c r="A1148" s="245">
        <v>44214</v>
      </c>
      <c r="B1148" s="245">
        <v>44216</v>
      </c>
      <c r="C1148" s="273" t="s">
        <v>11</v>
      </c>
      <c r="D1148" s="273">
        <v>46</v>
      </c>
      <c r="E1148" s="273">
        <v>4.3273999999999999</v>
      </c>
      <c r="F1148" s="273">
        <v>6.3010999999999999</v>
      </c>
      <c r="G1148" s="273">
        <f t="shared" ref="G1148:G1207" si="21">F1148-E1148</f>
        <v>1.9737</v>
      </c>
    </row>
    <row r="1149" spans="1:7">
      <c r="A1149" s="245">
        <v>44214</v>
      </c>
      <c r="B1149" s="245">
        <v>44216</v>
      </c>
      <c r="C1149" s="273" t="s">
        <v>11</v>
      </c>
      <c r="D1149" s="273">
        <v>44</v>
      </c>
      <c r="E1149" s="273">
        <v>5.1459000000000001</v>
      </c>
      <c r="F1149" s="273">
        <v>5.1338999999999997</v>
      </c>
      <c r="G1149" s="273">
        <f t="shared" si="21"/>
        <v>-1.2000000000000455E-2</v>
      </c>
    </row>
    <row r="1150" spans="1:7">
      <c r="A1150" s="245">
        <v>44214</v>
      </c>
      <c r="B1150" s="245">
        <v>44216</v>
      </c>
      <c r="C1150" s="273" t="s">
        <v>11</v>
      </c>
      <c r="D1150" s="273">
        <v>45</v>
      </c>
      <c r="E1150" s="273">
        <v>4.6760999999999999</v>
      </c>
      <c r="F1150" s="273">
        <v>4.8910999999999998</v>
      </c>
      <c r="G1150" s="273">
        <f t="shared" si="21"/>
        <v>0.21499999999999986</v>
      </c>
    </row>
    <row r="1151" spans="1:7">
      <c r="A1151" s="245">
        <v>44214</v>
      </c>
      <c r="B1151" s="245">
        <v>44216</v>
      </c>
      <c r="C1151" s="273" t="s">
        <v>11</v>
      </c>
      <c r="D1151" s="273">
        <v>54</v>
      </c>
      <c r="E1151" s="273">
        <v>5.0167000000000002</v>
      </c>
      <c r="F1151" s="273">
        <v>5.0164999999999997</v>
      </c>
      <c r="G1151" s="273">
        <f t="shared" si="21"/>
        <v>-2.0000000000042206E-4</v>
      </c>
    </row>
    <row r="1152" spans="1:7">
      <c r="A1152" s="245">
        <v>44214</v>
      </c>
      <c r="B1152" s="245">
        <v>44216</v>
      </c>
      <c r="C1152" s="273" t="s">
        <v>19</v>
      </c>
      <c r="D1152" s="273">
        <v>27</v>
      </c>
      <c r="E1152" s="273">
        <v>5.0229999999999997</v>
      </c>
      <c r="F1152" s="273">
        <v>7.4250999999999996</v>
      </c>
      <c r="G1152" s="273">
        <f t="shared" si="21"/>
        <v>2.4020999999999999</v>
      </c>
    </row>
    <row r="1153" spans="1:7">
      <c r="A1153" s="245">
        <v>44216</v>
      </c>
      <c r="B1153" s="245">
        <v>44218</v>
      </c>
      <c r="C1153" s="273" t="s">
        <v>18</v>
      </c>
      <c r="D1153" s="273"/>
      <c r="E1153" s="273">
        <v>5.5414000000000003</v>
      </c>
      <c r="F1153" s="273">
        <v>9.3699999999999992</v>
      </c>
      <c r="G1153" s="273">
        <f t="shared" si="21"/>
        <v>3.8285999999999989</v>
      </c>
    </row>
    <row r="1154" spans="1:7">
      <c r="A1154" s="245">
        <v>44216</v>
      </c>
      <c r="B1154" s="245">
        <v>44218</v>
      </c>
      <c r="C1154" s="273" t="s">
        <v>24</v>
      </c>
      <c r="D1154" s="273">
        <v>18</v>
      </c>
      <c r="E1154" s="273">
        <v>5.4851000000000001</v>
      </c>
      <c r="F1154" s="273">
        <v>9.1301000000000005</v>
      </c>
      <c r="G1154" s="273">
        <f t="shared" si="21"/>
        <v>3.6450000000000005</v>
      </c>
    </row>
    <row r="1155" spans="1:7">
      <c r="A1155" s="245">
        <v>44216</v>
      </c>
      <c r="B1155" s="245">
        <v>44218</v>
      </c>
      <c r="C1155" s="273" t="s">
        <v>24</v>
      </c>
      <c r="D1155" s="273">
        <v>12</v>
      </c>
      <c r="E1155" s="273">
        <v>5.3505000000000003</v>
      </c>
      <c r="F1155" s="273">
        <v>14.0304</v>
      </c>
      <c r="G1155" s="273">
        <f t="shared" si="21"/>
        <v>8.6798999999999999</v>
      </c>
    </row>
    <row r="1156" spans="1:7">
      <c r="A1156" s="245">
        <v>44216</v>
      </c>
      <c r="B1156" s="245">
        <v>44218</v>
      </c>
      <c r="C1156" s="273" t="s">
        <v>24</v>
      </c>
      <c r="D1156" s="273">
        <v>19</v>
      </c>
      <c r="E1156" s="273">
        <v>5.1134000000000004</v>
      </c>
      <c r="F1156" s="273">
        <v>12.945399999999999</v>
      </c>
      <c r="G1156" s="273">
        <f t="shared" si="21"/>
        <v>7.831999999999999</v>
      </c>
    </row>
    <row r="1157" spans="1:7">
      <c r="A1157" s="245">
        <v>44216</v>
      </c>
      <c r="B1157" s="245">
        <v>44218</v>
      </c>
      <c r="C1157" s="273" t="s">
        <v>16</v>
      </c>
      <c r="D1157" s="273">
        <v>73</v>
      </c>
      <c r="E1157" s="273">
        <v>5.2226999999999997</v>
      </c>
      <c r="F1157" s="273">
        <v>8.9276999999999997</v>
      </c>
      <c r="G1157" s="273">
        <f t="shared" si="21"/>
        <v>3.7050000000000001</v>
      </c>
    </row>
    <row r="1158" spans="1:7">
      <c r="A1158" s="245">
        <v>44216</v>
      </c>
      <c r="B1158" s="245">
        <v>44218</v>
      </c>
      <c r="C1158" s="273" t="s">
        <v>16</v>
      </c>
      <c r="D1158" s="273">
        <v>70</v>
      </c>
      <c r="E1158" s="273">
        <v>4.9912999999999998</v>
      </c>
      <c r="F1158" s="273">
        <v>11.332800000000001</v>
      </c>
      <c r="G1158" s="273">
        <f t="shared" si="21"/>
        <v>6.3415000000000008</v>
      </c>
    </row>
    <row r="1159" spans="1:7">
      <c r="A1159" s="245">
        <v>44216</v>
      </c>
      <c r="B1159" s="245">
        <v>44218</v>
      </c>
      <c r="C1159" s="273" t="s">
        <v>16</v>
      </c>
      <c r="D1159" s="273">
        <v>71</v>
      </c>
      <c r="E1159" s="273">
        <v>5.1798000000000002</v>
      </c>
      <c r="F1159" s="273">
        <v>9.2003000000000004</v>
      </c>
      <c r="G1159" s="273">
        <f t="shared" si="21"/>
        <v>4.0205000000000002</v>
      </c>
    </row>
    <row r="1160" spans="1:7">
      <c r="A1160" s="245">
        <v>44216</v>
      </c>
      <c r="B1160" s="245">
        <v>44218</v>
      </c>
      <c r="C1160" s="273" t="s">
        <v>16</v>
      </c>
      <c r="D1160" s="273">
        <v>72</v>
      </c>
      <c r="E1160" s="273">
        <v>6.2245999999999997</v>
      </c>
      <c r="F1160" s="273">
        <v>10.972899999999999</v>
      </c>
      <c r="G1160" s="273">
        <f t="shared" si="21"/>
        <v>4.7482999999999995</v>
      </c>
    </row>
    <row r="1161" spans="1:7">
      <c r="A1161" s="245">
        <v>44216</v>
      </c>
      <c r="B1161" s="245">
        <v>44218</v>
      </c>
      <c r="C1161" s="273" t="s">
        <v>19</v>
      </c>
      <c r="D1161" s="273">
        <v>22</v>
      </c>
      <c r="E1161" s="273">
        <v>6.4</v>
      </c>
      <c r="F1161" s="273">
        <v>11.9437</v>
      </c>
      <c r="G1161" s="273">
        <f t="shared" si="21"/>
        <v>5.5436999999999994</v>
      </c>
    </row>
    <row r="1162" spans="1:7">
      <c r="A1162" s="245">
        <v>44216</v>
      </c>
      <c r="B1162" s="245">
        <v>44218</v>
      </c>
      <c r="C1162" s="273" t="s">
        <v>19</v>
      </c>
      <c r="D1162" s="273">
        <v>25</v>
      </c>
      <c r="E1162" s="273">
        <v>5.9882</v>
      </c>
      <c r="F1162" s="273">
        <v>9.9282000000000004</v>
      </c>
      <c r="G1162" s="273">
        <f t="shared" si="21"/>
        <v>3.9400000000000004</v>
      </c>
    </row>
    <row r="1163" spans="1:7">
      <c r="A1163" s="245">
        <v>44216</v>
      </c>
      <c r="B1163" s="245">
        <v>44218</v>
      </c>
      <c r="C1163" s="273" t="s">
        <v>19</v>
      </c>
      <c r="D1163" s="273">
        <v>24</v>
      </c>
      <c r="E1163" s="273">
        <v>4.5316000000000001</v>
      </c>
      <c r="F1163" s="273">
        <v>6.5179</v>
      </c>
      <c r="G1163" s="273">
        <f t="shared" si="21"/>
        <v>1.9863</v>
      </c>
    </row>
    <row r="1164" spans="1:7">
      <c r="A1164" s="245">
        <v>44216</v>
      </c>
      <c r="B1164" s="245">
        <v>44218</v>
      </c>
      <c r="C1164" s="273" t="s">
        <v>19</v>
      </c>
      <c r="D1164" s="273">
        <v>27</v>
      </c>
      <c r="E1164" s="273">
        <v>5.3475999999999999</v>
      </c>
      <c r="F1164" s="273">
        <v>8.2871000000000006</v>
      </c>
      <c r="G1164" s="273">
        <f t="shared" si="21"/>
        <v>2.9395000000000007</v>
      </c>
    </row>
    <row r="1165" spans="1:7">
      <c r="A1165" s="245">
        <v>44216</v>
      </c>
      <c r="B1165" s="245">
        <v>44218</v>
      </c>
      <c r="C1165" s="273" t="s">
        <v>19</v>
      </c>
      <c r="D1165" s="273">
        <v>21</v>
      </c>
      <c r="E1165" s="273">
        <v>4.4076000000000004</v>
      </c>
      <c r="F1165" s="273">
        <v>5.9211999999999998</v>
      </c>
      <c r="G1165" s="273">
        <f t="shared" si="21"/>
        <v>1.5135999999999994</v>
      </c>
    </row>
    <row r="1166" spans="1:7">
      <c r="A1166" s="245">
        <v>44216</v>
      </c>
      <c r="B1166" s="245">
        <v>44218</v>
      </c>
      <c r="C1166" s="273" t="s">
        <v>19</v>
      </c>
      <c r="D1166" s="273">
        <v>26</v>
      </c>
      <c r="E1166" s="273">
        <v>5.1425999999999998</v>
      </c>
      <c r="F1166" s="273">
        <v>7.6352000000000002</v>
      </c>
      <c r="G1166" s="273">
        <f t="shared" si="21"/>
        <v>2.4926000000000004</v>
      </c>
    </row>
    <row r="1167" spans="1:7">
      <c r="A1167" s="245">
        <v>44216</v>
      </c>
      <c r="B1167" s="245">
        <v>44218</v>
      </c>
      <c r="C1167" s="273" t="s">
        <v>11</v>
      </c>
      <c r="D1167" s="273">
        <v>50</v>
      </c>
      <c r="E1167" s="273">
        <v>4.7888000000000002</v>
      </c>
      <c r="F1167" s="273">
        <v>6.1702000000000004</v>
      </c>
      <c r="G1167" s="273">
        <f t="shared" si="21"/>
        <v>1.3814000000000002</v>
      </c>
    </row>
    <row r="1168" spans="1:7">
      <c r="A1168" s="245">
        <v>44216</v>
      </c>
      <c r="B1168" s="245">
        <v>44218</v>
      </c>
      <c r="C1168" s="273" t="s">
        <v>11</v>
      </c>
      <c r="D1168" s="273">
        <v>48</v>
      </c>
      <c r="E1168" s="273">
        <v>4.4493</v>
      </c>
      <c r="F1168" s="273">
        <v>5.6223000000000001</v>
      </c>
      <c r="G1168" s="273">
        <f t="shared" si="21"/>
        <v>1.173</v>
      </c>
    </row>
    <row r="1169" spans="1:9">
      <c r="A1169" s="245">
        <v>44216</v>
      </c>
      <c r="B1169" s="245">
        <v>44218</v>
      </c>
      <c r="C1169" s="273" t="s">
        <v>11</v>
      </c>
      <c r="D1169" s="273">
        <v>51</v>
      </c>
      <c r="E1169" s="273">
        <v>4.8109000000000002</v>
      </c>
      <c r="F1169" s="273">
        <v>7.7655000000000003</v>
      </c>
      <c r="G1169" s="273">
        <f t="shared" si="21"/>
        <v>2.9546000000000001</v>
      </c>
      <c r="H1169" s="273"/>
      <c r="I1169" s="273"/>
    </row>
    <row r="1170" spans="1:9">
      <c r="A1170" s="245">
        <v>44216</v>
      </c>
      <c r="B1170" s="245">
        <v>44218</v>
      </c>
      <c r="C1170" s="273" t="s">
        <v>11</v>
      </c>
      <c r="D1170" s="273">
        <v>47</v>
      </c>
      <c r="E1170" s="273">
        <v>5.3036000000000003</v>
      </c>
      <c r="F1170" s="273">
        <v>7.5579999999999998</v>
      </c>
      <c r="G1170" s="273">
        <f t="shared" si="21"/>
        <v>2.2543999999999995</v>
      </c>
      <c r="H1170" s="273"/>
      <c r="I1170" s="273"/>
    </row>
    <row r="1171" spans="1:9">
      <c r="A1171" s="245">
        <v>44216</v>
      </c>
      <c r="B1171" s="245">
        <v>44218</v>
      </c>
      <c r="C1171" s="273" t="s">
        <v>11</v>
      </c>
      <c r="D1171" s="273">
        <v>46</v>
      </c>
      <c r="E1171" s="273">
        <v>7.0928000000000004</v>
      </c>
      <c r="F1171" s="273">
        <v>9.3375000000000004</v>
      </c>
      <c r="G1171" s="273">
        <f t="shared" si="21"/>
        <v>2.2446999999999999</v>
      </c>
      <c r="H1171" s="273"/>
      <c r="I1171" s="273"/>
    </row>
    <row r="1172" spans="1:9">
      <c r="A1172" s="245">
        <v>44216</v>
      </c>
      <c r="B1172" s="245">
        <v>44218</v>
      </c>
      <c r="C1172" s="273" t="s">
        <v>11</v>
      </c>
      <c r="D1172" s="273">
        <v>57</v>
      </c>
      <c r="E1172" s="273">
        <v>4.7747000000000002</v>
      </c>
      <c r="F1172" s="273">
        <v>7.0510999999999999</v>
      </c>
      <c r="G1172" s="273">
        <f t="shared" si="21"/>
        <v>2.2763999999999998</v>
      </c>
      <c r="H1172" s="273"/>
      <c r="I1172" s="273"/>
    </row>
    <row r="1173" spans="1:9">
      <c r="A1173" s="245">
        <v>44216</v>
      </c>
      <c r="B1173" s="245">
        <v>44218</v>
      </c>
      <c r="C1173" s="273" t="s">
        <v>11</v>
      </c>
      <c r="D1173" s="273">
        <v>52</v>
      </c>
      <c r="E1173" s="273">
        <v>4.8068999999999997</v>
      </c>
      <c r="F1173" s="273">
        <v>7.4340000000000002</v>
      </c>
      <c r="G1173" s="273">
        <f t="shared" si="21"/>
        <v>2.6271000000000004</v>
      </c>
      <c r="H1173" s="273"/>
      <c r="I1173" s="273"/>
    </row>
    <row r="1174" spans="1:9">
      <c r="A1174" s="245">
        <v>44216</v>
      </c>
      <c r="B1174" s="245">
        <v>44218</v>
      </c>
      <c r="C1174" s="273" t="s">
        <v>11</v>
      </c>
      <c r="D1174" s="273">
        <v>55</v>
      </c>
      <c r="E1174" s="273">
        <v>5.31</v>
      </c>
      <c r="F1174" s="273">
        <v>8.8274000000000008</v>
      </c>
      <c r="G1174" s="273">
        <f t="shared" si="21"/>
        <v>3.5174000000000012</v>
      </c>
      <c r="H1174" s="273"/>
      <c r="I1174" s="273"/>
    </row>
    <row r="1175" spans="1:9">
      <c r="A1175" s="245">
        <v>44216</v>
      </c>
      <c r="B1175" s="245">
        <v>44218</v>
      </c>
      <c r="C1175" s="273" t="s">
        <v>11</v>
      </c>
      <c r="D1175" s="273">
        <v>49</v>
      </c>
      <c r="E1175" s="273">
        <v>3.9550000000000001</v>
      </c>
      <c r="F1175" s="273">
        <v>4.72</v>
      </c>
      <c r="G1175" s="273">
        <f t="shared" si="21"/>
        <v>0.76499999999999968</v>
      </c>
      <c r="H1175" s="273"/>
      <c r="I1175" s="273"/>
    </row>
    <row r="1176" spans="1:9">
      <c r="A1176" s="245">
        <v>44218</v>
      </c>
      <c r="B1176" s="245">
        <v>44221</v>
      </c>
      <c r="C1176" s="273" t="s">
        <v>18</v>
      </c>
      <c r="D1176" s="273"/>
      <c r="E1176" s="273">
        <v>4.0495999999999999</v>
      </c>
      <c r="F1176" s="273">
        <v>8.9672000000000001</v>
      </c>
      <c r="G1176" s="273">
        <f t="shared" si="21"/>
        <v>4.9176000000000002</v>
      </c>
      <c r="H1176" s="273"/>
      <c r="I1176" s="273">
        <f>SUM(G1176,G1179:G1207)</f>
        <v>111.98139999999999</v>
      </c>
    </row>
    <row r="1177" spans="1:9">
      <c r="A1177" s="245">
        <v>44218</v>
      </c>
      <c r="B1177" s="245">
        <v>44221</v>
      </c>
      <c r="C1177" s="273" t="s">
        <v>8</v>
      </c>
      <c r="D1177" s="273">
        <v>36</v>
      </c>
      <c r="E1177" s="273">
        <v>5.5903</v>
      </c>
      <c r="F1177" s="273">
        <v>8.2978000000000005</v>
      </c>
      <c r="G1177" s="273">
        <f t="shared" si="21"/>
        <v>2.7075000000000005</v>
      </c>
      <c r="H1177" s="273"/>
      <c r="I1177" s="273"/>
    </row>
    <row r="1178" spans="1:9">
      <c r="A1178" s="245">
        <v>44218</v>
      </c>
      <c r="B1178" s="245">
        <v>44221</v>
      </c>
      <c r="C1178" s="273" t="s">
        <v>8</v>
      </c>
      <c r="D1178" s="273">
        <v>34</v>
      </c>
      <c r="E1178" s="273">
        <v>6.0030000000000001</v>
      </c>
      <c r="F1178" s="273">
        <v>7.4785000000000004</v>
      </c>
      <c r="G1178" s="273">
        <f t="shared" si="21"/>
        <v>1.4755000000000003</v>
      </c>
      <c r="H1178" s="273"/>
      <c r="I1178" s="273"/>
    </row>
    <row r="1179" spans="1:9">
      <c r="A1179" s="245">
        <v>44218</v>
      </c>
      <c r="B1179" s="245">
        <v>44221</v>
      </c>
      <c r="C1179" s="273" t="s">
        <v>19</v>
      </c>
      <c r="D1179" s="273">
        <v>27</v>
      </c>
      <c r="E1179" s="273">
        <v>5.0012999999999996</v>
      </c>
      <c r="F1179" s="273">
        <v>10.600899999999999</v>
      </c>
      <c r="G1179" s="273">
        <f t="shared" si="21"/>
        <v>5.5995999999999997</v>
      </c>
      <c r="H1179" s="273"/>
      <c r="I1179" s="273"/>
    </row>
    <row r="1180" spans="1:9">
      <c r="A1180" s="245">
        <v>44218</v>
      </c>
      <c r="B1180" s="245">
        <v>44221</v>
      </c>
      <c r="C1180" s="273" t="s">
        <v>19</v>
      </c>
      <c r="D1180" s="273">
        <v>22</v>
      </c>
      <c r="E1180" s="273">
        <v>5.8212000000000002</v>
      </c>
      <c r="F1180" s="273">
        <v>9.6784999999999997</v>
      </c>
      <c r="G1180" s="273">
        <f t="shared" si="21"/>
        <v>3.8572999999999995</v>
      </c>
      <c r="H1180" s="273"/>
      <c r="I1180" s="273"/>
    </row>
    <row r="1181" spans="1:9">
      <c r="A1181" s="245">
        <v>44218</v>
      </c>
      <c r="B1181" s="245">
        <v>44221</v>
      </c>
      <c r="C1181" s="273" t="s">
        <v>19</v>
      </c>
      <c r="D1181" s="273">
        <v>25</v>
      </c>
      <c r="E1181" s="273">
        <v>5.7923</v>
      </c>
      <c r="F1181" s="273">
        <v>10.544</v>
      </c>
      <c r="G1181" s="273">
        <f t="shared" si="21"/>
        <v>4.7517000000000005</v>
      </c>
      <c r="H1181" s="273"/>
      <c r="I1181" s="273"/>
    </row>
    <row r="1182" spans="1:9">
      <c r="A1182" s="245">
        <v>44218</v>
      </c>
      <c r="B1182" s="245">
        <v>44221</v>
      </c>
      <c r="C1182" s="273" t="s">
        <v>19</v>
      </c>
      <c r="D1182" s="273">
        <v>24</v>
      </c>
      <c r="E1182" s="273">
        <v>5.2283999999999997</v>
      </c>
      <c r="F1182" s="273">
        <v>11.1652</v>
      </c>
      <c r="G1182" s="273">
        <f t="shared" si="21"/>
        <v>5.9368000000000007</v>
      </c>
      <c r="H1182" s="273"/>
      <c r="I1182" s="273"/>
    </row>
    <row r="1183" spans="1:9">
      <c r="A1183" s="245">
        <v>44218</v>
      </c>
      <c r="B1183" s="245">
        <v>44221</v>
      </c>
      <c r="C1183" s="273" t="s">
        <v>19</v>
      </c>
      <c r="D1183" s="273">
        <v>26</v>
      </c>
      <c r="E1183" s="273">
        <v>5.5636000000000001</v>
      </c>
      <c r="F1183" s="273">
        <v>9.6216000000000008</v>
      </c>
      <c r="G1183" s="273">
        <f t="shared" si="21"/>
        <v>4.0580000000000007</v>
      </c>
      <c r="H1183" s="273"/>
      <c r="I1183" s="273"/>
    </row>
    <row r="1184" spans="1:9">
      <c r="A1184" s="245">
        <v>44218</v>
      </c>
      <c r="B1184" s="245">
        <v>44221</v>
      </c>
      <c r="C1184" s="273" t="s">
        <v>19</v>
      </c>
      <c r="D1184" s="273">
        <v>28</v>
      </c>
      <c r="E1184" s="273">
        <v>4.4143999999999997</v>
      </c>
      <c r="F1184" s="273">
        <v>6.9882</v>
      </c>
      <c r="G1184" s="273">
        <f t="shared" si="21"/>
        <v>2.5738000000000003</v>
      </c>
      <c r="H1184" s="273"/>
      <c r="I1184" s="273"/>
    </row>
    <row r="1185" spans="1:7">
      <c r="A1185" s="245">
        <v>44218</v>
      </c>
      <c r="B1185" s="245">
        <v>44221</v>
      </c>
      <c r="C1185" s="273" t="s">
        <v>19</v>
      </c>
      <c r="D1185" s="273">
        <v>24</v>
      </c>
      <c r="E1185" s="273">
        <v>6.8194999999999997</v>
      </c>
      <c r="F1185" s="273">
        <v>10.311</v>
      </c>
      <c r="G1185" s="273">
        <f t="shared" si="21"/>
        <v>3.4915000000000003</v>
      </c>
    </row>
    <row r="1186" spans="1:7">
      <c r="A1186" s="245">
        <v>44218</v>
      </c>
      <c r="B1186" s="245">
        <v>44221</v>
      </c>
      <c r="C1186" s="273" t="s">
        <v>11</v>
      </c>
      <c r="D1186" s="273">
        <v>57</v>
      </c>
      <c r="E1186" s="273">
        <v>3.9089</v>
      </c>
      <c r="F1186" s="273">
        <v>11.259600000000001</v>
      </c>
      <c r="G1186" s="273">
        <f t="shared" si="21"/>
        <v>7.3507000000000007</v>
      </c>
    </row>
    <row r="1187" spans="1:7">
      <c r="A1187" s="245">
        <v>44218</v>
      </c>
      <c r="B1187" s="245">
        <v>44221</v>
      </c>
      <c r="C1187" s="273" t="s">
        <v>11</v>
      </c>
      <c r="D1187" s="273">
        <v>49</v>
      </c>
      <c r="E1187" s="273">
        <v>5.5945999999999998</v>
      </c>
      <c r="F1187" s="273">
        <v>8.7628000000000004</v>
      </c>
      <c r="G1187" s="273">
        <f t="shared" si="21"/>
        <v>3.1682000000000006</v>
      </c>
    </row>
    <row r="1188" spans="1:7">
      <c r="A1188" s="245">
        <v>44218</v>
      </c>
      <c r="B1188" s="245">
        <v>44221</v>
      </c>
      <c r="C1188" s="273" t="s">
        <v>11</v>
      </c>
      <c r="D1188" s="273">
        <v>52</v>
      </c>
      <c r="E1188" s="273">
        <v>6.0614999999999997</v>
      </c>
      <c r="F1188" s="273">
        <v>11.1591</v>
      </c>
      <c r="G1188" s="273">
        <f t="shared" si="21"/>
        <v>5.0976000000000008</v>
      </c>
    </row>
    <row r="1189" spans="1:7">
      <c r="A1189" s="245">
        <v>44218</v>
      </c>
      <c r="B1189" s="245">
        <v>44221</v>
      </c>
      <c r="C1189" s="273" t="s">
        <v>11</v>
      </c>
      <c r="D1189" s="273">
        <v>55</v>
      </c>
      <c r="E1189" s="273">
        <v>4.3227000000000002</v>
      </c>
      <c r="F1189" s="273">
        <v>11.2524</v>
      </c>
      <c r="G1189" s="273">
        <f t="shared" si="21"/>
        <v>6.9296999999999995</v>
      </c>
    </row>
    <row r="1190" spans="1:7">
      <c r="A1190" s="245">
        <v>44218</v>
      </c>
      <c r="B1190" s="245">
        <v>44221</v>
      </c>
      <c r="C1190" s="273" t="s">
        <v>11</v>
      </c>
      <c r="D1190" s="273">
        <v>50</v>
      </c>
      <c r="E1190" s="273">
        <v>4.0384000000000002</v>
      </c>
      <c r="F1190" s="273">
        <v>5.0689000000000002</v>
      </c>
      <c r="G1190" s="273">
        <f t="shared" si="21"/>
        <v>1.0305</v>
      </c>
    </row>
    <row r="1191" spans="1:7">
      <c r="A1191" s="245">
        <v>44218</v>
      </c>
      <c r="B1191" s="245">
        <v>44221</v>
      </c>
      <c r="C1191" s="273" t="s">
        <v>11</v>
      </c>
      <c r="D1191" s="273">
        <v>47</v>
      </c>
      <c r="E1191" s="273">
        <v>5.2458999999999998</v>
      </c>
      <c r="F1191" s="273">
        <v>7.5876999999999999</v>
      </c>
      <c r="G1191" s="273">
        <f t="shared" si="21"/>
        <v>2.3418000000000001</v>
      </c>
    </row>
    <row r="1192" spans="1:7">
      <c r="A1192" s="245">
        <v>44218</v>
      </c>
      <c r="B1192" s="245">
        <v>44221</v>
      </c>
      <c r="C1192" s="273" t="s">
        <v>11</v>
      </c>
      <c r="D1192" s="273">
        <v>48</v>
      </c>
      <c r="E1192" s="273">
        <v>3.4096000000000002</v>
      </c>
      <c r="F1192" s="273">
        <v>4.306</v>
      </c>
      <c r="G1192" s="273">
        <f t="shared" si="21"/>
        <v>0.89639999999999986</v>
      </c>
    </row>
    <row r="1193" spans="1:7">
      <c r="A1193" s="245">
        <v>44218</v>
      </c>
      <c r="B1193" s="245">
        <v>44221</v>
      </c>
      <c r="C1193" s="273" t="s">
        <v>11</v>
      </c>
      <c r="D1193" s="273">
        <v>53</v>
      </c>
      <c r="E1193" s="273">
        <v>4.5293999999999999</v>
      </c>
      <c r="F1193" s="273">
        <v>10.235799999999999</v>
      </c>
      <c r="G1193" s="273">
        <f t="shared" si="21"/>
        <v>5.7063999999999995</v>
      </c>
    </row>
    <row r="1194" spans="1:7">
      <c r="A1194" s="245">
        <v>44218</v>
      </c>
      <c r="B1194" s="245">
        <v>44221</v>
      </c>
      <c r="C1194" s="273" t="s">
        <v>11</v>
      </c>
      <c r="D1194" s="273">
        <v>51</v>
      </c>
      <c r="E1194" s="273">
        <v>4.7079000000000004</v>
      </c>
      <c r="F1194" s="273">
        <v>9.2163000000000004</v>
      </c>
      <c r="G1194" s="273">
        <f t="shared" si="21"/>
        <v>4.5084</v>
      </c>
    </row>
    <row r="1195" spans="1:7">
      <c r="A1195" s="245">
        <v>44218</v>
      </c>
      <c r="B1195" s="245">
        <v>44221</v>
      </c>
      <c r="C1195" s="273" t="s">
        <v>11</v>
      </c>
      <c r="D1195" s="273">
        <v>46</v>
      </c>
      <c r="E1195" s="273">
        <v>6.4809000000000001</v>
      </c>
      <c r="F1195" s="273">
        <v>9.6745999999999999</v>
      </c>
      <c r="G1195" s="273">
        <f t="shared" si="21"/>
        <v>3.1936999999999998</v>
      </c>
    </row>
    <row r="1196" spans="1:7">
      <c r="A1196" s="245">
        <v>44218</v>
      </c>
      <c r="B1196" s="245">
        <v>44221</v>
      </c>
      <c r="C1196" s="273" t="s">
        <v>11</v>
      </c>
      <c r="D1196" s="273">
        <v>54</v>
      </c>
      <c r="E1196" s="273">
        <v>5.0769000000000002</v>
      </c>
      <c r="F1196" s="273">
        <v>7.7705000000000002</v>
      </c>
      <c r="G1196" s="273">
        <f t="shared" si="21"/>
        <v>2.6936</v>
      </c>
    </row>
    <row r="1197" spans="1:7">
      <c r="A1197" s="245">
        <v>44218</v>
      </c>
      <c r="B1197" s="245">
        <v>44221</v>
      </c>
      <c r="C1197" s="273" t="s">
        <v>11</v>
      </c>
      <c r="D1197" s="273">
        <v>45</v>
      </c>
      <c r="E1197" s="273">
        <v>4.8354999999999997</v>
      </c>
      <c r="F1197" s="273">
        <v>5.0266000000000002</v>
      </c>
      <c r="G1197" s="273">
        <f t="shared" si="21"/>
        <v>0.19110000000000049</v>
      </c>
    </row>
    <row r="1198" spans="1:7">
      <c r="A1198" s="245">
        <v>44218</v>
      </c>
      <c r="B1198" s="245">
        <v>44221</v>
      </c>
      <c r="C1198" s="273" t="s">
        <v>16</v>
      </c>
      <c r="D1198" s="273">
        <v>73</v>
      </c>
      <c r="E1198" s="273">
        <v>4.3483000000000001</v>
      </c>
      <c r="F1198" s="273">
        <v>6.4626000000000001</v>
      </c>
      <c r="G1198" s="273">
        <f t="shared" si="21"/>
        <v>2.1143000000000001</v>
      </c>
    </row>
    <row r="1199" spans="1:7">
      <c r="A1199" s="245">
        <v>44218</v>
      </c>
      <c r="B1199" s="245">
        <v>44221</v>
      </c>
      <c r="C1199" s="273" t="s">
        <v>16</v>
      </c>
      <c r="D1199" s="273">
        <v>72</v>
      </c>
      <c r="E1199" s="273">
        <v>4.7854999999999999</v>
      </c>
      <c r="F1199" s="273">
        <v>7.0670999999999999</v>
      </c>
      <c r="G1199" s="273">
        <f t="shared" si="21"/>
        <v>2.2816000000000001</v>
      </c>
    </row>
    <row r="1200" spans="1:7">
      <c r="A1200" s="245">
        <v>44218</v>
      </c>
      <c r="B1200" s="245">
        <v>44221</v>
      </c>
      <c r="C1200" s="273" t="s">
        <v>16</v>
      </c>
      <c r="D1200" s="273">
        <v>71</v>
      </c>
      <c r="E1200" s="273">
        <v>4.5336999999999996</v>
      </c>
      <c r="F1200" s="273">
        <v>6.2516999999999996</v>
      </c>
      <c r="G1200" s="273">
        <f t="shared" si="21"/>
        <v>1.718</v>
      </c>
    </row>
    <row r="1201" spans="1:9">
      <c r="A1201" s="245">
        <v>44218</v>
      </c>
      <c r="B1201" s="245">
        <v>44221</v>
      </c>
      <c r="C1201" s="273" t="s">
        <v>16</v>
      </c>
      <c r="D1201" s="273">
        <v>71</v>
      </c>
      <c r="E1201" s="273">
        <v>6.0864000000000003</v>
      </c>
      <c r="F1201" s="273">
        <v>12.345800000000001</v>
      </c>
      <c r="G1201" s="273">
        <f t="shared" si="21"/>
        <v>6.2594000000000003</v>
      </c>
      <c r="H1201" s="273"/>
      <c r="I1201" s="273"/>
    </row>
    <row r="1202" spans="1:9">
      <c r="A1202" s="245">
        <v>44218</v>
      </c>
      <c r="B1202" s="245">
        <v>44221</v>
      </c>
      <c r="C1202" s="273" t="s">
        <v>16</v>
      </c>
      <c r="D1202" s="273">
        <v>74</v>
      </c>
      <c r="E1202" s="273">
        <v>4.8620999999999999</v>
      </c>
      <c r="F1202" s="273">
        <v>7.2302</v>
      </c>
      <c r="G1202" s="273">
        <f t="shared" si="21"/>
        <v>2.3681000000000001</v>
      </c>
      <c r="H1202" s="273"/>
      <c r="I1202" s="273"/>
    </row>
    <row r="1203" spans="1:9">
      <c r="A1203" s="245">
        <v>44218</v>
      </c>
      <c r="B1203" s="245">
        <v>44221</v>
      </c>
      <c r="C1203" s="273" t="s">
        <v>16</v>
      </c>
      <c r="D1203" s="273">
        <v>75</v>
      </c>
      <c r="E1203" s="273">
        <v>4.5842999999999998</v>
      </c>
      <c r="F1203" s="273">
        <v>6.4180000000000001</v>
      </c>
      <c r="G1203" s="273">
        <f t="shared" si="21"/>
        <v>1.8337000000000003</v>
      </c>
      <c r="H1203" s="273"/>
      <c r="I1203" s="273"/>
    </row>
    <row r="1204" spans="1:9">
      <c r="A1204" s="245">
        <v>44218</v>
      </c>
      <c r="B1204" s="245">
        <v>44221</v>
      </c>
      <c r="C1204" s="273" t="s">
        <v>24</v>
      </c>
      <c r="D1204" s="273">
        <v>22</v>
      </c>
      <c r="E1204" s="273">
        <v>5.7393999999999998</v>
      </c>
      <c r="F1204" s="273">
        <v>9.4105000000000008</v>
      </c>
      <c r="G1204" s="273">
        <f t="shared" si="21"/>
        <v>3.6711000000000009</v>
      </c>
      <c r="H1204" s="273"/>
      <c r="I1204" s="273"/>
    </row>
    <row r="1205" spans="1:9">
      <c r="A1205" s="245">
        <v>44218</v>
      </c>
      <c r="B1205" s="245">
        <v>44221</v>
      </c>
      <c r="C1205" s="273" t="s">
        <v>24</v>
      </c>
      <c r="D1205" s="273">
        <v>19</v>
      </c>
      <c r="E1205" s="273">
        <v>5.6772</v>
      </c>
      <c r="F1205" s="273">
        <v>11.4916</v>
      </c>
      <c r="G1205" s="273">
        <f t="shared" si="21"/>
        <v>5.8144</v>
      </c>
      <c r="H1205" s="273"/>
      <c r="I1205" s="273"/>
    </row>
    <row r="1206" spans="1:9">
      <c r="A1206" s="245">
        <v>44218</v>
      </c>
      <c r="B1206" s="245">
        <v>44221</v>
      </c>
      <c r="C1206" s="273" t="s">
        <v>24</v>
      </c>
      <c r="D1206" s="273">
        <v>17</v>
      </c>
      <c r="E1206" s="273">
        <v>4.7694999999999999</v>
      </c>
      <c r="F1206" s="273">
        <v>8.3036999999999992</v>
      </c>
      <c r="G1206" s="273">
        <f t="shared" si="21"/>
        <v>3.5341999999999993</v>
      </c>
      <c r="H1206" s="273"/>
      <c r="I1206" s="273"/>
    </row>
    <row r="1207" spans="1:9">
      <c r="A1207" s="245">
        <v>44218</v>
      </c>
      <c r="B1207" s="245">
        <v>44221</v>
      </c>
      <c r="C1207" s="273" t="s">
        <v>24</v>
      </c>
      <c r="D1207" s="273">
        <v>18</v>
      </c>
      <c r="E1207" s="273">
        <v>6.2035999999999998</v>
      </c>
      <c r="F1207" s="273">
        <v>10.2958</v>
      </c>
      <c r="G1207" s="273">
        <f t="shared" si="21"/>
        <v>4.0922000000000001</v>
      </c>
      <c r="H1207" s="273"/>
      <c r="I1207" s="273"/>
    </row>
    <row r="1208" spans="1:9">
      <c r="A1208" s="245">
        <v>44221</v>
      </c>
      <c r="B1208" s="245">
        <v>44223</v>
      </c>
      <c r="C1208" s="273" t="s">
        <v>18</v>
      </c>
      <c r="D1208" s="273"/>
      <c r="E1208" s="273">
        <v>4.8502999999999998</v>
      </c>
      <c r="F1208" s="273">
        <v>6.7195999999999998</v>
      </c>
      <c r="G1208" s="273">
        <f>F1208-E1208</f>
        <v>1.8693</v>
      </c>
      <c r="H1208" s="273"/>
      <c r="I1208" s="273">
        <f>SUM(G1208,G1213,G1215:G1224,G1226,G1228,G1231:G1232)</f>
        <v>35.9114</v>
      </c>
    </row>
    <row r="1209" spans="1:9">
      <c r="A1209" s="245">
        <v>44221</v>
      </c>
      <c r="B1209" s="245">
        <v>44223</v>
      </c>
      <c r="C1209" s="273" t="s">
        <v>8</v>
      </c>
      <c r="D1209" s="273">
        <v>36</v>
      </c>
      <c r="E1209" s="273">
        <v>6.9770000000000003</v>
      </c>
      <c r="F1209" s="273">
        <v>8.5777000000000001</v>
      </c>
      <c r="G1209" s="273">
        <f>F1209-E1209</f>
        <v>1.6006999999999998</v>
      </c>
      <c r="H1209" s="270"/>
      <c r="I1209" s="273"/>
    </row>
    <row r="1210" spans="1:9">
      <c r="A1210" s="245">
        <v>44221</v>
      </c>
      <c r="B1210" s="245">
        <v>44223</v>
      </c>
      <c r="C1210" s="273" t="s">
        <v>8</v>
      </c>
      <c r="D1210" s="273">
        <v>34</v>
      </c>
      <c r="E1210" s="273">
        <v>5.1100000000000003</v>
      </c>
      <c r="F1210" s="273">
        <v>6.6501999999999999</v>
      </c>
      <c r="G1210" s="273">
        <f>F1210-E1210</f>
        <v>1.5401999999999996</v>
      </c>
      <c r="H1210" s="270"/>
      <c r="I1210" s="273"/>
    </row>
    <row r="1211" spans="1:9">
      <c r="A1211" s="245">
        <v>44221</v>
      </c>
      <c r="B1211" s="245">
        <v>44223</v>
      </c>
      <c r="C1211" s="273" t="s">
        <v>19</v>
      </c>
      <c r="D1211" s="273">
        <v>22</v>
      </c>
      <c r="E1211" s="273">
        <v>4.4591000000000003</v>
      </c>
      <c r="F1211" s="273">
        <v>6.0049000000000001</v>
      </c>
      <c r="G1211" s="273">
        <f>F1211-E1211</f>
        <v>1.5457999999999998</v>
      </c>
      <c r="H1211" s="270">
        <f>SUM(G1211,G1212,G1214)</f>
        <v>5.139899999999999</v>
      </c>
      <c r="I1211" s="273"/>
    </row>
    <row r="1212" spans="1:9">
      <c r="A1212" s="245">
        <v>44221</v>
      </c>
      <c r="B1212" s="245">
        <v>44223</v>
      </c>
      <c r="C1212" s="273" t="s">
        <v>19</v>
      </c>
      <c r="D1212" s="273">
        <v>26</v>
      </c>
      <c r="E1212" s="273">
        <v>3.4539</v>
      </c>
      <c r="F1212" s="273">
        <v>4.0476999999999999</v>
      </c>
      <c r="G1212" s="273">
        <f>F1212-E1212</f>
        <v>0.59379999999999988</v>
      </c>
      <c r="H1212" s="270"/>
      <c r="I1212" s="273"/>
    </row>
    <row r="1213" spans="1:9">
      <c r="A1213" s="245">
        <v>44221</v>
      </c>
      <c r="B1213" s="245">
        <v>44223</v>
      </c>
      <c r="C1213" s="273" t="s">
        <v>19</v>
      </c>
      <c r="D1213" s="273">
        <v>24</v>
      </c>
      <c r="E1213" s="273">
        <v>4.7340999999999998</v>
      </c>
      <c r="F1213" s="273">
        <v>7.9824000000000002</v>
      </c>
      <c r="G1213" s="273">
        <f>F1213-E1213</f>
        <v>3.2483000000000004</v>
      </c>
      <c r="H1213" s="273"/>
      <c r="I1213" s="273"/>
    </row>
    <row r="1214" spans="1:9">
      <c r="A1214" s="245">
        <v>44221</v>
      </c>
      <c r="B1214" s="245">
        <v>44223</v>
      </c>
      <c r="C1214" s="273" t="s">
        <v>19</v>
      </c>
      <c r="D1214" s="273">
        <v>29</v>
      </c>
      <c r="E1214" s="273">
        <v>4.0006000000000004</v>
      </c>
      <c r="F1214" s="273">
        <v>7.0008999999999997</v>
      </c>
      <c r="G1214" s="273">
        <f>F1214-E1214</f>
        <v>3.0002999999999993</v>
      </c>
      <c r="H1214" s="270"/>
      <c r="I1214" s="273"/>
    </row>
    <row r="1215" spans="1:9">
      <c r="A1215" s="245">
        <v>44221</v>
      </c>
      <c r="B1215" s="245">
        <v>44223</v>
      </c>
      <c r="C1215" s="273" t="s">
        <v>19</v>
      </c>
      <c r="D1215" s="273">
        <v>28</v>
      </c>
      <c r="E1215" s="273">
        <v>5.1459999999999999</v>
      </c>
      <c r="F1215" s="273">
        <v>7.8441000000000001</v>
      </c>
      <c r="G1215" s="273">
        <f>F1215-E1215</f>
        <v>2.6981000000000002</v>
      </c>
      <c r="H1215" s="273"/>
      <c r="I1215" s="273"/>
    </row>
    <row r="1216" spans="1:9">
      <c r="A1216" s="245">
        <v>44221</v>
      </c>
      <c r="B1216" s="245">
        <v>44223</v>
      </c>
      <c r="C1216" s="273" t="s">
        <v>19</v>
      </c>
      <c r="D1216" s="273">
        <v>27</v>
      </c>
      <c r="E1216" s="273">
        <v>4.8289999999999997</v>
      </c>
      <c r="F1216" s="273">
        <v>5.5346000000000002</v>
      </c>
      <c r="G1216" s="273">
        <f>F1216-E1216</f>
        <v>0.70560000000000045</v>
      </c>
      <c r="H1216" s="273"/>
      <c r="I1216" s="273"/>
    </row>
    <row r="1217" spans="1:8">
      <c r="A1217" s="245">
        <v>44221</v>
      </c>
      <c r="B1217" s="245">
        <v>44223</v>
      </c>
      <c r="C1217" s="273" t="s">
        <v>11</v>
      </c>
      <c r="D1217" s="273">
        <v>52</v>
      </c>
      <c r="E1217" s="273">
        <v>4.1177999999999999</v>
      </c>
      <c r="F1217" s="273">
        <v>8.0424000000000007</v>
      </c>
      <c r="G1217" s="273">
        <f>F1217-E1217</f>
        <v>3.9246000000000008</v>
      </c>
      <c r="H1217" s="273"/>
    </row>
    <row r="1218" spans="1:8">
      <c r="A1218" s="245">
        <v>44221</v>
      </c>
      <c r="B1218" s="245">
        <v>44223</v>
      </c>
      <c r="C1218" s="273" t="s">
        <v>11</v>
      </c>
      <c r="D1218" s="273">
        <v>49</v>
      </c>
      <c r="E1218" s="273">
        <v>5.0397999999999996</v>
      </c>
      <c r="F1218" s="273">
        <v>7.4546000000000001</v>
      </c>
      <c r="G1218" s="273">
        <f>F1218-E1218</f>
        <v>2.4148000000000005</v>
      </c>
      <c r="H1218" s="273"/>
    </row>
    <row r="1219" spans="1:8">
      <c r="A1219" s="245">
        <v>44221</v>
      </c>
      <c r="B1219" s="245">
        <v>44223</v>
      </c>
      <c r="C1219" s="273" t="s">
        <v>11</v>
      </c>
      <c r="D1219" s="273">
        <v>46</v>
      </c>
      <c r="E1219" s="273">
        <v>4.7469999999999999</v>
      </c>
      <c r="F1219" s="273">
        <v>5.7872000000000003</v>
      </c>
      <c r="G1219" s="273">
        <f>F1219-E1219</f>
        <v>1.0402000000000005</v>
      </c>
      <c r="H1219" s="273"/>
    </row>
    <row r="1220" spans="1:8">
      <c r="A1220" s="245">
        <v>44221</v>
      </c>
      <c r="B1220" s="245">
        <v>44223</v>
      </c>
      <c r="C1220" s="273" t="s">
        <v>11</v>
      </c>
      <c r="D1220" s="273">
        <v>48</v>
      </c>
      <c r="E1220" s="273">
        <v>5.3799000000000001</v>
      </c>
      <c r="F1220" s="273">
        <v>5.5852000000000004</v>
      </c>
      <c r="G1220" s="273">
        <f>F1220-E1220</f>
        <v>0.20530000000000026</v>
      </c>
      <c r="H1220" s="273"/>
    </row>
    <row r="1221" spans="1:8">
      <c r="A1221" s="245">
        <v>44221</v>
      </c>
      <c r="B1221" s="245">
        <v>44223</v>
      </c>
      <c r="C1221" s="273" t="s">
        <v>11</v>
      </c>
      <c r="D1221" s="273">
        <v>55</v>
      </c>
      <c r="E1221" s="273">
        <v>4.5202999999999998</v>
      </c>
      <c r="F1221" s="273">
        <v>8.0068000000000001</v>
      </c>
      <c r="G1221" s="273">
        <f>F1221-E1221</f>
        <v>3.4865000000000004</v>
      </c>
      <c r="H1221" s="273"/>
    </row>
    <row r="1222" spans="1:8">
      <c r="A1222" s="245">
        <v>44221</v>
      </c>
      <c r="B1222" s="245">
        <v>44223</v>
      </c>
      <c r="C1222" s="273" t="s">
        <v>11</v>
      </c>
      <c r="D1222" s="273">
        <v>51</v>
      </c>
      <c r="E1222" s="273">
        <v>4.9446000000000003</v>
      </c>
      <c r="F1222" s="273">
        <v>7.8574999999999999</v>
      </c>
      <c r="G1222" s="273">
        <f>F1222-E1222</f>
        <v>2.9128999999999996</v>
      </c>
      <c r="H1222" s="273"/>
    </row>
    <row r="1223" spans="1:8">
      <c r="A1223" s="245">
        <v>44221</v>
      </c>
      <c r="B1223" s="245">
        <v>44223</v>
      </c>
      <c r="C1223" s="273" t="s">
        <v>11</v>
      </c>
      <c r="D1223" s="273">
        <v>47</v>
      </c>
      <c r="E1223" s="273">
        <v>5.5960000000000001</v>
      </c>
      <c r="F1223" s="273">
        <v>6.3708</v>
      </c>
      <c r="G1223" s="273">
        <f>F1223-E1223</f>
        <v>0.77479999999999993</v>
      </c>
      <c r="H1223" s="273"/>
    </row>
    <row r="1224" spans="1:8">
      <c r="A1224" s="245">
        <v>44221</v>
      </c>
      <c r="B1224" s="245">
        <v>44223</v>
      </c>
      <c r="C1224" s="273" t="s">
        <v>11</v>
      </c>
      <c r="D1224" s="273">
        <v>54</v>
      </c>
      <c r="E1224" s="273">
        <v>6.0547000000000004</v>
      </c>
      <c r="F1224" s="273">
        <v>10.542999999999999</v>
      </c>
      <c r="G1224" s="273">
        <f>F1224-E1224</f>
        <v>4.4882999999999988</v>
      </c>
      <c r="H1224" s="273"/>
    </row>
    <row r="1225" spans="1:8">
      <c r="A1225" s="245">
        <v>44221</v>
      </c>
      <c r="B1225" s="245">
        <v>44223</v>
      </c>
      <c r="C1225" s="273" t="s">
        <v>11</v>
      </c>
      <c r="D1225" s="273">
        <v>53</v>
      </c>
      <c r="E1225" s="273">
        <v>5.0532000000000004</v>
      </c>
      <c r="F1225" s="273">
        <v>9.9831000000000003</v>
      </c>
      <c r="G1225" s="273">
        <f>F1225-E1225</f>
        <v>4.9298999999999999</v>
      </c>
      <c r="H1225" s="270"/>
    </row>
    <row r="1226" spans="1:8">
      <c r="A1226" s="245">
        <v>44221</v>
      </c>
      <c r="B1226" s="245">
        <v>44223</v>
      </c>
      <c r="C1226" s="273" t="s">
        <v>11</v>
      </c>
      <c r="D1226" s="273">
        <v>57</v>
      </c>
      <c r="E1226" s="273">
        <v>5.5777000000000001</v>
      </c>
      <c r="F1226" s="273">
        <v>9.0564999999999998</v>
      </c>
      <c r="G1226" s="273">
        <f>F1226-E1226</f>
        <v>3.4787999999999997</v>
      </c>
      <c r="H1226" s="273"/>
    </row>
    <row r="1227" spans="1:8">
      <c r="A1227" s="245">
        <v>44221</v>
      </c>
      <c r="B1227" s="245">
        <v>44223</v>
      </c>
      <c r="C1227" s="273" t="s">
        <v>16</v>
      </c>
      <c r="D1227" s="273">
        <v>70</v>
      </c>
      <c r="E1227" s="273">
        <v>5.6079999999999997</v>
      </c>
      <c r="F1227" s="273">
        <v>7.8718000000000004</v>
      </c>
      <c r="G1227" s="273">
        <f>F1227-E1227</f>
        <v>2.2638000000000007</v>
      </c>
      <c r="H1227" s="270">
        <f>SUM(G1230,G1227,G1229)</f>
        <v>4.7866000000000009</v>
      </c>
    </row>
    <row r="1228" spans="1:8">
      <c r="A1228" s="245">
        <v>44221</v>
      </c>
      <c r="B1228" s="245">
        <v>44223</v>
      </c>
      <c r="C1228" s="273" t="s">
        <v>16</v>
      </c>
      <c r="D1228" s="273">
        <v>73</v>
      </c>
      <c r="E1228" s="273">
        <v>4.8944999999999999</v>
      </c>
      <c r="F1228" s="273">
        <v>6.6496000000000004</v>
      </c>
      <c r="G1228" s="273">
        <f>F1228-E1228</f>
        <v>1.7551000000000005</v>
      </c>
      <c r="H1228" s="273"/>
    </row>
    <row r="1229" spans="1:8">
      <c r="A1229" s="245">
        <v>44221</v>
      </c>
      <c r="B1229" s="245">
        <v>44223</v>
      </c>
      <c r="C1229" s="273" t="s">
        <v>16</v>
      </c>
      <c r="D1229" s="273">
        <v>75</v>
      </c>
      <c r="E1229" s="273">
        <v>6.8459000000000003</v>
      </c>
      <c r="F1229" s="273">
        <v>7.7427999999999999</v>
      </c>
      <c r="G1229" s="273">
        <f>F1229-E1229</f>
        <v>0.89689999999999959</v>
      </c>
      <c r="H1229" s="270"/>
    </row>
    <row r="1230" spans="1:8">
      <c r="A1230" s="245">
        <v>44221</v>
      </c>
      <c r="B1230" s="245">
        <v>44223</v>
      </c>
      <c r="C1230" s="273" t="s">
        <v>16</v>
      </c>
      <c r="D1230" s="273">
        <v>72</v>
      </c>
      <c r="E1230" s="273">
        <v>5.5495999999999999</v>
      </c>
      <c r="F1230" s="273">
        <v>7.1755000000000004</v>
      </c>
      <c r="G1230" s="273">
        <f>F1230-E1230</f>
        <v>1.6259000000000006</v>
      </c>
      <c r="H1230" s="270"/>
    </row>
    <row r="1231" spans="1:8">
      <c r="A1231" s="245">
        <v>44221</v>
      </c>
      <c r="B1231" s="245">
        <v>44223</v>
      </c>
      <c r="C1231" s="273" t="s">
        <v>16</v>
      </c>
      <c r="D1231" s="273">
        <v>71</v>
      </c>
      <c r="E1231" s="273">
        <v>6.0194999999999999</v>
      </c>
      <c r="F1231" s="273">
        <v>6.6268000000000002</v>
      </c>
      <c r="G1231" s="273">
        <f>F1231-E1231</f>
        <v>0.6073000000000004</v>
      </c>
      <c r="H1231" s="273"/>
    </row>
    <row r="1232" spans="1:8">
      <c r="A1232" s="245">
        <v>44221</v>
      </c>
      <c r="B1232" s="245">
        <v>44223</v>
      </c>
      <c r="C1232" s="273" t="s">
        <v>16</v>
      </c>
      <c r="D1232" s="273">
        <v>74</v>
      </c>
      <c r="E1232" s="273">
        <v>5.8205</v>
      </c>
      <c r="F1232" s="273">
        <v>8.1219999999999999</v>
      </c>
      <c r="G1232" s="273">
        <f>F1232-E1232</f>
        <v>2.3014999999999999</v>
      </c>
      <c r="H1232" s="273"/>
    </row>
    <row r="1233" spans="1:10">
      <c r="A1233" s="245">
        <v>44221</v>
      </c>
      <c r="B1233" s="245">
        <v>44223</v>
      </c>
      <c r="C1233" s="273" t="s">
        <v>24</v>
      </c>
      <c r="D1233" s="273">
        <v>19</v>
      </c>
      <c r="E1233" s="273">
        <v>5.3371000000000004</v>
      </c>
      <c r="F1233" s="273">
        <v>6.6310000000000002</v>
      </c>
      <c r="G1233" s="273">
        <f>F1233-E1233</f>
        <v>1.2938999999999998</v>
      </c>
      <c r="H1233" s="270"/>
      <c r="I1233" s="273"/>
      <c r="J1233" s="273"/>
    </row>
    <row r="1234" spans="1:10">
      <c r="A1234" s="245">
        <v>44221</v>
      </c>
      <c r="B1234" s="245">
        <v>44223</v>
      </c>
      <c r="C1234" s="273" t="s">
        <v>24</v>
      </c>
      <c r="D1234" s="273">
        <v>22</v>
      </c>
      <c r="E1234" s="273">
        <v>5.2484999999999999</v>
      </c>
      <c r="F1234" s="273">
        <v>6.3860999999999999</v>
      </c>
      <c r="G1234" s="273">
        <f>F1234-E1234</f>
        <v>1.1375999999999999</v>
      </c>
      <c r="H1234" s="270"/>
      <c r="I1234" s="273"/>
      <c r="J1234" s="273"/>
    </row>
    <row r="1235" spans="1:10">
      <c r="A1235" s="245">
        <v>44221</v>
      </c>
      <c r="B1235" s="245">
        <v>44223</v>
      </c>
      <c r="C1235" s="273" t="s">
        <v>24</v>
      </c>
      <c r="D1235" s="273">
        <v>18</v>
      </c>
      <c r="E1235" s="273">
        <v>5.6003999999999996</v>
      </c>
      <c r="F1235" s="273">
        <v>6.6561000000000003</v>
      </c>
      <c r="G1235" s="273">
        <f>F1235-E1235</f>
        <v>1.0557000000000007</v>
      </c>
      <c r="H1235" s="270"/>
      <c r="I1235" s="273"/>
      <c r="J1235" s="273"/>
    </row>
    <row r="1236" spans="1:10">
      <c r="A1236" s="245">
        <v>44221</v>
      </c>
      <c r="B1236" s="245">
        <v>44223</v>
      </c>
      <c r="C1236" s="273" t="s">
        <v>24</v>
      </c>
      <c r="D1236" s="273">
        <v>17</v>
      </c>
      <c r="E1236" s="273">
        <v>6.4119999999999999</v>
      </c>
      <c r="F1236" s="273">
        <v>6.9058999999999999</v>
      </c>
      <c r="G1236" s="273">
        <f>F1236-E1236</f>
        <v>0.49390000000000001</v>
      </c>
      <c r="H1236" s="270"/>
      <c r="I1236" s="273"/>
      <c r="J1236" s="273"/>
    </row>
    <row r="1237" spans="1:10">
      <c r="A1237" s="245">
        <v>44223</v>
      </c>
      <c r="B1237" s="245">
        <v>44225</v>
      </c>
      <c r="C1237" s="273" t="s">
        <v>18</v>
      </c>
      <c r="D1237" s="273"/>
      <c r="E1237" s="273">
        <v>5.2671999999999999</v>
      </c>
      <c r="F1237" s="273">
        <v>10.5732</v>
      </c>
      <c r="G1237" s="273">
        <f>F1237-E1237</f>
        <v>5.306</v>
      </c>
      <c r="H1237" s="273"/>
      <c r="I1237" s="273"/>
      <c r="J1237" s="273"/>
    </row>
    <row r="1238" spans="1:10">
      <c r="A1238" s="245">
        <v>44223</v>
      </c>
      <c r="B1238" s="245">
        <v>44225</v>
      </c>
      <c r="C1238" s="273" t="s">
        <v>8</v>
      </c>
      <c r="D1238" s="273">
        <v>36</v>
      </c>
      <c r="E1238" s="273">
        <v>5.0309999999999997</v>
      </c>
      <c r="F1238" s="273">
        <v>10.007099999999999</v>
      </c>
      <c r="G1238" s="273">
        <f>F1238-E1238</f>
        <v>4.9760999999999997</v>
      </c>
      <c r="H1238" s="270">
        <f>G1238</f>
        <v>4.9760999999999997</v>
      </c>
      <c r="I1238" s="273"/>
      <c r="J1238" s="273"/>
    </row>
    <row r="1239" spans="1:10">
      <c r="A1239" s="245">
        <v>44223</v>
      </c>
      <c r="B1239" s="245">
        <v>44225</v>
      </c>
      <c r="C1239" s="273" t="s">
        <v>8</v>
      </c>
      <c r="D1239" s="273">
        <v>34</v>
      </c>
      <c r="E1239" s="273">
        <v>5.3871000000000002</v>
      </c>
      <c r="F1239" s="273">
        <v>8.125</v>
      </c>
      <c r="G1239" s="273">
        <f>F1239-E1239</f>
        <v>2.7378999999999998</v>
      </c>
      <c r="H1239" s="273"/>
      <c r="I1239" s="273"/>
      <c r="J1239" s="273"/>
    </row>
    <row r="1240" spans="1:10">
      <c r="A1240" s="245">
        <v>44223</v>
      </c>
      <c r="B1240" s="245">
        <v>44225</v>
      </c>
      <c r="C1240" s="273" t="s">
        <v>19</v>
      </c>
      <c r="D1240" s="273">
        <v>25</v>
      </c>
      <c r="E1240" s="273">
        <v>5.3289</v>
      </c>
      <c r="F1240" s="273">
        <v>5.3947000000000003</v>
      </c>
      <c r="G1240" s="273">
        <f>F1240-E1240</f>
        <v>6.5800000000000303E-2</v>
      </c>
      <c r="H1240" s="271"/>
      <c r="I1240" s="273"/>
      <c r="J1240" s="273"/>
    </row>
    <row r="1241" spans="1:10">
      <c r="A1241" s="245">
        <v>44223</v>
      </c>
      <c r="B1241" s="245">
        <v>44225</v>
      </c>
      <c r="C1241" s="273" t="s">
        <v>19</v>
      </c>
      <c r="D1241" s="273">
        <v>28</v>
      </c>
      <c r="E1241" s="273">
        <v>5.9325999999999999</v>
      </c>
      <c r="F1241" s="273">
        <v>8.452</v>
      </c>
      <c r="G1241" s="273">
        <f>F1241-E1241</f>
        <v>2.5194000000000001</v>
      </c>
      <c r="H1241" s="273"/>
      <c r="I1241" s="273"/>
      <c r="J1241" s="273"/>
    </row>
    <row r="1242" spans="1:10">
      <c r="A1242" s="245">
        <v>44223</v>
      </c>
      <c r="B1242" s="245">
        <v>44225</v>
      </c>
      <c r="C1242" s="273" t="s">
        <v>19</v>
      </c>
      <c r="D1242" s="273">
        <v>22</v>
      </c>
      <c r="E1242" s="273">
        <v>5.7880000000000003</v>
      </c>
      <c r="F1242" s="273">
        <v>7.1773999999999996</v>
      </c>
      <c r="G1242" s="273">
        <f>F1242-E1242</f>
        <v>1.3893999999999993</v>
      </c>
      <c r="H1242" s="270"/>
      <c r="I1242" s="273"/>
      <c r="J1242" s="273"/>
    </row>
    <row r="1243" spans="1:10">
      <c r="A1243" s="245">
        <v>44223</v>
      </c>
      <c r="B1243" s="245">
        <v>44225</v>
      </c>
      <c r="C1243" s="273" t="s">
        <v>19</v>
      </c>
      <c r="D1243" s="273">
        <v>27</v>
      </c>
      <c r="E1243" s="273">
        <v>5.4787999999999997</v>
      </c>
      <c r="F1243" s="273">
        <v>5.7248999999999999</v>
      </c>
      <c r="G1243" s="273">
        <f>F1243-E1243</f>
        <v>0.24610000000000021</v>
      </c>
      <c r="H1243" s="271"/>
      <c r="I1243" s="273"/>
      <c r="J1243" s="273"/>
    </row>
    <row r="1244" spans="1:10">
      <c r="A1244" s="245">
        <v>44223</v>
      </c>
      <c r="B1244" s="245">
        <v>44225</v>
      </c>
      <c r="C1244" s="273" t="s">
        <v>19</v>
      </c>
      <c r="D1244" s="273">
        <v>26</v>
      </c>
      <c r="E1244" s="273">
        <v>5.8361000000000001</v>
      </c>
      <c r="F1244" s="273">
        <v>5.8926999999999996</v>
      </c>
      <c r="G1244" s="273">
        <f>F1244-E1244</f>
        <v>5.659999999999954E-2</v>
      </c>
      <c r="H1244" s="271"/>
      <c r="I1244" s="273"/>
      <c r="J1244" s="273"/>
    </row>
    <row r="1245" spans="1:10">
      <c r="A1245" s="245">
        <v>44223</v>
      </c>
      <c r="B1245" s="245">
        <v>44225</v>
      </c>
      <c r="C1245" s="273" t="s">
        <v>19</v>
      </c>
      <c r="D1245" s="273">
        <v>24</v>
      </c>
      <c r="E1245" s="273">
        <v>4.5403000000000002</v>
      </c>
      <c r="F1245" s="273">
        <v>7.9382000000000001</v>
      </c>
      <c r="G1245" s="273">
        <f>F1245-E1245</f>
        <v>3.3978999999999999</v>
      </c>
      <c r="H1245" s="270">
        <f>SUM(G1242+G1245)</f>
        <v>4.7872999999999992</v>
      </c>
      <c r="I1245" s="273"/>
      <c r="J1245" s="273"/>
    </row>
    <row r="1246" spans="1:10">
      <c r="A1246" s="245">
        <v>44223</v>
      </c>
      <c r="B1246" s="245">
        <v>44225</v>
      </c>
      <c r="C1246" s="273" t="s">
        <v>11</v>
      </c>
      <c r="D1246" s="273">
        <v>53</v>
      </c>
      <c r="E1246" s="273">
        <v>4.8377999999999997</v>
      </c>
      <c r="F1246" s="273">
        <v>9.0568000000000008</v>
      </c>
      <c r="G1246" s="273">
        <f>F1246-E1246</f>
        <v>4.2190000000000012</v>
      </c>
      <c r="H1246" s="273"/>
      <c r="I1246" s="273"/>
      <c r="J1246" s="273"/>
    </row>
    <row r="1247" spans="1:10">
      <c r="A1247" s="245">
        <v>44223</v>
      </c>
      <c r="B1247" s="245">
        <v>44225</v>
      </c>
      <c r="C1247" s="273" t="s">
        <v>11</v>
      </c>
      <c r="D1247" s="273">
        <v>47</v>
      </c>
      <c r="E1247" s="273">
        <v>5.2938999999999998</v>
      </c>
      <c r="F1247" s="273">
        <v>5.6059999999999999</v>
      </c>
      <c r="G1247" s="273">
        <f>F1247-E1247</f>
        <v>0.31210000000000004</v>
      </c>
      <c r="H1247" s="273"/>
      <c r="I1247" s="273"/>
      <c r="J1247" s="273"/>
    </row>
    <row r="1248" spans="1:10">
      <c r="A1248" s="245">
        <v>44223</v>
      </c>
      <c r="B1248" s="245">
        <v>44225</v>
      </c>
      <c r="C1248" s="273" t="s">
        <v>11</v>
      </c>
      <c r="D1248" s="273">
        <v>54</v>
      </c>
      <c r="E1248" s="273">
        <v>5.4446000000000003</v>
      </c>
      <c r="F1248" s="273">
        <v>9.3160000000000007</v>
      </c>
      <c r="G1248" s="273">
        <f>F1248-E1248</f>
        <v>3.8714000000000004</v>
      </c>
      <c r="H1248" s="273"/>
      <c r="I1248" s="273"/>
      <c r="J1248" s="273"/>
    </row>
    <row r="1249" spans="1:8">
      <c r="A1249" s="245">
        <v>44223</v>
      </c>
      <c r="B1249" s="245">
        <v>44225</v>
      </c>
      <c r="C1249" s="273" t="s">
        <v>11</v>
      </c>
      <c r="D1249" s="273">
        <v>46</v>
      </c>
      <c r="E1249" s="273">
        <v>4.6265999999999998</v>
      </c>
      <c r="F1249" s="273">
        <v>4.8959999999999999</v>
      </c>
      <c r="G1249" s="273">
        <f>F1249-E1249</f>
        <v>0.26940000000000008</v>
      </c>
      <c r="H1249" s="271"/>
    </row>
    <row r="1250" spans="1:8">
      <c r="A1250" s="245">
        <v>44223</v>
      </c>
      <c r="B1250" s="245">
        <v>44225</v>
      </c>
      <c r="C1250" s="273" t="s">
        <v>11</v>
      </c>
      <c r="D1250" s="273">
        <v>52</v>
      </c>
      <c r="E1250" s="273">
        <v>4.5076999999999998</v>
      </c>
      <c r="F1250" s="273">
        <v>8.4718</v>
      </c>
      <c r="G1250" s="273">
        <f>F1250-E1250</f>
        <v>3.9641000000000002</v>
      </c>
      <c r="H1250" s="273"/>
    </row>
    <row r="1251" spans="1:8">
      <c r="A1251" s="245">
        <v>44223</v>
      </c>
      <c r="B1251" s="245">
        <v>44225</v>
      </c>
      <c r="C1251" s="273" t="s">
        <v>11</v>
      </c>
      <c r="D1251" s="273">
        <v>57</v>
      </c>
      <c r="E1251" s="273">
        <v>5.4526000000000003</v>
      </c>
      <c r="F1251" s="273">
        <v>9.0079999999999991</v>
      </c>
      <c r="G1251" s="273">
        <f t="shared" ref="G1251:G1266" si="22">F1251-E1251</f>
        <v>3.5553999999999988</v>
      </c>
      <c r="H1251" s="273"/>
    </row>
    <row r="1252" spans="1:8">
      <c r="A1252" s="245">
        <v>44223</v>
      </c>
      <c r="B1252" s="245">
        <v>44225</v>
      </c>
      <c r="C1252" s="273" t="s">
        <v>11</v>
      </c>
      <c r="D1252" s="273">
        <v>55</v>
      </c>
      <c r="E1252" s="273">
        <v>4.9859999999999998</v>
      </c>
      <c r="F1252" s="273">
        <v>7.9446000000000003</v>
      </c>
      <c r="G1252" s="273">
        <f t="shared" si="22"/>
        <v>2.9586000000000006</v>
      </c>
      <c r="H1252" s="270"/>
    </row>
    <row r="1253" spans="1:8">
      <c r="A1253" s="245">
        <v>44223</v>
      </c>
      <c r="B1253" s="245">
        <v>44225</v>
      </c>
      <c r="C1253" s="273" t="s">
        <v>11</v>
      </c>
      <c r="D1253" s="273">
        <v>49</v>
      </c>
      <c r="E1253" s="273">
        <v>5.3226000000000004</v>
      </c>
      <c r="F1253" s="273">
        <v>7.1505000000000001</v>
      </c>
      <c r="G1253" s="273">
        <f t="shared" si="22"/>
        <v>1.8278999999999996</v>
      </c>
      <c r="H1253" s="273"/>
    </row>
    <row r="1254" spans="1:8">
      <c r="A1254" s="245">
        <v>44223</v>
      </c>
      <c r="B1254" s="245">
        <v>44225</v>
      </c>
      <c r="C1254" s="273" t="s">
        <v>11</v>
      </c>
      <c r="D1254" s="273">
        <v>56</v>
      </c>
      <c r="E1254" s="273">
        <v>5.9480000000000004</v>
      </c>
      <c r="F1254" s="273">
        <v>8.2931000000000008</v>
      </c>
      <c r="G1254" s="273">
        <f t="shared" si="22"/>
        <v>2.3451000000000004</v>
      </c>
      <c r="H1254" s="270">
        <f>G1254+G1252</f>
        <v>5.303700000000001</v>
      </c>
    </row>
    <row r="1255" spans="1:8">
      <c r="A1255" s="245">
        <v>44223</v>
      </c>
      <c r="B1255" s="245">
        <v>44225</v>
      </c>
      <c r="C1255" s="273" t="s">
        <v>16</v>
      </c>
      <c r="D1255" s="273">
        <v>74</v>
      </c>
      <c r="E1255" s="273">
        <v>7.0208000000000004</v>
      </c>
      <c r="F1255" s="273">
        <v>11.113</v>
      </c>
      <c r="G1255" s="273">
        <f t="shared" si="22"/>
        <v>4.0921999999999992</v>
      </c>
      <c r="H1255" s="273"/>
    </row>
    <row r="1256" spans="1:8">
      <c r="A1256" s="245">
        <v>44223</v>
      </c>
      <c r="B1256" s="245">
        <v>44225</v>
      </c>
      <c r="C1256" s="273" t="s">
        <v>16</v>
      </c>
      <c r="D1256" s="273">
        <v>76</v>
      </c>
      <c r="E1256" s="273">
        <v>5.1999000000000004</v>
      </c>
      <c r="F1256" s="273">
        <v>9.3077000000000005</v>
      </c>
      <c r="G1256" s="273">
        <f t="shared" si="22"/>
        <v>4.1078000000000001</v>
      </c>
      <c r="H1256" s="273"/>
    </row>
    <row r="1257" spans="1:8">
      <c r="A1257" s="245">
        <v>44223</v>
      </c>
      <c r="B1257" s="245">
        <v>44225</v>
      </c>
      <c r="C1257" s="273" t="s">
        <v>16</v>
      </c>
      <c r="D1257" s="273">
        <v>70</v>
      </c>
      <c r="E1257" s="273">
        <v>4.8266</v>
      </c>
      <c r="F1257" s="273">
        <v>7.6924000000000001</v>
      </c>
      <c r="G1257" s="273">
        <f t="shared" si="22"/>
        <v>2.8658000000000001</v>
      </c>
      <c r="H1257" s="270"/>
    </row>
    <row r="1258" spans="1:8">
      <c r="A1258" s="245">
        <v>44223</v>
      </c>
      <c r="B1258" s="245">
        <v>44225</v>
      </c>
      <c r="C1258" s="273" t="s">
        <v>16</v>
      </c>
      <c r="D1258" s="273">
        <v>73</v>
      </c>
      <c r="E1258" s="273">
        <v>4.7717999999999998</v>
      </c>
      <c r="F1258" s="273">
        <v>7.9577</v>
      </c>
      <c r="G1258" s="273">
        <f t="shared" si="22"/>
        <v>3.1859000000000002</v>
      </c>
      <c r="H1258" s="273"/>
    </row>
    <row r="1259" spans="1:8">
      <c r="A1259" s="245">
        <v>44223</v>
      </c>
      <c r="B1259" s="245">
        <v>44225</v>
      </c>
      <c r="C1259" s="273" t="s">
        <v>16</v>
      </c>
      <c r="D1259" s="273">
        <v>75</v>
      </c>
      <c r="E1259" s="273">
        <v>5.2666000000000004</v>
      </c>
      <c r="F1259" s="273">
        <v>10.9938</v>
      </c>
      <c r="G1259" s="273">
        <f t="shared" si="22"/>
        <v>5.7271999999999998</v>
      </c>
      <c r="H1259" s="273"/>
    </row>
    <row r="1260" spans="1:8">
      <c r="A1260" s="245">
        <v>44223</v>
      </c>
      <c r="B1260" s="245">
        <v>44225</v>
      </c>
      <c r="C1260" s="273" t="s">
        <v>16</v>
      </c>
      <c r="D1260" s="273">
        <v>71</v>
      </c>
      <c r="E1260" s="273">
        <v>4.1012000000000004</v>
      </c>
      <c r="F1260" s="273">
        <v>4.8788</v>
      </c>
      <c r="G1260" s="273">
        <f t="shared" si="22"/>
        <v>0.77759999999999962</v>
      </c>
      <c r="H1260" s="273"/>
    </row>
    <row r="1261" spans="1:8">
      <c r="A1261" s="245">
        <v>44223</v>
      </c>
      <c r="B1261" s="245">
        <v>44225</v>
      </c>
      <c r="C1261" s="273" t="s">
        <v>16</v>
      </c>
      <c r="D1261" s="273">
        <v>72</v>
      </c>
      <c r="E1261" s="273">
        <v>4.7939999999999996</v>
      </c>
      <c r="F1261" s="273">
        <v>6.7897999999999996</v>
      </c>
      <c r="G1261" s="273">
        <f t="shared" si="22"/>
        <v>1.9958</v>
      </c>
      <c r="H1261" s="270">
        <f>G1261+G1257</f>
        <v>4.8616000000000001</v>
      </c>
    </row>
    <row r="1262" spans="1:8">
      <c r="A1262" s="245">
        <v>44223</v>
      </c>
      <c r="B1262" s="245">
        <v>44225</v>
      </c>
      <c r="C1262" s="273" t="s">
        <v>24</v>
      </c>
      <c r="D1262" s="273">
        <v>21</v>
      </c>
      <c r="E1262" s="273">
        <v>5.1543999999999999</v>
      </c>
      <c r="F1262" s="273">
        <v>7.2522000000000002</v>
      </c>
      <c r="G1262" s="273">
        <f t="shared" si="22"/>
        <v>2.0978000000000003</v>
      </c>
      <c r="H1262" s="273"/>
    </row>
    <row r="1263" spans="1:8">
      <c r="A1263" s="245">
        <v>44223</v>
      </c>
      <c r="B1263" s="245">
        <v>44225</v>
      </c>
      <c r="C1263" s="273" t="s">
        <v>24</v>
      </c>
      <c r="D1263" s="273">
        <v>22</v>
      </c>
      <c r="E1263" s="273">
        <v>4.4649999999999999</v>
      </c>
      <c r="F1263" s="273">
        <v>8.9903999999999993</v>
      </c>
      <c r="G1263" s="273">
        <f t="shared" si="22"/>
        <v>4.5253999999999994</v>
      </c>
      <c r="H1263" s="270">
        <f>G1263</f>
        <v>4.5253999999999994</v>
      </c>
    </row>
    <row r="1264" spans="1:8">
      <c r="A1264" s="245">
        <v>44223</v>
      </c>
      <c r="B1264" s="245">
        <v>44225</v>
      </c>
      <c r="C1264" s="273" t="s">
        <v>24</v>
      </c>
      <c r="D1264" s="273">
        <v>20</v>
      </c>
      <c r="E1264" s="273">
        <v>4.5983999999999998</v>
      </c>
      <c r="F1264" s="273">
        <v>7.5895000000000001</v>
      </c>
      <c r="G1264" s="273">
        <f t="shared" si="22"/>
        <v>2.9911000000000003</v>
      </c>
      <c r="H1264" s="273"/>
    </row>
    <row r="1265" spans="1:7">
      <c r="A1265" s="245">
        <v>44223</v>
      </c>
      <c r="B1265" s="245">
        <v>44225</v>
      </c>
      <c r="C1265" s="273" t="s">
        <v>24</v>
      </c>
      <c r="D1265" s="273">
        <v>17</v>
      </c>
      <c r="E1265" s="273">
        <v>4.6828000000000003</v>
      </c>
      <c r="F1265" s="273">
        <v>5.3231999999999999</v>
      </c>
      <c r="G1265" s="273">
        <f t="shared" si="22"/>
        <v>0.64039999999999964</v>
      </c>
    </row>
    <row r="1266" spans="1:7">
      <c r="A1266" s="245">
        <v>44223</v>
      </c>
      <c r="B1266" s="245">
        <v>44225</v>
      </c>
      <c r="C1266" s="273" t="s">
        <v>24</v>
      </c>
      <c r="D1266" s="273">
        <v>19</v>
      </c>
      <c r="E1266" s="273">
        <v>5.1393000000000004</v>
      </c>
      <c r="F1266" s="273">
        <v>5.8509000000000002</v>
      </c>
      <c r="G1266" s="273">
        <f t="shared" si="22"/>
        <v>0.71159999999999979</v>
      </c>
    </row>
  </sheetData>
  <sortState xmlns:xlrd2="http://schemas.microsoft.com/office/spreadsheetml/2017/richdata2" ref="A2:G112">
    <sortCondition ref="B2:B1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963"/>
  <sheetViews>
    <sheetView workbookViewId="0">
      <pane xSplit="1" ySplit="3" topLeftCell="B273" activePane="bottomRight" state="frozen"/>
      <selection pane="bottomRight" activeCell="H295" sqref="H289:H295"/>
      <selection pane="bottomLeft" activeCell="A4" sqref="A4"/>
      <selection pane="topRight" activeCell="B1" sqref="B1"/>
    </sheetView>
  </sheetViews>
  <sheetFormatPr defaultColWidth="14.42578125" defaultRowHeight="15.75" customHeight="1"/>
  <cols>
    <col min="1" max="1" width="16.85546875" style="165" customWidth="1"/>
    <col min="2" max="2" width="7.85546875" customWidth="1"/>
    <col min="3" max="3" width="8.42578125" customWidth="1"/>
    <col min="4" max="5" width="7.85546875" customWidth="1"/>
    <col min="6" max="6" width="6.85546875" customWidth="1"/>
    <col min="7" max="9" width="7.85546875" customWidth="1"/>
    <col min="10" max="10" width="18.28515625" customWidth="1"/>
    <col min="11" max="11" width="8.140625" customWidth="1"/>
    <col min="12" max="12" width="8.7109375" customWidth="1"/>
    <col min="13" max="14" width="6.140625" customWidth="1"/>
    <col min="15" max="16" width="6.85546875" customWidth="1"/>
    <col min="17" max="17" width="8.140625" customWidth="1"/>
    <col min="18" max="19" width="14.42578125" hidden="1"/>
    <col min="20" max="20" width="17" customWidth="1"/>
    <col min="21" max="21" width="6.85546875" customWidth="1"/>
    <col min="22" max="22" width="9.28515625" customWidth="1"/>
    <col min="23" max="23" width="13" customWidth="1"/>
    <col min="24" max="24" width="12" customWidth="1"/>
    <col min="25" max="25" width="10" customWidth="1"/>
    <col min="26" max="26" width="13" customWidth="1"/>
    <col min="27" max="27" width="11.85546875" customWidth="1"/>
    <col min="28" max="28" width="8.85546875" customWidth="1"/>
    <col min="29" max="29" width="13" customWidth="1"/>
    <col min="30" max="30" width="12" customWidth="1"/>
    <col min="31" max="31" width="10.5703125" customWidth="1"/>
    <col min="32" max="32" width="13" customWidth="1"/>
    <col min="33" max="33" width="12" customWidth="1"/>
    <col min="34" max="34" width="8.5703125" customWidth="1"/>
    <col min="35" max="35" width="13" customWidth="1"/>
    <col min="36" max="36" width="12" customWidth="1"/>
    <col min="37" max="37" width="8" customWidth="1"/>
    <col min="38" max="38" width="13" customWidth="1"/>
    <col min="39" max="39" width="12" customWidth="1"/>
    <col min="40" max="40" width="8.42578125" customWidth="1"/>
    <col min="41" max="41" width="13" customWidth="1"/>
    <col min="42" max="42" width="12" customWidth="1"/>
    <col min="43" max="43" width="8.85546875" customWidth="1"/>
    <col min="44" max="44" width="13" customWidth="1"/>
    <col min="45" max="45" width="11.28515625" customWidth="1"/>
  </cols>
  <sheetData>
    <row r="1" spans="1:46" ht="12.75">
      <c r="A1" s="159" t="s">
        <v>29</v>
      </c>
      <c r="B1" s="274" t="s">
        <v>30</v>
      </c>
      <c r="C1" s="274" t="s">
        <v>31</v>
      </c>
      <c r="D1" s="274" t="s">
        <v>8</v>
      </c>
      <c r="E1" s="274" t="s">
        <v>19</v>
      </c>
      <c r="F1" s="274" t="s">
        <v>11</v>
      </c>
      <c r="G1" s="274" t="s">
        <v>16</v>
      </c>
      <c r="H1" s="274" t="s">
        <v>24</v>
      </c>
      <c r="I1" s="48" t="s">
        <v>32</v>
      </c>
      <c r="J1" s="10"/>
      <c r="K1" s="10"/>
      <c r="L1" s="10"/>
      <c r="M1" s="10"/>
      <c r="N1" s="10"/>
      <c r="O1" s="10"/>
      <c r="P1" s="10"/>
      <c r="Q1" s="10"/>
      <c r="R1" s="273"/>
      <c r="S1" s="273"/>
      <c r="T1" s="274" t="s">
        <v>33</v>
      </c>
      <c r="U1" s="48">
        <v>2.6999999999999999E-5</v>
      </c>
      <c r="V1" s="158" t="s">
        <v>34</v>
      </c>
      <c r="W1" s="155"/>
      <c r="X1" s="155"/>
      <c r="Y1" s="155"/>
      <c r="Z1" s="155"/>
      <c r="AA1" s="155"/>
      <c r="AB1" s="155"/>
      <c r="AC1" s="155"/>
      <c r="AD1" s="155"/>
      <c r="AE1" s="155"/>
      <c r="AF1" s="155"/>
      <c r="AG1" s="155"/>
      <c r="AH1" s="155"/>
      <c r="AI1" s="155"/>
      <c r="AJ1" s="155"/>
      <c r="AK1" s="155"/>
      <c r="AL1" s="155"/>
      <c r="AM1" s="155"/>
      <c r="AN1" s="155"/>
      <c r="AO1" s="155"/>
      <c r="AP1" s="155"/>
      <c r="AQ1" s="155"/>
      <c r="AR1" s="155"/>
      <c r="AS1" s="156"/>
      <c r="AT1" s="273"/>
    </row>
    <row r="2" spans="1:46" ht="12.75">
      <c r="A2" s="160"/>
      <c r="B2" s="276" t="s">
        <v>35</v>
      </c>
      <c r="C2" s="277"/>
      <c r="D2" s="277"/>
      <c r="E2" s="277"/>
      <c r="F2" s="277"/>
      <c r="G2" s="277"/>
      <c r="H2" s="277"/>
      <c r="I2" s="273"/>
      <c r="J2" s="272"/>
      <c r="K2" s="276" t="s">
        <v>36</v>
      </c>
      <c r="L2" s="277"/>
      <c r="M2" s="277"/>
      <c r="N2" s="277"/>
      <c r="O2" s="277"/>
      <c r="P2" s="277"/>
      <c r="Q2" s="277"/>
      <c r="R2" s="273"/>
      <c r="S2" s="273"/>
      <c r="T2" s="273"/>
      <c r="U2" s="273"/>
      <c r="V2" s="157" t="s">
        <v>30</v>
      </c>
      <c r="W2" s="273"/>
      <c r="X2" s="273"/>
      <c r="Y2" s="157" t="s">
        <v>31</v>
      </c>
      <c r="Z2" s="273"/>
      <c r="AA2" s="273"/>
      <c r="AB2" s="157" t="s">
        <v>8</v>
      </c>
      <c r="AC2" s="273" t="s">
        <v>37</v>
      </c>
      <c r="AD2" s="88" cm="1">
        <f t="array" ref="AD2">AVERAGE(IF(ISNUMBER($AD$110:AD999),$AD$110:AD999," "))</f>
        <v>4.0675311999172887</v>
      </c>
      <c r="AE2" s="157" t="s">
        <v>19</v>
      </c>
      <c r="AF2" s="273" t="s">
        <v>37</v>
      </c>
      <c r="AG2" s="88" cm="1">
        <f t="array" ref="AG2">AVERAGE(IF(ISNUMBER($AG$110:AG999),$AG$110:AG999," "))</f>
        <v>11.994860595551936</v>
      </c>
      <c r="AH2" s="157" t="s">
        <v>11</v>
      </c>
      <c r="AI2" s="273" t="s">
        <v>37</v>
      </c>
      <c r="AJ2" s="88" cm="1">
        <f t="array" ref="AJ2">AVERAGE(IF(ISNUMBER($AJ$110:AJ999),$AJ$110:AJ999," "))</f>
        <v>10.689041321746236</v>
      </c>
      <c r="AK2" s="157" t="s">
        <v>16</v>
      </c>
      <c r="AL2" s="273" t="s">
        <v>37</v>
      </c>
      <c r="AM2" s="88" cm="1">
        <f t="array" ref="AM2">AVERAGE(IF(ISNUMBER($AM$110:AM999),$AM$110:AM999," "))</f>
        <v>11.245641886747432</v>
      </c>
      <c r="AN2" s="157" t="s">
        <v>24</v>
      </c>
      <c r="AO2" s="273" t="s">
        <v>37</v>
      </c>
      <c r="AP2" s="88" cm="1">
        <f t="array" ref="AP2">AVERAGE(IF(ISNUMBER($AP$110:AP999),$AP$110:AP999," "))</f>
        <v>6.5004178986713539</v>
      </c>
      <c r="AQ2" s="272" t="s">
        <v>32</v>
      </c>
      <c r="AR2" s="273" t="s">
        <v>37</v>
      </c>
      <c r="AS2" s="3">
        <f>AVERAGE(AD2,AG2,AJ2,AM2,AP2)</f>
        <v>8.8994985805268492</v>
      </c>
      <c r="AT2" s="273"/>
    </row>
    <row r="3" spans="1:46" ht="12.75">
      <c r="A3" s="159" t="s">
        <v>29</v>
      </c>
      <c r="B3" s="274" t="s">
        <v>30</v>
      </c>
      <c r="C3" s="274" t="s">
        <v>31</v>
      </c>
      <c r="D3" s="274" t="s">
        <v>8</v>
      </c>
      <c r="E3" s="274" t="s">
        <v>19</v>
      </c>
      <c r="F3" s="274" t="s">
        <v>11</v>
      </c>
      <c r="G3" s="274" t="s">
        <v>16</v>
      </c>
      <c r="H3" s="274" t="s">
        <v>24</v>
      </c>
      <c r="I3" s="1" t="s">
        <v>32</v>
      </c>
      <c r="J3" s="4" t="s">
        <v>38</v>
      </c>
      <c r="K3" s="4" t="s">
        <v>30</v>
      </c>
      <c r="L3" s="4" t="s">
        <v>39</v>
      </c>
      <c r="M3" s="4" t="s">
        <v>8</v>
      </c>
      <c r="N3" s="4" t="s">
        <v>19</v>
      </c>
      <c r="O3" s="4" t="s">
        <v>11</v>
      </c>
      <c r="P3" s="4" t="s">
        <v>16</v>
      </c>
      <c r="Q3" s="4" t="s">
        <v>24</v>
      </c>
      <c r="R3" s="1" t="s">
        <v>40</v>
      </c>
      <c r="S3" s="274" t="s">
        <v>41</v>
      </c>
      <c r="T3" s="274" t="s">
        <v>42</v>
      </c>
      <c r="U3" s="5"/>
      <c r="V3" s="6" t="s">
        <v>43</v>
      </c>
      <c r="W3" s="48" t="s">
        <v>44</v>
      </c>
      <c r="X3" s="48" t="s">
        <v>45</v>
      </c>
      <c r="Y3" s="6" t="s">
        <v>43</v>
      </c>
      <c r="Z3" s="48" t="s">
        <v>44</v>
      </c>
      <c r="AA3" s="48" t="s">
        <v>45</v>
      </c>
      <c r="AB3" s="6" t="s">
        <v>43</v>
      </c>
      <c r="AC3" s="48" t="s">
        <v>44</v>
      </c>
      <c r="AD3" s="48" t="s">
        <v>45</v>
      </c>
      <c r="AE3" s="6" t="s">
        <v>43</v>
      </c>
      <c r="AF3" s="48" t="s">
        <v>44</v>
      </c>
      <c r="AG3" s="48" t="s">
        <v>45</v>
      </c>
      <c r="AH3" s="6" t="s">
        <v>43</v>
      </c>
      <c r="AI3" s="48" t="s">
        <v>44</v>
      </c>
      <c r="AJ3" s="48" t="s">
        <v>45</v>
      </c>
      <c r="AK3" s="6" t="s">
        <v>43</v>
      </c>
      <c r="AL3" s="48" t="s">
        <v>44</v>
      </c>
      <c r="AM3" s="48" t="s">
        <v>45</v>
      </c>
      <c r="AN3" s="6" t="s">
        <v>43</v>
      </c>
      <c r="AO3" s="48" t="s">
        <v>44</v>
      </c>
      <c r="AP3" s="38" t="s">
        <v>45</v>
      </c>
      <c r="AQ3" s="6" t="s">
        <v>43</v>
      </c>
      <c r="AR3" s="48" t="s">
        <v>44</v>
      </c>
      <c r="AS3" s="38" t="s">
        <v>45</v>
      </c>
      <c r="AT3" s="273"/>
    </row>
    <row r="4" spans="1:46" ht="12.75">
      <c r="A4" s="161">
        <v>43810</v>
      </c>
      <c r="B4" s="273"/>
      <c r="C4" s="35">
        <f>1.3734+0.6355+2.0664+1.9494+0.2715+1.7999+0.6238</f>
        <v>8.7198999999999991</v>
      </c>
      <c r="D4" s="273"/>
      <c r="E4" s="48">
        <v>12.827299999999999</v>
      </c>
      <c r="F4" s="48">
        <v>1.6713</v>
      </c>
      <c r="G4" s="48">
        <v>2.7867000000000002</v>
      </c>
      <c r="H4" s="48">
        <v>5.1932999999999998</v>
      </c>
      <c r="I4" s="2">
        <f t="shared" ref="I4:I14" si="0">SUM(B4:H4)</f>
        <v>31.198499999999996</v>
      </c>
      <c r="J4" s="8"/>
      <c r="K4" s="10"/>
      <c r="L4" s="10"/>
      <c r="M4" s="10"/>
      <c r="N4" s="10"/>
      <c r="O4" s="10"/>
      <c r="P4" s="10"/>
      <c r="Q4" s="10"/>
      <c r="R4" s="2">
        <f t="shared" ref="R4:R23" si="1">SUM(K4:Q4)</f>
        <v>0</v>
      </c>
      <c r="S4" s="35">
        <f t="shared" ref="S4:S23" si="2">R4*0.02554</f>
        <v>0</v>
      </c>
      <c r="T4" s="35">
        <f t="shared" ref="T4:T40" si="3">I4+S4</f>
        <v>31.198499999999996</v>
      </c>
      <c r="U4" s="273"/>
      <c r="V4" s="9">
        <f t="shared" ref="V4:V46" si="4">B4*30000</f>
        <v>0</v>
      </c>
      <c r="W4" s="273"/>
      <c r="X4" s="273"/>
      <c r="Y4" s="9">
        <f t="shared" ref="Y4:Y41" si="5">C4*30000</f>
        <v>261596.99999999997</v>
      </c>
      <c r="Z4" s="273"/>
      <c r="AA4" s="273"/>
      <c r="AB4" s="9">
        <f t="shared" ref="AB4:AB53" si="6">D4*30000</f>
        <v>0</v>
      </c>
      <c r="AC4" s="273"/>
      <c r="AD4" s="273"/>
      <c r="AE4" s="9">
        <f t="shared" ref="AE4:AE53" si="7">E4*30000</f>
        <v>384819</v>
      </c>
      <c r="AF4" s="273"/>
      <c r="AG4" s="273"/>
      <c r="AH4" s="9">
        <f t="shared" ref="AH4:AH53" si="8">F4*30000</f>
        <v>50139</v>
      </c>
      <c r="AI4" s="273"/>
      <c r="AJ4" s="273"/>
      <c r="AK4" s="9">
        <f t="shared" ref="AK4:AK62" si="9">G4*30000</f>
        <v>83601</v>
      </c>
      <c r="AL4" s="273"/>
      <c r="AM4" s="273"/>
      <c r="AN4" s="9">
        <f t="shared" ref="AN4:AN53" si="10">H4*30000</f>
        <v>155799</v>
      </c>
      <c r="AO4" s="273"/>
      <c r="AP4" s="273"/>
      <c r="AQ4" s="9">
        <f t="shared" ref="AQ4:AQ53" si="11">I4*30000</f>
        <v>935954.99999999988</v>
      </c>
      <c r="AR4" s="273"/>
      <c r="AS4" s="39"/>
      <c r="AT4" s="273"/>
    </row>
    <row r="5" spans="1:46" ht="12.75">
      <c r="A5" s="161">
        <v>43811</v>
      </c>
      <c r="B5" s="273"/>
      <c r="C5" s="273"/>
      <c r="D5" s="273"/>
      <c r="E5" s="273"/>
      <c r="F5" s="273"/>
      <c r="G5" s="273"/>
      <c r="H5" s="273"/>
      <c r="I5" s="2">
        <f t="shared" si="0"/>
        <v>0</v>
      </c>
      <c r="J5" s="17"/>
      <c r="K5" s="10"/>
      <c r="L5" s="10"/>
      <c r="M5" s="10"/>
      <c r="N5" s="10"/>
      <c r="O5" s="10"/>
      <c r="P5" s="10"/>
      <c r="Q5" s="10"/>
      <c r="R5" s="2">
        <f t="shared" si="1"/>
        <v>0</v>
      </c>
      <c r="S5" s="35">
        <f t="shared" si="2"/>
        <v>0</v>
      </c>
      <c r="T5" s="35">
        <f t="shared" si="3"/>
        <v>0</v>
      </c>
      <c r="U5" s="273"/>
      <c r="V5" s="9">
        <f t="shared" si="4"/>
        <v>0</v>
      </c>
      <c r="W5" s="273"/>
      <c r="X5" s="273"/>
      <c r="Y5" s="9">
        <f t="shared" si="5"/>
        <v>0</v>
      </c>
      <c r="Z5" s="273"/>
      <c r="AA5" s="273"/>
      <c r="AB5" s="9">
        <f t="shared" si="6"/>
        <v>0</v>
      </c>
      <c r="AC5" s="273"/>
      <c r="AD5" s="273"/>
      <c r="AE5" s="9">
        <f t="shared" si="7"/>
        <v>0</v>
      </c>
      <c r="AF5" s="273"/>
      <c r="AG5" s="273"/>
      <c r="AH5" s="9">
        <f t="shared" si="8"/>
        <v>0</v>
      </c>
      <c r="AI5" s="273"/>
      <c r="AJ5" s="273"/>
      <c r="AK5" s="9">
        <f t="shared" si="9"/>
        <v>0</v>
      </c>
      <c r="AL5" s="273"/>
      <c r="AM5" s="273"/>
      <c r="AN5" s="9">
        <f t="shared" si="10"/>
        <v>0</v>
      </c>
      <c r="AO5" s="273"/>
      <c r="AP5" s="273"/>
      <c r="AQ5" s="9">
        <f t="shared" si="11"/>
        <v>0</v>
      </c>
      <c r="AR5" s="273"/>
      <c r="AS5" s="39"/>
      <c r="AT5" s="273"/>
    </row>
    <row r="6" spans="1:46" ht="12.75">
      <c r="A6" s="161">
        <v>43812</v>
      </c>
      <c r="B6" s="48">
        <v>0.89710000000000001</v>
      </c>
      <c r="C6" s="273"/>
      <c r="D6" s="273"/>
      <c r="E6" s="273"/>
      <c r="F6" s="48">
        <v>1.0326</v>
      </c>
      <c r="G6" s="48">
        <v>1.2485999999999999</v>
      </c>
      <c r="H6" s="48">
        <v>4.7737999999999996</v>
      </c>
      <c r="I6" s="2">
        <f t="shared" si="0"/>
        <v>7.9520999999999997</v>
      </c>
      <c r="J6" s="17"/>
      <c r="K6" s="10"/>
      <c r="L6" s="10">
        <v>320</v>
      </c>
      <c r="M6" s="10">
        <f>21+7+10</f>
        <v>38</v>
      </c>
      <c r="N6" s="10"/>
      <c r="O6" s="10"/>
      <c r="P6" s="10"/>
      <c r="Q6" s="10">
        <f>24+42+24</f>
        <v>90</v>
      </c>
      <c r="R6" s="2">
        <f t="shared" si="1"/>
        <v>448</v>
      </c>
      <c r="S6" s="35">
        <f t="shared" si="2"/>
        <v>11.44192</v>
      </c>
      <c r="T6" s="35">
        <f t="shared" si="3"/>
        <v>19.394019999999998</v>
      </c>
      <c r="U6" s="273"/>
      <c r="V6" s="9">
        <f t="shared" si="4"/>
        <v>26913</v>
      </c>
      <c r="W6" s="273"/>
      <c r="X6" s="273"/>
      <c r="Y6" s="9">
        <f t="shared" si="5"/>
        <v>0</v>
      </c>
      <c r="Z6" s="273"/>
      <c r="AA6" s="273"/>
      <c r="AB6" s="9">
        <f t="shared" si="6"/>
        <v>0</v>
      </c>
      <c r="AC6" s="273"/>
      <c r="AD6" s="273"/>
      <c r="AE6" s="9">
        <f t="shared" si="7"/>
        <v>0</v>
      </c>
      <c r="AF6" s="273"/>
      <c r="AG6" s="273"/>
      <c r="AH6" s="9">
        <f t="shared" si="8"/>
        <v>30978</v>
      </c>
      <c r="AI6" s="273"/>
      <c r="AJ6" s="273"/>
      <c r="AK6" s="9">
        <f t="shared" si="9"/>
        <v>37458</v>
      </c>
      <c r="AL6" s="273"/>
      <c r="AM6" s="273"/>
      <c r="AN6" s="9">
        <f t="shared" si="10"/>
        <v>143214</v>
      </c>
      <c r="AO6" s="273"/>
      <c r="AP6" s="273"/>
      <c r="AQ6" s="9">
        <f t="shared" si="11"/>
        <v>238563</v>
      </c>
      <c r="AR6" s="273"/>
      <c r="AS6" s="39"/>
      <c r="AT6" s="273"/>
    </row>
    <row r="7" spans="1:46" ht="12.75">
      <c r="A7" s="161">
        <v>43813</v>
      </c>
      <c r="B7" s="273"/>
      <c r="C7" s="273"/>
      <c r="D7" s="273"/>
      <c r="E7" s="273"/>
      <c r="F7" s="273"/>
      <c r="G7" s="273"/>
      <c r="H7" s="273"/>
      <c r="I7" s="2">
        <f t="shared" si="0"/>
        <v>0</v>
      </c>
      <c r="J7" s="17"/>
      <c r="K7" s="10"/>
      <c r="L7" s="10"/>
      <c r="M7" s="10"/>
      <c r="N7" s="10"/>
      <c r="O7" s="10"/>
      <c r="P7" s="10"/>
      <c r="Q7" s="10"/>
      <c r="R7" s="2">
        <f t="shared" si="1"/>
        <v>0</v>
      </c>
      <c r="S7" s="35">
        <f t="shared" si="2"/>
        <v>0</v>
      </c>
      <c r="T7" s="35">
        <f t="shared" si="3"/>
        <v>0</v>
      </c>
      <c r="U7" s="273"/>
      <c r="V7" s="9">
        <f t="shared" si="4"/>
        <v>0</v>
      </c>
      <c r="W7" s="273"/>
      <c r="X7" s="273"/>
      <c r="Y7" s="9">
        <f t="shared" si="5"/>
        <v>0</v>
      </c>
      <c r="Z7" s="273"/>
      <c r="AA7" s="273"/>
      <c r="AB7" s="9">
        <f t="shared" si="6"/>
        <v>0</v>
      </c>
      <c r="AC7" s="273"/>
      <c r="AD7" s="273"/>
      <c r="AE7" s="9">
        <f t="shared" si="7"/>
        <v>0</v>
      </c>
      <c r="AF7" s="273"/>
      <c r="AG7" s="273"/>
      <c r="AH7" s="9">
        <f t="shared" si="8"/>
        <v>0</v>
      </c>
      <c r="AI7" s="273"/>
      <c r="AJ7" s="273"/>
      <c r="AK7" s="9">
        <f t="shared" si="9"/>
        <v>0</v>
      </c>
      <c r="AL7" s="273"/>
      <c r="AM7" s="273"/>
      <c r="AN7" s="9">
        <f t="shared" si="10"/>
        <v>0</v>
      </c>
      <c r="AO7" s="273"/>
      <c r="AP7" s="273"/>
      <c r="AQ7" s="9">
        <f t="shared" si="11"/>
        <v>0</v>
      </c>
      <c r="AR7" s="273"/>
      <c r="AS7" s="39"/>
      <c r="AT7" s="273"/>
    </row>
    <row r="8" spans="1:46" ht="12.75">
      <c r="A8" s="161">
        <v>43814</v>
      </c>
      <c r="B8" s="273"/>
      <c r="C8" s="273"/>
      <c r="D8" s="273"/>
      <c r="E8" s="273"/>
      <c r="F8" s="273"/>
      <c r="G8" s="273"/>
      <c r="H8" s="273"/>
      <c r="I8" s="2">
        <f t="shared" si="0"/>
        <v>0</v>
      </c>
      <c r="J8" s="17"/>
      <c r="K8" s="10"/>
      <c r="L8" s="10"/>
      <c r="M8" s="10"/>
      <c r="N8" s="10"/>
      <c r="O8" s="10"/>
      <c r="P8" s="10"/>
      <c r="Q8" s="10"/>
      <c r="R8" s="2">
        <f t="shared" si="1"/>
        <v>0</v>
      </c>
      <c r="S8" s="35">
        <f t="shared" si="2"/>
        <v>0</v>
      </c>
      <c r="T8" s="35">
        <f t="shared" si="3"/>
        <v>0</v>
      </c>
      <c r="U8" s="273"/>
      <c r="V8" s="9">
        <f t="shared" si="4"/>
        <v>0</v>
      </c>
      <c r="W8" s="273"/>
      <c r="X8" s="273"/>
      <c r="Y8" s="9">
        <f t="shared" si="5"/>
        <v>0</v>
      </c>
      <c r="Z8" s="273"/>
      <c r="AA8" s="273"/>
      <c r="AB8" s="9">
        <f t="shared" si="6"/>
        <v>0</v>
      </c>
      <c r="AC8" s="273"/>
      <c r="AD8" s="273"/>
      <c r="AE8" s="9">
        <f t="shared" si="7"/>
        <v>0</v>
      </c>
      <c r="AF8" s="273"/>
      <c r="AG8" s="273"/>
      <c r="AH8" s="9">
        <f t="shared" si="8"/>
        <v>0</v>
      </c>
      <c r="AI8" s="273"/>
      <c r="AJ8" s="273"/>
      <c r="AK8" s="9">
        <f t="shared" si="9"/>
        <v>0</v>
      </c>
      <c r="AL8" s="273"/>
      <c r="AM8" s="273"/>
      <c r="AN8" s="9">
        <f t="shared" si="10"/>
        <v>0</v>
      </c>
      <c r="AO8" s="273"/>
      <c r="AP8" s="273"/>
      <c r="AQ8" s="9">
        <f t="shared" si="11"/>
        <v>0</v>
      </c>
      <c r="AR8" s="273"/>
      <c r="AS8" s="39"/>
      <c r="AT8" s="273"/>
    </row>
    <row r="9" spans="1:46" ht="12.75">
      <c r="A9" s="161">
        <v>43815</v>
      </c>
      <c r="B9" s="48">
        <v>1.7563</v>
      </c>
      <c r="C9" s="273"/>
      <c r="D9" s="48">
        <v>4.0849000000000002</v>
      </c>
      <c r="E9" s="48">
        <v>7.4215</v>
      </c>
      <c r="F9" s="48">
        <f>1.7238+0.4606</f>
        <v>2.1844000000000001</v>
      </c>
      <c r="G9" s="48">
        <v>1.9643999999999999</v>
      </c>
      <c r="H9" s="48">
        <v>3.3521000000000001</v>
      </c>
      <c r="I9" s="2">
        <f t="shared" si="0"/>
        <v>20.7636</v>
      </c>
      <c r="J9" s="17"/>
      <c r="K9" s="10"/>
      <c r="L9" s="10">
        <v>291</v>
      </c>
      <c r="M9" s="10"/>
      <c r="N9" s="10"/>
      <c r="O9" s="10"/>
      <c r="P9" s="10"/>
      <c r="Q9" s="10"/>
      <c r="R9" s="2">
        <f t="shared" si="1"/>
        <v>291</v>
      </c>
      <c r="S9" s="35">
        <f t="shared" si="2"/>
        <v>7.4321400000000004</v>
      </c>
      <c r="T9" s="35">
        <f t="shared" si="3"/>
        <v>28.195740000000001</v>
      </c>
      <c r="U9" s="273"/>
      <c r="V9" s="9">
        <f t="shared" si="4"/>
        <v>52689</v>
      </c>
      <c r="W9" s="273"/>
      <c r="X9" s="273"/>
      <c r="Y9" s="9">
        <f t="shared" si="5"/>
        <v>0</v>
      </c>
      <c r="Z9" s="273"/>
      <c r="AA9" s="273"/>
      <c r="AB9" s="9">
        <f t="shared" si="6"/>
        <v>122547</v>
      </c>
      <c r="AC9" s="273"/>
      <c r="AD9" s="273"/>
      <c r="AE9" s="9">
        <f t="shared" si="7"/>
        <v>222645</v>
      </c>
      <c r="AF9" s="273"/>
      <c r="AG9" s="273"/>
      <c r="AH9" s="9">
        <f t="shared" si="8"/>
        <v>65532</v>
      </c>
      <c r="AI9" s="273"/>
      <c r="AJ9" s="273"/>
      <c r="AK9" s="9">
        <f t="shared" si="9"/>
        <v>58932</v>
      </c>
      <c r="AL9" s="273"/>
      <c r="AM9" s="273"/>
      <c r="AN9" s="9">
        <f t="shared" si="10"/>
        <v>100563</v>
      </c>
      <c r="AO9" s="273"/>
      <c r="AP9" s="273"/>
      <c r="AQ9" s="9">
        <f t="shared" si="11"/>
        <v>622908</v>
      </c>
      <c r="AR9" s="273"/>
      <c r="AS9" s="39"/>
      <c r="AT9" s="273"/>
    </row>
    <row r="10" spans="1:46" ht="12.75">
      <c r="A10" s="161">
        <v>43817</v>
      </c>
      <c r="B10" s="48">
        <v>2.9702000000000002</v>
      </c>
      <c r="C10" s="35">
        <f>0.9736+0.2067+1.0009+4.0168+3.2603+1.5822+0.3754</f>
        <v>11.415900000000001</v>
      </c>
      <c r="D10" s="48">
        <v>0.57999999999999996</v>
      </c>
      <c r="E10" s="48">
        <v>1.3611</v>
      </c>
      <c r="F10" s="48">
        <v>1.63</v>
      </c>
      <c r="G10" s="48">
        <v>3.04E-2</v>
      </c>
      <c r="H10" s="48">
        <v>0.76070000000000004</v>
      </c>
      <c r="I10" s="2">
        <f t="shared" si="0"/>
        <v>18.7483</v>
      </c>
      <c r="J10" s="17"/>
      <c r="K10" s="10"/>
      <c r="L10" s="10"/>
      <c r="M10" s="10"/>
      <c r="N10" s="10"/>
      <c r="O10" s="10"/>
      <c r="P10" s="10"/>
      <c r="Q10" s="10"/>
      <c r="R10" s="2">
        <f t="shared" si="1"/>
        <v>0</v>
      </c>
      <c r="S10" s="35">
        <f t="shared" si="2"/>
        <v>0</v>
      </c>
      <c r="T10" s="35">
        <f t="shared" si="3"/>
        <v>18.7483</v>
      </c>
      <c r="U10" s="273"/>
      <c r="V10" s="9">
        <f t="shared" si="4"/>
        <v>89106</v>
      </c>
      <c r="W10" s="273"/>
      <c r="X10" s="273"/>
      <c r="Y10" s="9">
        <f t="shared" si="5"/>
        <v>342477</v>
      </c>
      <c r="Z10" s="273"/>
      <c r="AA10" s="273"/>
      <c r="AB10" s="9">
        <f t="shared" si="6"/>
        <v>17400</v>
      </c>
      <c r="AC10" s="273"/>
      <c r="AD10" s="273"/>
      <c r="AE10" s="9">
        <f t="shared" si="7"/>
        <v>40833</v>
      </c>
      <c r="AF10" s="273"/>
      <c r="AG10" s="273"/>
      <c r="AH10" s="9">
        <f t="shared" si="8"/>
        <v>48900</v>
      </c>
      <c r="AI10" s="273"/>
      <c r="AJ10" s="273"/>
      <c r="AK10" s="9">
        <f t="shared" si="9"/>
        <v>912</v>
      </c>
      <c r="AL10" s="273"/>
      <c r="AM10" s="273"/>
      <c r="AN10" s="9">
        <f t="shared" si="10"/>
        <v>22821</v>
      </c>
      <c r="AO10" s="273"/>
      <c r="AP10" s="273"/>
      <c r="AQ10" s="9">
        <f t="shared" si="11"/>
        <v>562449</v>
      </c>
      <c r="AR10" s="273"/>
      <c r="AS10" s="39"/>
      <c r="AT10" s="273"/>
    </row>
    <row r="11" spans="1:46" ht="12.75">
      <c r="A11" s="161">
        <v>43819</v>
      </c>
      <c r="B11" s="48">
        <f>4.4209-2.0842</f>
        <v>2.3366999999999996</v>
      </c>
      <c r="C11" s="273"/>
      <c r="D11" s="48">
        <v>0.68669999999999998</v>
      </c>
      <c r="E11" s="35">
        <f>4.0511-1.9382</f>
        <v>2.1128999999999998</v>
      </c>
      <c r="F11" s="35">
        <f>7.4256-1.6912</f>
        <v>5.7343999999999999</v>
      </c>
      <c r="G11" s="273"/>
      <c r="H11" s="35">
        <f>3.1542-1.8581</f>
        <v>1.2960999999999998</v>
      </c>
      <c r="I11" s="2">
        <f t="shared" si="0"/>
        <v>12.166799999999999</v>
      </c>
      <c r="J11" s="17"/>
      <c r="K11" s="10"/>
      <c r="L11" s="10">
        <v>356</v>
      </c>
      <c r="M11" s="10"/>
      <c r="N11" s="10"/>
      <c r="O11" s="10"/>
      <c r="P11" s="10"/>
      <c r="Q11" s="10"/>
      <c r="R11" s="2">
        <f t="shared" si="1"/>
        <v>356</v>
      </c>
      <c r="S11" s="35">
        <f t="shared" si="2"/>
        <v>9.0922400000000003</v>
      </c>
      <c r="T11" s="35">
        <f t="shared" si="3"/>
        <v>21.259039999999999</v>
      </c>
      <c r="U11" s="273"/>
      <c r="V11" s="9">
        <f t="shared" si="4"/>
        <v>70100.999999999985</v>
      </c>
      <c r="W11" s="273"/>
      <c r="X11" s="273"/>
      <c r="Y11" s="9">
        <f t="shared" si="5"/>
        <v>0</v>
      </c>
      <c r="Z11" s="273"/>
      <c r="AA11" s="273"/>
      <c r="AB11" s="9">
        <f t="shared" si="6"/>
        <v>20601</v>
      </c>
      <c r="AC11" s="273"/>
      <c r="AD11" s="273"/>
      <c r="AE11" s="9">
        <f t="shared" si="7"/>
        <v>63386.999999999993</v>
      </c>
      <c r="AF11" s="273"/>
      <c r="AG11" s="273"/>
      <c r="AH11" s="9">
        <f t="shared" si="8"/>
        <v>172032</v>
      </c>
      <c r="AI11" s="273"/>
      <c r="AJ11" s="273"/>
      <c r="AK11" s="9">
        <f t="shared" si="9"/>
        <v>0</v>
      </c>
      <c r="AL11" s="273"/>
      <c r="AM11" s="273"/>
      <c r="AN11" s="9">
        <f t="shared" si="10"/>
        <v>38882.999999999993</v>
      </c>
      <c r="AO11" s="273"/>
      <c r="AP11" s="273"/>
      <c r="AQ11" s="9">
        <f t="shared" si="11"/>
        <v>365003.99999999994</v>
      </c>
      <c r="AR11" s="273"/>
      <c r="AS11" s="39"/>
      <c r="AT11" s="273"/>
    </row>
    <row r="12" spans="1:46" ht="12.75">
      <c r="A12" s="161">
        <v>43822</v>
      </c>
      <c r="B12" s="35">
        <f>9.0042-1.8713</f>
        <v>7.1329000000000011</v>
      </c>
      <c r="C12" s="35">
        <f>55.3044-44.908</f>
        <v>10.3964</v>
      </c>
      <c r="D12" s="35">
        <f>3.2918-1.8811</f>
        <v>1.4106999999999998</v>
      </c>
      <c r="E12" s="48">
        <f>4.2697-1.9077</f>
        <v>2.3620000000000001</v>
      </c>
      <c r="F12" s="48">
        <f>8.8945-1.9458</f>
        <v>6.9487000000000005</v>
      </c>
      <c r="G12" s="273"/>
      <c r="H12" s="48">
        <f>9.7718-1.7943</f>
        <v>7.9775000000000009</v>
      </c>
      <c r="I12" s="2">
        <f t="shared" si="0"/>
        <v>36.228200000000001</v>
      </c>
      <c r="J12" s="17"/>
      <c r="K12" s="10"/>
      <c r="L12" s="10"/>
      <c r="M12" s="10"/>
      <c r="N12" s="10"/>
      <c r="O12" s="10"/>
      <c r="P12" s="10"/>
      <c r="Q12" s="10"/>
      <c r="R12" s="2">
        <f t="shared" si="1"/>
        <v>0</v>
      </c>
      <c r="S12" s="35">
        <f t="shared" si="2"/>
        <v>0</v>
      </c>
      <c r="T12" s="35">
        <f t="shared" si="3"/>
        <v>36.228200000000001</v>
      </c>
      <c r="U12" s="273"/>
      <c r="V12" s="9">
        <f t="shared" si="4"/>
        <v>213987.00000000003</v>
      </c>
      <c r="W12" s="273"/>
      <c r="X12" s="273"/>
      <c r="Y12" s="9">
        <f t="shared" si="5"/>
        <v>311892</v>
      </c>
      <c r="Z12" s="273"/>
      <c r="AA12" s="273"/>
      <c r="AB12" s="9">
        <f t="shared" si="6"/>
        <v>42320.999999999993</v>
      </c>
      <c r="AC12" s="273"/>
      <c r="AD12" s="273"/>
      <c r="AE12" s="9">
        <f t="shared" si="7"/>
        <v>70860</v>
      </c>
      <c r="AF12" s="273"/>
      <c r="AG12" s="273"/>
      <c r="AH12" s="9">
        <f t="shared" si="8"/>
        <v>208461.00000000003</v>
      </c>
      <c r="AI12" s="273"/>
      <c r="AJ12" s="273"/>
      <c r="AK12" s="9">
        <f t="shared" si="9"/>
        <v>0</v>
      </c>
      <c r="AL12" s="273"/>
      <c r="AM12" s="273"/>
      <c r="AN12" s="9">
        <f t="shared" si="10"/>
        <v>239325.00000000003</v>
      </c>
      <c r="AO12" s="273"/>
      <c r="AP12" s="273"/>
      <c r="AQ12" s="9">
        <f t="shared" si="11"/>
        <v>1086846</v>
      </c>
      <c r="AR12" s="273"/>
      <c r="AS12" s="39"/>
      <c r="AT12" s="273"/>
    </row>
    <row r="13" spans="1:46" ht="12.75">
      <c r="A13" s="161">
        <v>43823</v>
      </c>
      <c r="B13" s="273"/>
      <c r="C13" s="48"/>
      <c r="D13" s="273"/>
      <c r="E13" s="48">
        <f>2.7228-1.9873</f>
        <v>0.73549999999999982</v>
      </c>
      <c r="F13" s="273"/>
      <c r="G13" s="273"/>
      <c r="H13" s="48">
        <f>5.9476-1.9717</f>
        <v>3.9759000000000002</v>
      </c>
      <c r="I13" s="2">
        <f t="shared" si="0"/>
        <v>4.7114000000000003</v>
      </c>
      <c r="J13" s="17"/>
      <c r="K13" s="10"/>
      <c r="L13" s="10"/>
      <c r="M13" s="10"/>
      <c r="N13" s="10"/>
      <c r="O13" s="10"/>
      <c r="P13" s="10"/>
      <c r="Q13" s="10"/>
      <c r="R13" s="2">
        <f t="shared" si="1"/>
        <v>0</v>
      </c>
      <c r="S13" s="35">
        <f t="shared" si="2"/>
        <v>0</v>
      </c>
      <c r="T13" s="35">
        <f t="shared" si="3"/>
        <v>4.7114000000000003</v>
      </c>
      <c r="U13" s="273"/>
      <c r="V13" s="9">
        <f t="shared" si="4"/>
        <v>0</v>
      </c>
      <c r="W13" s="273"/>
      <c r="X13" s="273"/>
      <c r="Y13" s="9">
        <f t="shared" si="5"/>
        <v>0</v>
      </c>
      <c r="Z13" s="273"/>
      <c r="AA13" s="273"/>
      <c r="AB13" s="9">
        <f t="shared" si="6"/>
        <v>0</v>
      </c>
      <c r="AC13" s="273"/>
      <c r="AD13" s="273"/>
      <c r="AE13" s="9">
        <f t="shared" si="7"/>
        <v>22064.999999999996</v>
      </c>
      <c r="AF13" s="273"/>
      <c r="AG13" s="273"/>
      <c r="AH13" s="9">
        <f t="shared" si="8"/>
        <v>0</v>
      </c>
      <c r="AI13" s="273"/>
      <c r="AJ13" s="273"/>
      <c r="AK13" s="9">
        <f t="shared" si="9"/>
        <v>0</v>
      </c>
      <c r="AL13" s="273"/>
      <c r="AM13" s="273"/>
      <c r="AN13" s="9">
        <f t="shared" si="10"/>
        <v>119277</v>
      </c>
      <c r="AO13" s="273"/>
      <c r="AP13" s="273"/>
      <c r="AQ13" s="9">
        <f t="shared" si="11"/>
        <v>141342</v>
      </c>
      <c r="AR13" s="273"/>
      <c r="AS13" s="39"/>
      <c r="AT13" s="273"/>
    </row>
    <row r="14" spans="1:46" ht="12.75">
      <c r="A14" s="161">
        <v>43825</v>
      </c>
      <c r="B14" s="35">
        <f>8.6345-1.9281</f>
        <v>6.7063999999999995</v>
      </c>
      <c r="C14" s="35">
        <f>0.7172-1.9918+0.8194+0.7258-0.4634+1.1544-0.4765+0.8138-0.4991+1.1964+9.94</f>
        <v>11.936199999999999</v>
      </c>
      <c r="D14" s="35">
        <f>4.2049-1.7881</f>
        <v>2.4168000000000003</v>
      </c>
      <c r="E14" s="35">
        <f>7.567-1.8525</f>
        <v>5.7145000000000001</v>
      </c>
      <c r="F14" s="35">
        <f>6.9908-1.8117</f>
        <v>5.1791</v>
      </c>
      <c r="G14" s="273"/>
      <c r="H14" s="35">
        <f>12.0368-1.8829</f>
        <v>10.1539</v>
      </c>
      <c r="I14" s="2">
        <f t="shared" si="0"/>
        <v>42.106899999999996</v>
      </c>
      <c r="J14" s="17"/>
      <c r="K14" s="10"/>
      <c r="L14" s="10"/>
      <c r="M14" s="10"/>
      <c r="N14" s="10"/>
      <c r="O14" s="10"/>
      <c r="P14" s="10"/>
      <c r="Q14" s="10"/>
      <c r="R14" s="2">
        <f t="shared" si="1"/>
        <v>0</v>
      </c>
      <c r="S14" s="35">
        <f t="shared" si="2"/>
        <v>0</v>
      </c>
      <c r="T14" s="35">
        <f t="shared" si="3"/>
        <v>42.106899999999996</v>
      </c>
      <c r="U14" s="273"/>
      <c r="V14" s="9">
        <f t="shared" si="4"/>
        <v>201191.99999999997</v>
      </c>
      <c r="W14" s="273"/>
      <c r="X14" s="273"/>
      <c r="Y14" s="9">
        <f t="shared" si="5"/>
        <v>358086</v>
      </c>
      <c r="Z14" s="273"/>
      <c r="AA14" s="273"/>
      <c r="AB14" s="9">
        <f t="shared" si="6"/>
        <v>72504.000000000015</v>
      </c>
      <c r="AC14" s="273"/>
      <c r="AD14" s="273"/>
      <c r="AE14" s="9">
        <f t="shared" si="7"/>
        <v>171435</v>
      </c>
      <c r="AF14" s="273"/>
      <c r="AG14" s="273"/>
      <c r="AH14" s="9">
        <f t="shared" si="8"/>
        <v>155373</v>
      </c>
      <c r="AI14" s="273"/>
      <c r="AJ14" s="273"/>
      <c r="AK14" s="9">
        <f t="shared" si="9"/>
        <v>0</v>
      </c>
      <c r="AL14" s="273"/>
      <c r="AM14" s="273"/>
      <c r="AN14" s="9">
        <f t="shared" si="10"/>
        <v>304617</v>
      </c>
      <c r="AO14" s="273"/>
      <c r="AP14" s="273"/>
      <c r="AQ14" s="9">
        <f t="shared" si="11"/>
        <v>1263206.9999999998</v>
      </c>
      <c r="AR14" s="273"/>
      <c r="AS14" s="39"/>
      <c r="AT14" s="273"/>
    </row>
    <row r="15" spans="1:46" ht="12.75">
      <c r="A15" s="161">
        <v>43826</v>
      </c>
      <c r="B15" s="35">
        <f>4.972-1.8224</f>
        <v>3.1496000000000004</v>
      </c>
      <c r="C15" s="35">
        <f>58.3157-53.1642</f>
        <v>5.1514999999999986</v>
      </c>
      <c r="D15" s="273"/>
      <c r="E15" s="35">
        <f>3.9079-1.9538</f>
        <v>1.9541000000000002</v>
      </c>
      <c r="F15" s="35">
        <f>3.5804-1.7235</f>
        <v>1.8569</v>
      </c>
      <c r="G15" s="273"/>
      <c r="H15" s="35">
        <f>4.6422-1.8956</f>
        <v>2.7465999999999999</v>
      </c>
      <c r="I15" s="2">
        <f>SUM(C15:H15)</f>
        <v>11.709099999999999</v>
      </c>
      <c r="J15" s="17"/>
      <c r="K15" s="10"/>
      <c r="L15" s="10"/>
      <c r="M15" s="10"/>
      <c r="N15" s="10"/>
      <c r="O15" s="10"/>
      <c r="P15" s="10"/>
      <c r="Q15" s="10"/>
      <c r="R15" s="2">
        <f t="shared" si="1"/>
        <v>0</v>
      </c>
      <c r="S15" s="35">
        <f t="shared" si="2"/>
        <v>0</v>
      </c>
      <c r="T15" s="35">
        <f t="shared" si="3"/>
        <v>11.709099999999999</v>
      </c>
      <c r="U15" s="273"/>
      <c r="V15" s="9">
        <f t="shared" si="4"/>
        <v>94488.000000000015</v>
      </c>
      <c r="W15" s="273"/>
      <c r="X15" s="273"/>
      <c r="Y15" s="9">
        <f t="shared" si="5"/>
        <v>154544.99999999997</v>
      </c>
      <c r="Z15" s="273"/>
      <c r="AA15" s="273"/>
      <c r="AB15" s="9">
        <f t="shared" si="6"/>
        <v>0</v>
      </c>
      <c r="AC15" s="273"/>
      <c r="AD15" s="273"/>
      <c r="AE15" s="9">
        <f t="shared" si="7"/>
        <v>58623.000000000007</v>
      </c>
      <c r="AF15" s="273"/>
      <c r="AG15" s="273"/>
      <c r="AH15" s="9">
        <f t="shared" si="8"/>
        <v>55707</v>
      </c>
      <c r="AI15" s="273"/>
      <c r="AJ15" s="273"/>
      <c r="AK15" s="9">
        <f t="shared" si="9"/>
        <v>0</v>
      </c>
      <c r="AL15" s="273"/>
      <c r="AM15" s="273"/>
      <c r="AN15" s="9">
        <f t="shared" si="10"/>
        <v>82398</v>
      </c>
      <c r="AO15" s="273"/>
      <c r="AP15" s="273"/>
      <c r="AQ15" s="9">
        <f t="shared" si="11"/>
        <v>351273</v>
      </c>
      <c r="AR15" s="273"/>
      <c r="AS15" s="39"/>
      <c r="AT15" s="273"/>
    </row>
    <row r="16" spans="1:46" ht="12.75">
      <c r="A16" s="161">
        <v>43829</v>
      </c>
      <c r="B16" s="35">
        <f>(11.5431-1.9077)+(12.6324-1.9384)</f>
        <v>20.3294</v>
      </c>
      <c r="C16" s="48">
        <f>61.1896-51.147</f>
        <v>10.0426</v>
      </c>
      <c r="D16" s="35">
        <f>5.2806-2.0435</f>
        <v>3.2370999999999999</v>
      </c>
      <c r="E16" s="35">
        <f>(9.9588-1.7054)+(10.4397-1.7794)</f>
        <v>16.913699999999999</v>
      </c>
      <c r="F16" s="35">
        <f>6.7566-1.9372</f>
        <v>4.8193999999999999</v>
      </c>
      <c r="G16" s="273"/>
      <c r="H16" s="35">
        <f>9.9942-1.6361</f>
        <v>8.3580999999999985</v>
      </c>
      <c r="I16" s="2">
        <f t="shared" ref="I16:I26" si="12">SUM(B16:H16)</f>
        <v>63.700299999999999</v>
      </c>
      <c r="J16" s="17"/>
      <c r="K16" s="10"/>
      <c r="L16" s="10"/>
      <c r="M16" s="10"/>
      <c r="N16" s="10"/>
      <c r="O16" s="10"/>
      <c r="P16" s="10"/>
      <c r="Q16" s="10"/>
      <c r="R16" s="2">
        <f t="shared" si="1"/>
        <v>0</v>
      </c>
      <c r="S16" s="35">
        <f t="shared" si="2"/>
        <v>0</v>
      </c>
      <c r="T16" s="35">
        <f t="shared" si="3"/>
        <v>63.700299999999999</v>
      </c>
      <c r="U16" s="273"/>
      <c r="V16" s="9">
        <f t="shared" si="4"/>
        <v>609882</v>
      </c>
      <c r="W16" s="273"/>
      <c r="X16" s="273"/>
      <c r="Y16" s="9">
        <f t="shared" si="5"/>
        <v>301278</v>
      </c>
      <c r="Z16" s="273"/>
      <c r="AA16" s="273"/>
      <c r="AB16" s="9">
        <f t="shared" si="6"/>
        <v>97113</v>
      </c>
      <c r="AC16" s="273"/>
      <c r="AD16" s="273"/>
      <c r="AE16" s="9">
        <f t="shared" si="7"/>
        <v>507410.99999999994</v>
      </c>
      <c r="AF16" s="273"/>
      <c r="AG16" s="273"/>
      <c r="AH16" s="9">
        <f t="shared" si="8"/>
        <v>144582</v>
      </c>
      <c r="AI16" s="273"/>
      <c r="AJ16" s="273"/>
      <c r="AK16" s="9">
        <f t="shared" si="9"/>
        <v>0</v>
      </c>
      <c r="AL16" s="273"/>
      <c r="AM16" s="273"/>
      <c r="AN16" s="9">
        <f t="shared" si="10"/>
        <v>250742.99999999994</v>
      </c>
      <c r="AO16" s="273"/>
      <c r="AP16" s="273"/>
      <c r="AQ16" s="9">
        <f t="shared" si="11"/>
        <v>1911009</v>
      </c>
      <c r="AR16" s="273"/>
      <c r="AS16" s="39"/>
      <c r="AT16" s="273"/>
    </row>
    <row r="17" spans="1:45" ht="12.75">
      <c r="A17" s="161">
        <v>43832</v>
      </c>
      <c r="B17" s="35">
        <f>9.2795+5.2301+7.9552</f>
        <v>22.4648</v>
      </c>
      <c r="C17" s="48">
        <f>56.6012-49.9267</f>
        <v>6.6745000000000019</v>
      </c>
      <c r="D17" s="48">
        <f>3.6265+0.3</f>
        <v>3.9264999999999999</v>
      </c>
      <c r="E17" s="35">
        <f>6.5139+5.6099</f>
        <v>12.123799999999999</v>
      </c>
      <c r="F17" s="48">
        <v>1.8321000000000001</v>
      </c>
      <c r="G17" s="48">
        <v>0.37190000000000001</v>
      </c>
      <c r="H17" s="48">
        <v>2.5133000000000001</v>
      </c>
      <c r="I17" s="2">
        <f t="shared" si="12"/>
        <v>49.906899999999993</v>
      </c>
      <c r="J17" s="17"/>
      <c r="K17" s="10"/>
      <c r="L17" s="10"/>
      <c r="M17" s="10"/>
      <c r="N17" s="10"/>
      <c r="O17" s="10"/>
      <c r="P17" s="10"/>
      <c r="Q17" s="10"/>
      <c r="R17" s="2">
        <f t="shared" si="1"/>
        <v>0</v>
      </c>
      <c r="S17" s="35">
        <f t="shared" si="2"/>
        <v>0</v>
      </c>
      <c r="T17" s="35">
        <f t="shared" si="3"/>
        <v>49.906899999999993</v>
      </c>
      <c r="U17" s="273"/>
      <c r="V17" s="9">
        <f t="shared" si="4"/>
        <v>673944</v>
      </c>
      <c r="W17" s="273"/>
      <c r="X17" s="273"/>
      <c r="Y17" s="9">
        <f t="shared" si="5"/>
        <v>200235.00000000006</v>
      </c>
      <c r="Z17" s="273"/>
      <c r="AA17" s="273"/>
      <c r="AB17" s="9">
        <f t="shared" si="6"/>
        <v>117795</v>
      </c>
      <c r="AC17" s="273"/>
      <c r="AD17" s="273"/>
      <c r="AE17" s="9">
        <f t="shared" si="7"/>
        <v>363714</v>
      </c>
      <c r="AF17" s="273"/>
      <c r="AG17" s="273"/>
      <c r="AH17" s="9">
        <f t="shared" si="8"/>
        <v>54963</v>
      </c>
      <c r="AI17" s="273"/>
      <c r="AJ17" s="273"/>
      <c r="AK17" s="9">
        <f t="shared" si="9"/>
        <v>11157</v>
      </c>
      <c r="AL17" s="273"/>
      <c r="AM17" s="273"/>
      <c r="AN17" s="9">
        <f t="shared" si="10"/>
        <v>75399</v>
      </c>
      <c r="AO17" s="273"/>
      <c r="AP17" s="273"/>
      <c r="AQ17" s="9">
        <f t="shared" si="11"/>
        <v>1497206.9999999998</v>
      </c>
      <c r="AR17" s="273"/>
      <c r="AS17" s="39"/>
    </row>
    <row r="18" spans="1:45" ht="12.75">
      <c r="A18" s="161">
        <v>43833</v>
      </c>
      <c r="B18" s="35">
        <f>6.2865+10.7281</f>
        <v>17.014600000000002</v>
      </c>
      <c r="C18" s="273"/>
      <c r="D18" s="48">
        <v>2.6716000000000002</v>
      </c>
      <c r="E18" s="35">
        <f>7.3965+8.1041</f>
        <v>15.5006</v>
      </c>
      <c r="F18" s="273"/>
      <c r="G18" s="48">
        <v>2.9678</v>
      </c>
      <c r="H18" s="48">
        <v>1.6392</v>
      </c>
      <c r="I18" s="2">
        <f t="shared" si="12"/>
        <v>39.793800000000005</v>
      </c>
      <c r="J18" s="17"/>
      <c r="K18" s="10"/>
      <c r="L18" s="10"/>
      <c r="M18" s="10"/>
      <c r="N18" s="10"/>
      <c r="O18" s="10"/>
      <c r="P18" s="10"/>
      <c r="Q18" s="10"/>
      <c r="R18" s="2">
        <f t="shared" si="1"/>
        <v>0</v>
      </c>
      <c r="S18" s="35">
        <f t="shared" si="2"/>
        <v>0</v>
      </c>
      <c r="T18" s="35">
        <f t="shared" si="3"/>
        <v>39.793800000000005</v>
      </c>
      <c r="U18" s="273"/>
      <c r="V18" s="9">
        <f t="shared" si="4"/>
        <v>510438.00000000006</v>
      </c>
      <c r="W18" s="273"/>
      <c r="X18" s="273"/>
      <c r="Y18" s="9">
        <f t="shared" si="5"/>
        <v>0</v>
      </c>
      <c r="Z18" s="273"/>
      <c r="AA18" s="273"/>
      <c r="AB18" s="9">
        <f t="shared" si="6"/>
        <v>80148</v>
      </c>
      <c r="AC18" s="273"/>
      <c r="AD18" s="273"/>
      <c r="AE18" s="9">
        <f t="shared" si="7"/>
        <v>465018</v>
      </c>
      <c r="AF18" s="273"/>
      <c r="AG18" s="273"/>
      <c r="AH18" s="9">
        <f t="shared" si="8"/>
        <v>0</v>
      </c>
      <c r="AI18" s="273"/>
      <c r="AJ18" s="273"/>
      <c r="AK18" s="9">
        <f t="shared" si="9"/>
        <v>89034</v>
      </c>
      <c r="AL18" s="273"/>
      <c r="AM18" s="273"/>
      <c r="AN18" s="9">
        <f t="shared" si="10"/>
        <v>49176</v>
      </c>
      <c r="AO18" s="273"/>
      <c r="AP18" s="273"/>
      <c r="AQ18" s="9">
        <f t="shared" si="11"/>
        <v>1193814.0000000002</v>
      </c>
      <c r="AR18" s="273"/>
      <c r="AS18" s="39"/>
    </row>
    <row r="19" spans="1:45" ht="12.75">
      <c r="A19" s="161">
        <v>43836</v>
      </c>
      <c r="B19" s="48">
        <f>(15.6486-1.7296)+(4.5462-2.0056)+(6.9652-1.8967)</f>
        <v>21.528100000000002</v>
      </c>
      <c r="C19" s="48">
        <f>66.4401-51.6545</f>
        <v>14.785600000000002</v>
      </c>
      <c r="D19" s="35">
        <f>10.4075-2.0093</f>
        <v>8.398200000000001</v>
      </c>
      <c r="E19" s="35">
        <f>-1.972-1.7621-1.9051+12.0043+11.2291+5.3501</f>
        <v>22.944300000000002</v>
      </c>
      <c r="F19" s="35">
        <f>-2.0109+2.6464</f>
        <v>0.63549999999999995</v>
      </c>
      <c r="G19" s="35">
        <f>-1.8679+8.7447</f>
        <v>6.8768000000000002</v>
      </c>
      <c r="H19" s="48">
        <f>10.0583-1.767</f>
        <v>8.2912999999999997</v>
      </c>
      <c r="I19" s="2">
        <f t="shared" si="12"/>
        <v>83.459800000000001</v>
      </c>
      <c r="J19" s="17"/>
      <c r="K19" s="10"/>
      <c r="L19" s="10"/>
      <c r="M19" s="10"/>
      <c r="N19" s="10"/>
      <c r="O19" s="10"/>
      <c r="P19" s="10"/>
      <c r="Q19" s="10"/>
      <c r="R19" s="2">
        <f t="shared" si="1"/>
        <v>0</v>
      </c>
      <c r="S19" s="35">
        <f t="shared" si="2"/>
        <v>0</v>
      </c>
      <c r="T19" s="35">
        <f t="shared" si="3"/>
        <v>83.459800000000001</v>
      </c>
      <c r="U19" s="273"/>
      <c r="V19" s="9">
        <f t="shared" si="4"/>
        <v>645843.00000000012</v>
      </c>
      <c r="W19" s="273"/>
      <c r="X19" s="273"/>
      <c r="Y19" s="9">
        <f t="shared" si="5"/>
        <v>443568.00000000006</v>
      </c>
      <c r="Z19" s="273"/>
      <c r="AA19" s="273"/>
      <c r="AB19" s="9">
        <f t="shared" si="6"/>
        <v>251946.00000000003</v>
      </c>
      <c r="AC19" s="273"/>
      <c r="AD19" s="273"/>
      <c r="AE19" s="9">
        <f t="shared" si="7"/>
        <v>688329</v>
      </c>
      <c r="AF19" s="273"/>
      <c r="AG19" s="273"/>
      <c r="AH19" s="9">
        <f t="shared" si="8"/>
        <v>19065</v>
      </c>
      <c r="AI19" s="273"/>
      <c r="AJ19" s="273"/>
      <c r="AK19" s="9">
        <f t="shared" si="9"/>
        <v>206304</v>
      </c>
      <c r="AL19" s="273"/>
      <c r="AM19" s="273"/>
      <c r="AN19" s="9">
        <f t="shared" si="10"/>
        <v>248739</v>
      </c>
      <c r="AO19" s="273"/>
      <c r="AP19" s="273"/>
      <c r="AQ19" s="9">
        <f t="shared" si="11"/>
        <v>2503794</v>
      </c>
      <c r="AR19" s="273"/>
      <c r="AS19" s="39"/>
    </row>
    <row r="20" spans="1:45" ht="12.75">
      <c r="A20" s="161">
        <v>43837</v>
      </c>
      <c r="B20" s="273"/>
      <c r="C20" s="273"/>
      <c r="D20" s="273"/>
      <c r="E20" s="48">
        <v>4.8662000000000001</v>
      </c>
      <c r="F20" s="273"/>
      <c r="G20" s="273"/>
      <c r="H20" s="273"/>
      <c r="I20" s="2">
        <f t="shared" si="12"/>
        <v>4.8662000000000001</v>
      </c>
      <c r="J20" s="17"/>
      <c r="K20" s="10"/>
      <c r="L20" s="10"/>
      <c r="M20" s="10"/>
      <c r="N20" s="10"/>
      <c r="O20" s="10"/>
      <c r="P20" s="10"/>
      <c r="Q20" s="10"/>
      <c r="R20" s="2">
        <f t="shared" si="1"/>
        <v>0</v>
      </c>
      <c r="S20" s="35">
        <f t="shared" si="2"/>
        <v>0</v>
      </c>
      <c r="T20" s="35">
        <f t="shared" si="3"/>
        <v>4.8662000000000001</v>
      </c>
      <c r="U20" s="273"/>
      <c r="V20" s="9">
        <f t="shared" si="4"/>
        <v>0</v>
      </c>
      <c r="W20" s="273"/>
      <c r="X20" s="273"/>
      <c r="Y20" s="9">
        <f t="shared" si="5"/>
        <v>0</v>
      </c>
      <c r="Z20" s="273"/>
      <c r="AA20" s="273"/>
      <c r="AB20" s="9">
        <f t="shared" si="6"/>
        <v>0</v>
      </c>
      <c r="AC20" s="273"/>
      <c r="AD20" s="273"/>
      <c r="AE20" s="9">
        <f t="shared" si="7"/>
        <v>145986</v>
      </c>
      <c r="AF20" s="273"/>
      <c r="AG20" s="273"/>
      <c r="AH20" s="9">
        <f t="shared" si="8"/>
        <v>0</v>
      </c>
      <c r="AI20" s="273"/>
      <c r="AJ20" s="273"/>
      <c r="AK20" s="9">
        <f t="shared" si="9"/>
        <v>0</v>
      </c>
      <c r="AL20" s="273"/>
      <c r="AM20" s="273"/>
      <c r="AN20" s="9">
        <f t="shared" si="10"/>
        <v>0</v>
      </c>
      <c r="AO20" s="273"/>
      <c r="AP20" s="273"/>
      <c r="AQ20" s="9">
        <f t="shared" si="11"/>
        <v>145986</v>
      </c>
      <c r="AR20" s="273"/>
      <c r="AS20" s="39"/>
    </row>
    <row r="21" spans="1:45" ht="12.75">
      <c r="A21" s="161">
        <v>43838</v>
      </c>
      <c r="B21" s="35">
        <f>-1.8465+9.7116-1.7497+11.5918</f>
        <v>17.7072</v>
      </c>
      <c r="C21" s="48">
        <f>-51.951+55.8083</f>
        <v>3.8573000000000022</v>
      </c>
      <c r="D21" s="48">
        <v>12.908200000000001</v>
      </c>
      <c r="E21" s="48">
        <f>10.5142-1.908</f>
        <v>8.6062000000000012</v>
      </c>
      <c r="F21" s="273"/>
      <c r="G21" s="35">
        <f>-1.8368+4.5486</f>
        <v>2.7118000000000002</v>
      </c>
      <c r="H21" s="35">
        <f>-1.9615+7.1213</f>
        <v>5.1597999999999997</v>
      </c>
      <c r="I21" s="2">
        <f t="shared" si="12"/>
        <v>50.950499999999998</v>
      </c>
      <c r="J21" s="17"/>
      <c r="K21" s="10"/>
      <c r="L21" s="10"/>
      <c r="M21" s="10"/>
      <c r="N21" s="10"/>
      <c r="O21" s="10"/>
      <c r="P21" s="10"/>
      <c r="Q21" s="10"/>
      <c r="R21" s="2">
        <f t="shared" si="1"/>
        <v>0</v>
      </c>
      <c r="S21" s="35">
        <f t="shared" si="2"/>
        <v>0</v>
      </c>
      <c r="T21" s="35">
        <f t="shared" si="3"/>
        <v>50.950499999999998</v>
      </c>
      <c r="U21" s="273"/>
      <c r="V21" s="9">
        <f t="shared" si="4"/>
        <v>531216</v>
      </c>
      <c r="W21" s="273"/>
      <c r="X21" s="273"/>
      <c r="Y21" s="9">
        <f t="shared" si="5"/>
        <v>115719.00000000006</v>
      </c>
      <c r="Z21" s="273"/>
      <c r="AA21" s="273"/>
      <c r="AB21" s="9">
        <f t="shared" si="6"/>
        <v>387246</v>
      </c>
      <c r="AC21" s="273"/>
      <c r="AD21" s="273"/>
      <c r="AE21" s="9">
        <f t="shared" si="7"/>
        <v>258186.00000000003</v>
      </c>
      <c r="AF21" s="273"/>
      <c r="AG21" s="273"/>
      <c r="AH21" s="9">
        <f t="shared" si="8"/>
        <v>0</v>
      </c>
      <c r="AI21" s="273"/>
      <c r="AJ21" s="273"/>
      <c r="AK21" s="9">
        <f t="shared" si="9"/>
        <v>81354</v>
      </c>
      <c r="AL21" s="273"/>
      <c r="AM21" s="273"/>
      <c r="AN21" s="9">
        <f t="shared" si="10"/>
        <v>154794</v>
      </c>
      <c r="AO21" s="273"/>
      <c r="AP21" s="273"/>
      <c r="AQ21" s="9">
        <f t="shared" si="11"/>
        <v>1528515</v>
      </c>
      <c r="AR21" s="273"/>
      <c r="AS21" s="39"/>
    </row>
    <row r="22" spans="1:45" ht="12.75">
      <c r="A22" s="161">
        <v>43839</v>
      </c>
      <c r="B22" s="48">
        <v>1.9858</v>
      </c>
      <c r="C22" s="273"/>
      <c r="D22" s="35">
        <f>-1.9648+8.7411</f>
        <v>6.7762999999999991</v>
      </c>
      <c r="E22" s="35">
        <f>-1.8902+7.6924</f>
        <v>5.8022</v>
      </c>
      <c r="F22" s="273"/>
      <c r="G22" s="273"/>
      <c r="H22" s="273"/>
      <c r="I22" s="2">
        <f t="shared" si="12"/>
        <v>14.564299999999999</v>
      </c>
      <c r="J22" s="17"/>
      <c r="K22" s="10"/>
      <c r="L22" s="10"/>
      <c r="M22" s="10"/>
      <c r="N22" s="10"/>
      <c r="O22" s="10"/>
      <c r="P22" s="10"/>
      <c r="Q22" s="10"/>
      <c r="R22" s="2">
        <f t="shared" si="1"/>
        <v>0</v>
      </c>
      <c r="S22" s="35">
        <f t="shared" si="2"/>
        <v>0</v>
      </c>
      <c r="T22" s="35">
        <f t="shared" si="3"/>
        <v>14.564299999999999</v>
      </c>
      <c r="U22" s="273"/>
      <c r="V22" s="9">
        <f t="shared" si="4"/>
        <v>59574</v>
      </c>
      <c r="W22" s="273"/>
      <c r="X22" s="273"/>
      <c r="Y22" s="9">
        <f t="shared" si="5"/>
        <v>0</v>
      </c>
      <c r="Z22" s="273"/>
      <c r="AA22" s="273"/>
      <c r="AB22" s="9">
        <f t="shared" si="6"/>
        <v>203288.99999999997</v>
      </c>
      <c r="AC22" s="273"/>
      <c r="AD22" s="273"/>
      <c r="AE22" s="9">
        <f t="shared" si="7"/>
        <v>174066</v>
      </c>
      <c r="AF22" s="273"/>
      <c r="AG22" s="273"/>
      <c r="AH22" s="9">
        <f t="shared" si="8"/>
        <v>0</v>
      </c>
      <c r="AI22" s="273"/>
      <c r="AJ22" s="273"/>
      <c r="AK22" s="9">
        <f t="shared" si="9"/>
        <v>0</v>
      </c>
      <c r="AL22" s="273"/>
      <c r="AM22" s="273"/>
      <c r="AN22" s="9">
        <f t="shared" si="10"/>
        <v>0</v>
      </c>
      <c r="AO22" s="273"/>
      <c r="AP22" s="273"/>
      <c r="AQ22" s="9">
        <f t="shared" si="11"/>
        <v>436929</v>
      </c>
      <c r="AR22" s="273"/>
      <c r="AS22" s="39"/>
    </row>
    <row r="23" spans="1:45" ht="12.75">
      <c r="A23" s="161">
        <v>43840</v>
      </c>
      <c r="B23" s="48">
        <f>10.8577-1.8651</f>
        <v>8.9925999999999995</v>
      </c>
      <c r="C23" s="48">
        <f>-52.0695+61.3476</f>
        <v>9.278100000000002</v>
      </c>
      <c r="D23" s="48">
        <f>13.4053-2.0155</f>
        <v>11.389800000000001</v>
      </c>
      <c r="E23" s="35">
        <f>-1.9295+10.7905</f>
        <v>8.8610000000000007</v>
      </c>
      <c r="F23" s="273"/>
      <c r="G23" s="48">
        <f>-1.848+3.6171</f>
        <v>1.7691000000000001</v>
      </c>
      <c r="H23" s="35">
        <f>-1.9126+4.8543</f>
        <v>2.9417</v>
      </c>
      <c r="I23" s="2">
        <f t="shared" si="12"/>
        <v>43.232300000000002</v>
      </c>
      <c r="J23" s="17"/>
      <c r="K23" s="10"/>
      <c r="L23" s="10"/>
      <c r="M23" s="10"/>
      <c r="N23" s="10"/>
      <c r="O23" s="10"/>
      <c r="P23" s="10"/>
      <c r="Q23" s="10"/>
      <c r="R23" s="2">
        <f t="shared" si="1"/>
        <v>0</v>
      </c>
      <c r="S23" s="35">
        <f t="shared" si="2"/>
        <v>0</v>
      </c>
      <c r="T23" s="35">
        <f t="shared" si="3"/>
        <v>43.232300000000002</v>
      </c>
      <c r="U23" s="273"/>
      <c r="V23" s="9">
        <f t="shared" si="4"/>
        <v>269778</v>
      </c>
      <c r="W23" s="273"/>
      <c r="X23" s="273"/>
      <c r="Y23" s="9">
        <f t="shared" si="5"/>
        <v>278343.00000000006</v>
      </c>
      <c r="Z23" s="273"/>
      <c r="AA23" s="273"/>
      <c r="AB23" s="9">
        <f t="shared" si="6"/>
        <v>341694.00000000006</v>
      </c>
      <c r="AC23" s="273"/>
      <c r="AD23" s="273"/>
      <c r="AE23" s="9">
        <f t="shared" si="7"/>
        <v>265830</v>
      </c>
      <c r="AF23" s="273"/>
      <c r="AG23" s="273"/>
      <c r="AH23" s="9">
        <f t="shared" si="8"/>
        <v>0</v>
      </c>
      <c r="AI23" s="273"/>
      <c r="AJ23" s="273"/>
      <c r="AK23" s="9">
        <f t="shared" si="9"/>
        <v>53073</v>
      </c>
      <c r="AL23" s="273"/>
      <c r="AM23" s="273"/>
      <c r="AN23" s="9">
        <f t="shared" si="10"/>
        <v>88251</v>
      </c>
      <c r="AO23" s="273"/>
      <c r="AP23" s="273"/>
      <c r="AQ23" s="9">
        <f t="shared" si="11"/>
        <v>1296969</v>
      </c>
      <c r="AR23" s="273"/>
      <c r="AS23" s="39"/>
    </row>
    <row r="24" spans="1:45" ht="12.75">
      <c r="A24" s="161">
        <v>43843</v>
      </c>
      <c r="B24" s="35">
        <f>(-1.68+8.2221)+(2.2926-1.7888)</f>
        <v>7.0458999999999996</v>
      </c>
      <c r="C24" s="35">
        <f>-45.5117+58.9415</f>
        <v>13.4298</v>
      </c>
      <c r="D24" s="35">
        <f>(10.1791-2.0134)+(7.2323-1.908)</f>
        <v>13.490000000000002</v>
      </c>
      <c r="E24" s="35">
        <f>-1.75+8.2494</f>
        <v>6.4993999999999996</v>
      </c>
      <c r="F24" s="273"/>
      <c r="G24" s="35">
        <f>-1.9909+3.8053</f>
        <v>1.8144</v>
      </c>
      <c r="H24" s="35">
        <f>-1.8795+3.2538</f>
        <v>1.3743000000000001</v>
      </c>
      <c r="I24" s="2">
        <f t="shared" si="12"/>
        <v>43.653799999999997</v>
      </c>
      <c r="J24" s="17"/>
      <c r="K24" s="10"/>
      <c r="L24" s="10"/>
      <c r="M24" s="10"/>
      <c r="N24" s="10"/>
      <c r="O24" s="10"/>
      <c r="P24" s="10"/>
      <c r="Q24" s="10"/>
      <c r="R24" s="2"/>
      <c r="S24" s="273"/>
      <c r="T24" s="35">
        <f t="shared" si="3"/>
        <v>43.653799999999997</v>
      </c>
      <c r="U24" s="273"/>
      <c r="V24" s="9">
        <f t="shared" si="4"/>
        <v>211377</v>
      </c>
      <c r="W24" s="273"/>
      <c r="X24" s="273"/>
      <c r="Y24" s="9">
        <f t="shared" si="5"/>
        <v>402894</v>
      </c>
      <c r="Z24" s="273"/>
      <c r="AA24" s="273"/>
      <c r="AB24" s="9">
        <f t="shared" si="6"/>
        <v>404700.00000000006</v>
      </c>
      <c r="AC24" s="273"/>
      <c r="AD24" s="273"/>
      <c r="AE24" s="9">
        <f t="shared" si="7"/>
        <v>194982</v>
      </c>
      <c r="AF24" s="273"/>
      <c r="AG24" s="273"/>
      <c r="AH24" s="9">
        <f t="shared" si="8"/>
        <v>0</v>
      </c>
      <c r="AI24" s="273"/>
      <c r="AJ24" s="273"/>
      <c r="AK24" s="9">
        <f t="shared" si="9"/>
        <v>54432</v>
      </c>
      <c r="AL24" s="273"/>
      <c r="AM24" s="273"/>
      <c r="AN24" s="9">
        <f t="shared" si="10"/>
        <v>41229</v>
      </c>
      <c r="AO24" s="273"/>
      <c r="AP24" s="273"/>
      <c r="AQ24" s="9">
        <f t="shared" si="11"/>
        <v>1309614</v>
      </c>
      <c r="AR24" s="273"/>
      <c r="AS24" s="39"/>
    </row>
    <row r="25" spans="1:45" ht="12.75">
      <c r="A25" s="161">
        <v>43845</v>
      </c>
      <c r="B25" s="35">
        <f>-1.9295+3.2947</f>
        <v>1.3652000000000002</v>
      </c>
      <c r="C25" s="35">
        <f>(-1.8735+2.7893)+(-1.9138+3.4854)+(-2.0583+2.4686)+(-2.0873+3.1773)+(-1.79+2.6559)+(-1.6377+5.5783)+(-1.8514+6.2867)</f>
        <v>13.2295</v>
      </c>
      <c r="D25" s="35">
        <f>-1.8498+4.7259</f>
        <v>2.8761000000000001</v>
      </c>
      <c r="E25" s="35">
        <f>-1.9825+4.0527</f>
        <v>2.0701999999999998</v>
      </c>
      <c r="F25" s="273"/>
      <c r="G25" s="35">
        <f>-1.8661+2.7665</f>
        <v>0.90040000000000009</v>
      </c>
      <c r="H25" s="35">
        <f>-1.6924+2.9973</f>
        <v>1.3049000000000002</v>
      </c>
      <c r="I25" s="2">
        <f t="shared" si="12"/>
        <v>21.746300000000002</v>
      </c>
      <c r="J25" s="17"/>
      <c r="K25" s="10"/>
      <c r="L25" s="10"/>
      <c r="M25" s="10"/>
      <c r="N25" s="10"/>
      <c r="O25" s="10"/>
      <c r="P25" s="10"/>
      <c r="Q25" s="10"/>
      <c r="R25" s="2"/>
      <c r="S25" s="273"/>
      <c r="T25" s="35">
        <f t="shared" si="3"/>
        <v>21.746300000000002</v>
      </c>
      <c r="U25" s="273"/>
      <c r="V25" s="9">
        <f t="shared" si="4"/>
        <v>40956.000000000007</v>
      </c>
      <c r="W25" s="273"/>
      <c r="X25" s="273"/>
      <c r="Y25" s="9">
        <f t="shared" si="5"/>
        <v>396885</v>
      </c>
      <c r="Z25" s="273"/>
      <c r="AA25" s="273"/>
      <c r="AB25" s="9">
        <f t="shared" si="6"/>
        <v>86283</v>
      </c>
      <c r="AC25" s="273"/>
      <c r="AD25" s="273"/>
      <c r="AE25" s="9">
        <f t="shared" si="7"/>
        <v>62105.999999999993</v>
      </c>
      <c r="AF25" s="273"/>
      <c r="AG25" s="273"/>
      <c r="AH25" s="9">
        <f t="shared" si="8"/>
        <v>0</v>
      </c>
      <c r="AI25" s="273"/>
      <c r="AJ25" s="273"/>
      <c r="AK25" s="9">
        <f t="shared" si="9"/>
        <v>27012.000000000004</v>
      </c>
      <c r="AL25" s="273"/>
      <c r="AM25" s="273"/>
      <c r="AN25" s="9">
        <f t="shared" si="10"/>
        <v>39147.000000000007</v>
      </c>
      <c r="AO25" s="273"/>
      <c r="AP25" s="273"/>
      <c r="AQ25" s="9">
        <f t="shared" si="11"/>
        <v>652389</v>
      </c>
      <c r="AR25" s="273"/>
      <c r="AS25" s="39"/>
    </row>
    <row r="26" spans="1:45" ht="12.75">
      <c r="A26" s="161">
        <v>43846</v>
      </c>
      <c r="B26" s="35">
        <f>-1.8281+2.5589</f>
        <v>0.73079999999999989</v>
      </c>
      <c r="C26" s="273"/>
      <c r="D26" s="35">
        <f>-1.7574+2.6084</f>
        <v>0.85099999999999998</v>
      </c>
      <c r="E26" s="48">
        <f>-1.8078+3.1105</f>
        <v>1.3027</v>
      </c>
      <c r="F26" s="273"/>
      <c r="G26" s="35">
        <f>-1.8762+2.8161</f>
        <v>0.93989999999999996</v>
      </c>
      <c r="H26" s="35">
        <f>-1.9796+2.2237</f>
        <v>0.24409999999999998</v>
      </c>
      <c r="I26" s="2">
        <f t="shared" si="12"/>
        <v>4.0685000000000002</v>
      </c>
      <c r="J26" s="17"/>
      <c r="K26" s="10"/>
      <c r="L26" s="10"/>
      <c r="M26" s="10"/>
      <c r="N26" s="10"/>
      <c r="O26" s="10"/>
      <c r="P26" s="10"/>
      <c r="Q26" s="10"/>
      <c r="R26" s="2"/>
      <c r="S26" s="273"/>
      <c r="T26" s="35">
        <f t="shared" si="3"/>
        <v>4.0685000000000002</v>
      </c>
      <c r="U26" s="273"/>
      <c r="V26" s="9">
        <f t="shared" si="4"/>
        <v>21923.999999999996</v>
      </c>
      <c r="W26" s="273"/>
      <c r="X26" s="273"/>
      <c r="Y26" s="9">
        <f t="shared" si="5"/>
        <v>0</v>
      </c>
      <c r="Z26" s="273"/>
      <c r="AA26" s="273"/>
      <c r="AB26" s="9">
        <f t="shared" si="6"/>
        <v>25530</v>
      </c>
      <c r="AC26" s="273"/>
      <c r="AD26" s="273"/>
      <c r="AE26" s="9">
        <f t="shared" si="7"/>
        <v>39081</v>
      </c>
      <c r="AF26" s="273"/>
      <c r="AG26" s="273"/>
      <c r="AH26" s="9">
        <f t="shared" si="8"/>
        <v>0</v>
      </c>
      <c r="AI26" s="273"/>
      <c r="AJ26" s="273"/>
      <c r="AK26" s="9">
        <f t="shared" si="9"/>
        <v>28197</v>
      </c>
      <c r="AL26" s="273"/>
      <c r="AM26" s="273"/>
      <c r="AN26" s="9">
        <f t="shared" si="10"/>
        <v>7322.9999999999991</v>
      </c>
      <c r="AO26" s="273"/>
      <c r="AP26" s="273"/>
      <c r="AQ26" s="9">
        <f t="shared" si="11"/>
        <v>122055</v>
      </c>
      <c r="AR26" s="273"/>
      <c r="AS26" s="39"/>
    </row>
    <row r="27" spans="1:45" ht="12.75">
      <c r="A27" s="161">
        <v>43847</v>
      </c>
      <c r="B27" s="35">
        <f>-1.8879+2.7093</f>
        <v>0.82139999999999991</v>
      </c>
      <c r="C27" s="35">
        <v>5.9527999999999999</v>
      </c>
      <c r="D27" s="35">
        <f>-1.9597+3.3401</f>
        <v>1.3804000000000001</v>
      </c>
      <c r="E27" s="35">
        <f>-1.9112+4.1918</f>
        <v>2.2805999999999997</v>
      </c>
      <c r="F27" s="273"/>
      <c r="G27" s="35">
        <f>-1.7808+2.5848</f>
        <v>0.80400000000000005</v>
      </c>
      <c r="H27" s="35">
        <f>-2.0929+2.3864</f>
        <v>0.29349999999999987</v>
      </c>
      <c r="I27" s="2">
        <f>SUM(C27:H27)</f>
        <v>10.7113</v>
      </c>
      <c r="J27" s="17"/>
      <c r="K27" s="10"/>
      <c r="L27" s="10"/>
      <c r="M27" s="10"/>
      <c r="N27" s="10"/>
      <c r="O27" s="10"/>
      <c r="P27" s="10"/>
      <c r="Q27" s="10"/>
      <c r="R27" s="2"/>
      <c r="S27" s="273"/>
      <c r="T27" s="35">
        <f t="shared" si="3"/>
        <v>10.7113</v>
      </c>
      <c r="U27" s="273"/>
      <c r="V27" s="9">
        <f t="shared" si="4"/>
        <v>24641.999999999996</v>
      </c>
      <c r="W27" s="273"/>
      <c r="X27" s="273"/>
      <c r="Y27" s="9">
        <f t="shared" si="5"/>
        <v>178584</v>
      </c>
      <c r="Z27" s="273"/>
      <c r="AA27" s="273"/>
      <c r="AB27" s="9">
        <f t="shared" si="6"/>
        <v>41412</v>
      </c>
      <c r="AC27" s="273"/>
      <c r="AD27" s="273"/>
      <c r="AE27" s="9">
        <f t="shared" si="7"/>
        <v>68417.999999999985</v>
      </c>
      <c r="AF27" s="273"/>
      <c r="AG27" s="273"/>
      <c r="AH27" s="9">
        <f t="shared" si="8"/>
        <v>0</v>
      </c>
      <c r="AI27" s="273"/>
      <c r="AJ27" s="273"/>
      <c r="AK27" s="9">
        <f t="shared" si="9"/>
        <v>24120</v>
      </c>
      <c r="AL27" s="273"/>
      <c r="AM27" s="273"/>
      <c r="AN27" s="9">
        <f t="shared" si="10"/>
        <v>8804.9999999999964</v>
      </c>
      <c r="AO27" s="273"/>
      <c r="AP27" s="273"/>
      <c r="AQ27" s="9">
        <f t="shared" si="11"/>
        <v>321339</v>
      </c>
      <c r="AR27" s="273"/>
      <c r="AS27" s="39"/>
    </row>
    <row r="28" spans="1:45" ht="12.75">
      <c r="A28" s="161">
        <v>43850</v>
      </c>
      <c r="B28" s="35">
        <f>-1.9713+3.7996</f>
        <v>1.8282999999999998</v>
      </c>
      <c r="C28" s="35">
        <v>8.5155000000000012</v>
      </c>
      <c r="D28" s="35">
        <f>-1.7069+6.0595</f>
        <v>4.3525999999999998</v>
      </c>
      <c r="E28" s="35">
        <f>-1.927+4.0537</f>
        <v>2.1267</v>
      </c>
      <c r="F28" s="35">
        <f>-1.9132+1.9907</f>
        <v>7.7499999999999902E-2</v>
      </c>
      <c r="G28" s="35">
        <f>-1.9621+3.2372</f>
        <v>1.2751000000000001</v>
      </c>
      <c r="H28" s="35">
        <f>-2.0036+2.3062</f>
        <v>0.30259999999999998</v>
      </c>
      <c r="I28" s="2">
        <f t="shared" ref="I28:I46" si="13">SUM(B28:H28)</f>
        <v>18.478299999999997</v>
      </c>
      <c r="J28" s="17"/>
      <c r="K28" s="10"/>
      <c r="L28" s="10"/>
      <c r="M28" s="10"/>
      <c r="N28" s="10"/>
      <c r="O28" s="10"/>
      <c r="P28" s="10"/>
      <c r="Q28" s="10"/>
      <c r="R28" s="2"/>
      <c r="S28" s="273"/>
      <c r="T28" s="35">
        <f t="shared" si="3"/>
        <v>18.478299999999997</v>
      </c>
      <c r="U28" s="273"/>
      <c r="V28" s="9">
        <f t="shared" si="4"/>
        <v>54848.999999999993</v>
      </c>
      <c r="W28" s="273"/>
      <c r="X28" s="273"/>
      <c r="Y28" s="9">
        <f t="shared" si="5"/>
        <v>255465.00000000003</v>
      </c>
      <c r="Z28" s="273"/>
      <c r="AA28" s="273"/>
      <c r="AB28" s="9">
        <f t="shared" si="6"/>
        <v>130578</v>
      </c>
      <c r="AC28" s="273"/>
      <c r="AD28" s="273"/>
      <c r="AE28" s="9">
        <f t="shared" si="7"/>
        <v>63801</v>
      </c>
      <c r="AF28" s="273"/>
      <c r="AG28" s="273"/>
      <c r="AH28" s="9">
        <f t="shared" si="8"/>
        <v>2324.9999999999973</v>
      </c>
      <c r="AI28" s="273"/>
      <c r="AJ28" s="273"/>
      <c r="AK28" s="9">
        <f t="shared" si="9"/>
        <v>38253.000000000007</v>
      </c>
      <c r="AL28" s="273"/>
      <c r="AM28" s="273"/>
      <c r="AN28" s="9">
        <f t="shared" si="10"/>
        <v>9078</v>
      </c>
      <c r="AO28" s="273"/>
      <c r="AP28" s="273"/>
      <c r="AQ28" s="9">
        <f t="shared" si="11"/>
        <v>554348.99999999988</v>
      </c>
      <c r="AR28" s="273"/>
      <c r="AS28" s="39"/>
    </row>
    <row r="29" spans="1:45" ht="12.75">
      <c r="A29" s="161">
        <v>43852</v>
      </c>
      <c r="B29" s="35">
        <f>-1.7576+4.3693</f>
        <v>2.6116999999999999</v>
      </c>
      <c r="C29" s="35">
        <v>2.8228000000000009</v>
      </c>
      <c r="D29" s="35">
        <f>-1.8519+3.6616</f>
        <v>1.8096999999999999</v>
      </c>
      <c r="E29" s="35">
        <f>-1.8529+2.8847</f>
        <v>1.0318000000000001</v>
      </c>
      <c r="F29" s="273"/>
      <c r="G29" s="273"/>
      <c r="H29" s="273"/>
      <c r="I29" s="2">
        <f t="shared" si="13"/>
        <v>8.2760000000000016</v>
      </c>
      <c r="J29" s="17"/>
      <c r="K29" s="10"/>
      <c r="L29" s="10"/>
      <c r="M29" s="10"/>
      <c r="N29" s="10"/>
      <c r="O29" s="10"/>
      <c r="P29" s="10"/>
      <c r="Q29" s="10"/>
      <c r="R29" s="2"/>
      <c r="S29" s="273"/>
      <c r="T29" s="35">
        <f t="shared" si="3"/>
        <v>8.2760000000000016</v>
      </c>
      <c r="U29" s="273"/>
      <c r="V29" s="9">
        <f t="shared" si="4"/>
        <v>78351</v>
      </c>
      <c r="W29" s="273"/>
      <c r="X29" s="273"/>
      <c r="Y29" s="9">
        <f t="shared" si="5"/>
        <v>84684.000000000029</v>
      </c>
      <c r="Z29" s="273"/>
      <c r="AA29" s="273"/>
      <c r="AB29" s="9">
        <f t="shared" si="6"/>
        <v>54290.999999999993</v>
      </c>
      <c r="AC29" s="273"/>
      <c r="AD29" s="273"/>
      <c r="AE29" s="9">
        <f t="shared" si="7"/>
        <v>30954</v>
      </c>
      <c r="AF29" s="273"/>
      <c r="AG29" s="273"/>
      <c r="AH29" s="9">
        <f t="shared" si="8"/>
        <v>0</v>
      </c>
      <c r="AI29" s="273"/>
      <c r="AJ29" s="273"/>
      <c r="AK29" s="9">
        <f t="shared" si="9"/>
        <v>0</v>
      </c>
      <c r="AL29" s="273"/>
      <c r="AM29" s="273"/>
      <c r="AN29" s="9">
        <f t="shared" si="10"/>
        <v>0</v>
      </c>
      <c r="AO29" s="273"/>
      <c r="AP29" s="273"/>
      <c r="AQ29" s="9">
        <f t="shared" si="11"/>
        <v>248280.00000000006</v>
      </c>
      <c r="AR29" s="273"/>
      <c r="AS29" s="39"/>
    </row>
    <row r="30" spans="1:45" ht="12.75">
      <c r="A30" s="161">
        <v>43854</v>
      </c>
      <c r="B30" s="35">
        <f>-1.869+3.2638</f>
        <v>1.3947999999999998</v>
      </c>
      <c r="C30" s="35">
        <f>2.4</f>
        <v>2.4</v>
      </c>
      <c r="D30" s="35">
        <f>-1.846+2.9</f>
        <v>1.0539999999999998</v>
      </c>
      <c r="E30" s="35">
        <f>-1.9909+2.6092</f>
        <v>0.61830000000000007</v>
      </c>
      <c r="F30" s="35">
        <f>-1.904+1.9171</f>
        <v>1.3100000000000112E-2</v>
      </c>
      <c r="G30" s="35">
        <f>-1.8466+1.9622</f>
        <v>0.11559999999999993</v>
      </c>
      <c r="H30" s="35">
        <f>-1.8966+1.9342</f>
        <v>3.7599999999999856E-2</v>
      </c>
      <c r="I30" s="2">
        <f t="shared" si="13"/>
        <v>5.6333999999999982</v>
      </c>
      <c r="J30" s="17"/>
      <c r="K30" s="10"/>
      <c r="L30" s="10"/>
      <c r="M30" s="10"/>
      <c r="N30" s="10"/>
      <c r="O30" s="10"/>
      <c r="P30" s="10"/>
      <c r="Q30" s="10"/>
      <c r="R30" s="2"/>
      <c r="S30" s="273"/>
      <c r="T30" s="35">
        <f t="shared" si="3"/>
        <v>5.6333999999999982</v>
      </c>
      <c r="U30" s="273"/>
      <c r="V30" s="9">
        <f t="shared" si="4"/>
        <v>41843.999999999993</v>
      </c>
      <c r="W30" s="273"/>
      <c r="X30" s="273"/>
      <c r="Y30" s="9">
        <f t="shared" si="5"/>
        <v>72000</v>
      </c>
      <c r="Z30" s="273"/>
      <c r="AA30" s="273"/>
      <c r="AB30" s="9">
        <f t="shared" si="6"/>
        <v>31619.999999999996</v>
      </c>
      <c r="AC30" s="273"/>
      <c r="AD30" s="273"/>
      <c r="AE30" s="9">
        <f t="shared" si="7"/>
        <v>18549.000000000004</v>
      </c>
      <c r="AF30" s="273"/>
      <c r="AG30" s="273"/>
      <c r="AH30" s="9">
        <f t="shared" si="8"/>
        <v>393.00000000000335</v>
      </c>
      <c r="AI30" s="273"/>
      <c r="AJ30" s="273"/>
      <c r="AK30" s="9">
        <f t="shared" si="9"/>
        <v>3467.9999999999977</v>
      </c>
      <c r="AL30" s="273"/>
      <c r="AM30" s="273"/>
      <c r="AN30" s="9">
        <f t="shared" si="10"/>
        <v>1127.9999999999957</v>
      </c>
      <c r="AO30" s="273"/>
      <c r="AP30" s="273"/>
      <c r="AQ30" s="9">
        <f t="shared" si="11"/>
        <v>169001.99999999994</v>
      </c>
      <c r="AR30" s="273"/>
      <c r="AS30" s="39"/>
    </row>
    <row r="31" spans="1:45" ht="12.75">
      <c r="A31" s="161">
        <v>43859</v>
      </c>
      <c r="B31" s="273"/>
      <c r="C31" s="35">
        <f>-56.0661+60.06393+0.3445</f>
        <v>4.3423300000000005</v>
      </c>
      <c r="D31" s="273"/>
      <c r="E31" s="273"/>
      <c r="F31" s="273"/>
      <c r="G31" s="273"/>
      <c r="H31" s="273"/>
      <c r="I31" s="2">
        <f t="shared" si="13"/>
        <v>4.3423300000000005</v>
      </c>
      <c r="J31" s="17"/>
      <c r="K31" s="10"/>
      <c r="L31" s="10"/>
      <c r="M31" s="10"/>
      <c r="N31" s="10"/>
      <c r="O31" s="10"/>
      <c r="P31" s="10"/>
      <c r="Q31" s="10"/>
      <c r="R31" s="2"/>
      <c r="S31" s="273"/>
      <c r="T31" s="35">
        <f t="shared" si="3"/>
        <v>4.3423300000000005</v>
      </c>
      <c r="U31" s="273"/>
      <c r="V31" s="9">
        <f t="shared" si="4"/>
        <v>0</v>
      </c>
      <c r="W31" s="273"/>
      <c r="X31" s="273"/>
      <c r="Y31" s="9">
        <f t="shared" si="5"/>
        <v>130269.90000000001</v>
      </c>
      <c r="Z31" s="273"/>
      <c r="AA31" s="273"/>
      <c r="AB31" s="9">
        <f t="shared" si="6"/>
        <v>0</v>
      </c>
      <c r="AC31" s="273"/>
      <c r="AD31" s="273"/>
      <c r="AE31" s="9">
        <f t="shared" si="7"/>
        <v>0</v>
      </c>
      <c r="AF31" s="273"/>
      <c r="AG31" s="273"/>
      <c r="AH31" s="9">
        <f t="shared" si="8"/>
        <v>0</v>
      </c>
      <c r="AI31" s="273"/>
      <c r="AJ31" s="273"/>
      <c r="AK31" s="9">
        <f t="shared" si="9"/>
        <v>0</v>
      </c>
      <c r="AL31" s="273"/>
      <c r="AM31" s="273"/>
      <c r="AN31" s="9">
        <f t="shared" si="10"/>
        <v>0</v>
      </c>
      <c r="AO31" s="273"/>
      <c r="AP31" s="273"/>
      <c r="AQ31" s="9">
        <f t="shared" si="11"/>
        <v>130269.90000000001</v>
      </c>
      <c r="AR31" s="273"/>
      <c r="AS31" s="39"/>
    </row>
    <row r="32" spans="1:45" ht="12.75">
      <c r="A32" s="161">
        <v>43861</v>
      </c>
      <c r="B32" s="35">
        <f>2.3</f>
        <v>2.2999999999999998</v>
      </c>
      <c r="C32" s="35">
        <f>0.4491</f>
        <v>0.4491</v>
      </c>
      <c r="D32" s="273"/>
      <c r="E32" s="273"/>
      <c r="F32" s="273"/>
      <c r="G32" s="273"/>
      <c r="H32" s="273"/>
      <c r="I32" s="2">
        <f t="shared" si="13"/>
        <v>2.7490999999999999</v>
      </c>
      <c r="J32" s="17"/>
      <c r="K32" s="10"/>
      <c r="L32" s="10"/>
      <c r="M32" s="10"/>
      <c r="N32" s="10"/>
      <c r="O32" s="10"/>
      <c r="P32" s="10"/>
      <c r="Q32" s="10"/>
      <c r="R32" s="2"/>
      <c r="S32" s="273"/>
      <c r="T32" s="35">
        <f t="shared" si="3"/>
        <v>2.7490999999999999</v>
      </c>
      <c r="U32" s="273"/>
      <c r="V32" s="9">
        <f t="shared" si="4"/>
        <v>69000</v>
      </c>
      <c r="W32" s="273"/>
      <c r="X32" s="273"/>
      <c r="Y32" s="9">
        <f t="shared" si="5"/>
        <v>13473</v>
      </c>
      <c r="Z32" s="273"/>
      <c r="AA32" s="273"/>
      <c r="AB32" s="9">
        <f t="shared" si="6"/>
        <v>0</v>
      </c>
      <c r="AC32" s="273"/>
      <c r="AD32" s="273"/>
      <c r="AE32" s="9">
        <f t="shared" si="7"/>
        <v>0</v>
      </c>
      <c r="AF32" s="273"/>
      <c r="AG32" s="273"/>
      <c r="AH32" s="9">
        <f t="shared" si="8"/>
        <v>0</v>
      </c>
      <c r="AI32" s="273"/>
      <c r="AJ32" s="273"/>
      <c r="AK32" s="9">
        <f t="shared" si="9"/>
        <v>0</v>
      </c>
      <c r="AL32" s="273"/>
      <c r="AM32" s="273"/>
      <c r="AN32" s="9">
        <f t="shared" si="10"/>
        <v>0</v>
      </c>
      <c r="AO32" s="273"/>
      <c r="AP32" s="273"/>
      <c r="AQ32" s="9">
        <f t="shared" si="11"/>
        <v>82473</v>
      </c>
      <c r="AR32" s="273"/>
      <c r="AS32" s="39"/>
    </row>
    <row r="33" spans="1:45" ht="12.75">
      <c r="A33" s="161">
        <v>43864</v>
      </c>
      <c r="B33" s="35">
        <f>2.2043+0.8313</f>
        <v>3.0356000000000001</v>
      </c>
      <c r="C33" s="35">
        <v>2.5397999999999996</v>
      </c>
      <c r="D33" s="273"/>
      <c r="E33" s="48">
        <v>4.1599999999999998E-2</v>
      </c>
      <c r="F33" s="35">
        <f>2.4675</f>
        <v>2.4674999999999998</v>
      </c>
      <c r="G33" s="35">
        <f>0.396</f>
        <v>0.39600000000000002</v>
      </c>
      <c r="H33" s="48">
        <v>0.13089999999999999</v>
      </c>
      <c r="I33" s="2">
        <f t="shared" si="13"/>
        <v>8.6114000000000015</v>
      </c>
      <c r="J33" s="17"/>
      <c r="K33" s="10"/>
      <c r="L33" s="10"/>
      <c r="M33" s="10"/>
      <c r="N33" s="10"/>
      <c r="O33" s="10"/>
      <c r="P33" s="10"/>
      <c r="Q33" s="10"/>
      <c r="R33" s="2"/>
      <c r="S33" s="273"/>
      <c r="T33" s="35">
        <f t="shared" si="3"/>
        <v>8.6114000000000015</v>
      </c>
      <c r="U33" s="273"/>
      <c r="V33" s="9">
        <f t="shared" si="4"/>
        <v>91068</v>
      </c>
      <c r="W33" s="273"/>
      <c r="X33" s="273"/>
      <c r="Y33" s="9">
        <f t="shared" si="5"/>
        <v>76193.999999999985</v>
      </c>
      <c r="Z33" s="273"/>
      <c r="AA33" s="273"/>
      <c r="AB33" s="9">
        <f t="shared" si="6"/>
        <v>0</v>
      </c>
      <c r="AC33" s="273"/>
      <c r="AD33" s="273"/>
      <c r="AE33" s="9">
        <f t="shared" si="7"/>
        <v>1248</v>
      </c>
      <c r="AF33" s="273"/>
      <c r="AG33" s="273"/>
      <c r="AH33" s="9">
        <f t="shared" si="8"/>
        <v>74025</v>
      </c>
      <c r="AI33" s="273"/>
      <c r="AJ33" s="273"/>
      <c r="AK33" s="9">
        <f t="shared" si="9"/>
        <v>11880</v>
      </c>
      <c r="AL33" s="273"/>
      <c r="AM33" s="273"/>
      <c r="AN33" s="9">
        <f t="shared" si="10"/>
        <v>3926.9999999999995</v>
      </c>
      <c r="AO33" s="273"/>
      <c r="AP33" s="273"/>
      <c r="AQ33" s="9">
        <f t="shared" si="11"/>
        <v>258342.00000000006</v>
      </c>
      <c r="AR33" s="273"/>
      <c r="AS33" s="39"/>
    </row>
    <row r="34" spans="1:45" ht="12.75">
      <c r="A34" s="161">
        <v>43866</v>
      </c>
      <c r="B34" s="48">
        <f>7.2612-1.988</f>
        <v>5.2731999999999992</v>
      </c>
      <c r="C34" s="273"/>
      <c r="D34" s="35">
        <f>-0.452+0.8151</f>
        <v>0.36310000000000003</v>
      </c>
      <c r="E34" s="35">
        <f>-1.9133+3.1319</f>
        <v>1.2185999999999999</v>
      </c>
      <c r="F34" s="35">
        <f>-1.851+4.8329-1.9467+7.4989</f>
        <v>8.5341000000000005</v>
      </c>
      <c r="G34" s="48">
        <f>-1.6961+5.0822</f>
        <v>3.3861000000000003</v>
      </c>
      <c r="H34" s="35">
        <f>-0.4975+0.765</f>
        <v>0.26750000000000002</v>
      </c>
      <c r="I34" s="2">
        <f t="shared" si="13"/>
        <v>19.042599999999997</v>
      </c>
      <c r="J34" s="17"/>
      <c r="K34" s="10"/>
      <c r="L34" s="10"/>
      <c r="M34" s="10"/>
      <c r="N34" s="10"/>
      <c r="O34" s="10"/>
      <c r="P34" s="10"/>
      <c r="Q34" s="10"/>
      <c r="R34" s="2"/>
      <c r="S34" s="273"/>
      <c r="T34" s="35">
        <f t="shared" si="3"/>
        <v>19.042599999999997</v>
      </c>
      <c r="U34" s="273"/>
      <c r="V34" s="9">
        <f t="shared" si="4"/>
        <v>158195.99999999997</v>
      </c>
      <c r="W34" s="273"/>
      <c r="X34" s="273"/>
      <c r="Y34" s="9">
        <f t="shared" si="5"/>
        <v>0</v>
      </c>
      <c r="Z34" s="273"/>
      <c r="AA34" s="273"/>
      <c r="AB34" s="9">
        <f t="shared" si="6"/>
        <v>10893.000000000002</v>
      </c>
      <c r="AC34" s="273"/>
      <c r="AD34" s="273"/>
      <c r="AE34" s="9">
        <f t="shared" si="7"/>
        <v>36558</v>
      </c>
      <c r="AF34" s="273"/>
      <c r="AG34" s="273"/>
      <c r="AH34" s="9">
        <f t="shared" si="8"/>
        <v>256023</v>
      </c>
      <c r="AI34" s="273"/>
      <c r="AJ34" s="273"/>
      <c r="AK34" s="9">
        <f t="shared" si="9"/>
        <v>101583.00000000001</v>
      </c>
      <c r="AL34" s="273"/>
      <c r="AM34" s="273"/>
      <c r="AN34" s="9">
        <f t="shared" si="10"/>
        <v>8025.0000000000009</v>
      </c>
      <c r="AO34" s="273"/>
      <c r="AP34" s="273"/>
      <c r="AQ34" s="9">
        <f t="shared" si="11"/>
        <v>571277.99999999988</v>
      </c>
      <c r="AR34" s="273"/>
      <c r="AS34" s="39"/>
    </row>
    <row r="35" spans="1:45" ht="12.75">
      <c r="A35" s="161">
        <v>43868</v>
      </c>
      <c r="B35" s="48">
        <f>-1.9307+3.0403-1.9739+4.4294</f>
        <v>3.5651000000000002</v>
      </c>
      <c r="C35" s="35">
        <v>0.30969999999999942</v>
      </c>
      <c r="D35" s="35">
        <f>-1.8539+2.0185</f>
        <v>0.16459999999999986</v>
      </c>
      <c r="E35" s="273"/>
      <c r="F35" s="48">
        <f>-1.9797+7.2086</f>
        <v>5.2288999999999994</v>
      </c>
      <c r="G35" s="35">
        <f>-1.9278+10.8619</f>
        <v>8.9341000000000008</v>
      </c>
      <c r="H35" s="35">
        <f>-1.7822+3.4548</f>
        <v>1.6726000000000001</v>
      </c>
      <c r="I35" s="2">
        <f t="shared" si="13"/>
        <v>19.875</v>
      </c>
      <c r="J35" s="17"/>
      <c r="K35" s="10"/>
      <c r="L35" s="10"/>
      <c r="M35" s="10"/>
      <c r="N35" s="10"/>
      <c r="O35" s="10"/>
      <c r="P35" s="10"/>
      <c r="Q35" s="10"/>
      <c r="R35" s="2"/>
      <c r="S35" s="273"/>
      <c r="T35" s="35">
        <f t="shared" si="3"/>
        <v>19.875</v>
      </c>
      <c r="U35" s="273"/>
      <c r="V35" s="9">
        <f t="shared" si="4"/>
        <v>106953</v>
      </c>
      <c r="W35" s="273"/>
      <c r="X35" s="273"/>
      <c r="Y35" s="9">
        <f t="shared" si="5"/>
        <v>9290.9999999999818</v>
      </c>
      <c r="Z35" s="273"/>
      <c r="AA35" s="273"/>
      <c r="AB35" s="9">
        <f t="shared" si="6"/>
        <v>4937.9999999999955</v>
      </c>
      <c r="AC35" s="273"/>
      <c r="AD35" s="273"/>
      <c r="AE35" s="9">
        <f t="shared" si="7"/>
        <v>0</v>
      </c>
      <c r="AF35" s="273"/>
      <c r="AG35" s="273"/>
      <c r="AH35" s="9">
        <f t="shared" si="8"/>
        <v>156866.99999999997</v>
      </c>
      <c r="AI35" s="273"/>
      <c r="AJ35" s="273"/>
      <c r="AK35" s="9">
        <f t="shared" si="9"/>
        <v>268023</v>
      </c>
      <c r="AL35" s="273"/>
      <c r="AM35" s="273"/>
      <c r="AN35" s="9">
        <f t="shared" si="10"/>
        <v>50178</v>
      </c>
      <c r="AO35" s="273"/>
      <c r="AP35" s="273"/>
      <c r="AQ35" s="9">
        <f t="shared" si="11"/>
        <v>596250</v>
      </c>
      <c r="AR35" s="273"/>
      <c r="AS35" s="39"/>
    </row>
    <row r="36" spans="1:45" ht="12.75">
      <c r="A36" s="161">
        <v>43871</v>
      </c>
      <c r="B36" s="35">
        <f>-2.0353+5.5492</f>
        <v>3.5139</v>
      </c>
      <c r="C36" s="35">
        <f>-2.0259+2.3259</f>
        <v>0.29999999999999982</v>
      </c>
      <c r="D36" s="35">
        <f>-2.038+2.2014</f>
        <v>0.16340000000000021</v>
      </c>
      <c r="E36" s="35">
        <f>-2.0443+4.8906</f>
        <v>2.8463000000000003</v>
      </c>
      <c r="F36" s="48">
        <f>-2.0151+4.9629</f>
        <v>2.9478000000000004</v>
      </c>
      <c r="G36" s="35">
        <f>-1.9723+5.0625-1.9276+9.7016</f>
        <v>10.8642</v>
      </c>
      <c r="H36" s="35">
        <f>-1.9642-2.0033+8.3349+9.4935</f>
        <v>13.860899999999999</v>
      </c>
      <c r="I36" s="2">
        <f t="shared" si="13"/>
        <v>34.496500000000005</v>
      </c>
      <c r="J36" s="17"/>
      <c r="K36" s="10"/>
      <c r="L36" s="10"/>
      <c r="M36" s="10"/>
      <c r="N36" s="10"/>
      <c r="O36" s="10"/>
      <c r="P36" s="10"/>
      <c r="Q36" s="10"/>
      <c r="R36" s="2"/>
      <c r="S36" s="273"/>
      <c r="T36" s="35">
        <f t="shared" si="3"/>
        <v>34.496500000000005</v>
      </c>
      <c r="U36" s="273"/>
      <c r="V36" s="9">
        <f t="shared" si="4"/>
        <v>105417</v>
      </c>
      <c r="W36" s="273"/>
      <c r="X36" s="273"/>
      <c r="Y36" s="9">
        <f t="shared" si="5"/>
        <v>8999.9999999999945</v>
      </c>
      <c r="Z36" s="273"/>
      <c r="AA36" s="273"/>
      <c r="AB36" s="9">
        <f t="shared" si="6"/>
        <v>4902.0000000000064</v>
      </c>
      <c r="AC36" s="273"/>
      <c r="AD36" s="273"/>
      <c r="AE36" s="9">
        <f t="shared" si="7"/>
        <v>85389.000000000015</v>
      </c>
      <c r="AF36" s="273"/>
      <c r="AG36" s="273"/>
      <c r="AH36" s="9">
        <f t="shared" si="8"/>
        <v>88434.000000000015</v>
      </c>
      <c r="AI36" s="273"/>
      <c r="AJ36" s="273"/>
      <c r="AK36" s="9">
        <f t="shared" si="9"/>
        <v>325926</v>
      </c>
      <c r="AL36" s="273"/>
      <c r="AM36" s="273"/>
      <c r="AN36" s="9">
        <f t="shared" si="10"/>
        <v>415827</v>
      </c>
      <c r="AO36" s="273"/>
      <c r="AP36" s="273"/>
      <c r="AQ36" s="9">
        <f t="shared" si="11"/>
        <v>1034895.0000000001</v>
      </c>
      <c r="AR36" s="35">
        <f t="shared" ref="AR36:AR53" si="14">SUM(W36,Z36,AC36,AF36,AI36,AL36,AO36)</f>
        <v>0</v>
      </c>
      <c r="AS36" s="39"/>
    </row>
    <row r="37" spans="1:45" ht="12.75">
      <c r="A37" s="161">
        <v>43873</v>
      </c>
      <c r="B37" s="35">
        <f>-1.737+4.7301</f>
        <v>2.9931000000000001</v>
      </c>
      <c r="C37" s="273"/>
      <c r="D37" s="273"/>
      <c r="E37" s="35">
        <f>2.9463-1.9822</f>
        <v>0.96409999999999996</v>
      </c>
      <c r="F37" s="35">
        <f>2.7441-1.7914</f>
        <v>0.95269999999999988</v>
      </c>
      <c r="G37" s="35">
        <f>3.1127-2.0266</f>
        <v>1.0860999999999996</v>
      </c>
      <c r="H37" s="35">
        <f>-1.9639+6.676</f>
        <v>4.7121000000000004</v>
      </c>
      <c r="I37" s="2">
        <f t="shared" si="13"/>
        <v>10.708100000000002</v>
      </c>
      <c r="J37" s="17"/>
      <c r="K37" s="10"/>
      <c r="L37" s="10"/>
      <c r="M37" s="10"/>
      <c r="N37" s="10"/>
      <c r="O37" s="10"/>
      <c r="P37" s="10"/>
      <c r="Q37" s="10"/>
      <c r="R37" s="2"/>
      <c r="S37" s="273"/>
      <c r="T37" s="35">
        <f t="shared" si="3"/>
        <v>10.708100000000002</v>
      </c>
      <c r="U37" s="273"/>
      <c r="V37" s="9">
        <f t="shared" si="4"/>
        <v>89793</v>
      </c>
      <c r="W37" s="273"/>
      <c r="X37" s="273"/>
      <c r="Y37" s="9">
        <f t="shared" si="5"/>
        <v>0</v>
      </c>
      <c r="Z37" s="273"/>
      <c r="AA37" s="273"/>
      <c r="AB37" s="9">
        <f t="shared" si="6"/>
        <v>0</v>
      </c>
      <c r="AC37" s="273"/>
      <c r="AD37" s="273"/>
      <c r="AE37" s="9">
        <f t="shared" si="7"/>
        <v>28923</v>
      </c>
      <c r="AF37" s="273"/>
      <c r="AG37" s="273"/>
      <c r="AH37" s="9">
        <f t="shared" si="8"/>
        <v>28580.999999999996</v>
      </c>
      <c r="AI37" s="273"/>
      <c r="AJ37" s="273"/>
      <c r="AK37" s="9">
        <f t="shared" si="9"/>
        <v>32582.999999999989</v>
      </c>
      <c r="AL37" s="273"/>
      <c r="AM37" s="273"/>
      <c r="AN37" s="9">
        <f t="shared" si="10"/>
        <v>141363</v>
      </c>
      <c r="AO37" s="273"/>
      <c r="AP37" s="273"/>
      <c r="AQ37" s="9">
        <f t="shared" si="11"/>
        <v>321243.00000000006</v>
      </c>
      <c r="AR37" s="35">
        <f t="shared" si="14"/>
        <v>0</v>
      </c>
      <c r="AS37" s="39"/>
    </row>
    <row r="38" spans="1:45" ht="12.75">
      <c r="A38" s="161">
        <v>43875</v>
      </c>
      <c r="B38" s="48">
        <f>12.2254-2.035</f>
        <v>10.1904</v>
      </c>
      <c r="C38" s="35">
        <f>-52.2712+53.2675</f>
        <v>0.99629999999999797</v>
      </c>
      <c r="D38" s="48">
        <f>2.2172-2.0128</f>
        <v>0.20440000000000014</v>
      </c>
      <c r="E38" s="35">
        <f>6.1827-1.8701</f>
        <v>4.3125999999999998</v>
      </c>
      <c r="F38" s="48">
        <f>2.0052-1.7645</f>
        <v>0.24069999999999991</v>
      </c>
      <c r="G38" s="35">
        <f>2.0926-1.8341</f>
        <v>0.25849999999999995</v>
      </c>
      <c r="H38" s="35">
        <f>-1.9658+11.3149</f>
        <v>9.3491</v>
      </c>
      <c r="I38" s="2">
        <f t="shared" si="13"/>
        <v>25.552</v>
      </c>
      <c r="J38" s="17"/>
      <c r="K38" s="10"/>
      <c r="L38" s="10"/>
      <c r="M38" s="10"/>
      <c r="N38" s="10"/>
      <c r="O38" s="10"/>
      <c r="P38" s="10"/>
      <c r="Q38" s="10"/>
      <c r="R38" s="2"/>
      <c r="S38" s="273"/>
      <c r="T38" s="35">
        <f t="shared" si="3"/>
        <v>25.552</v>
      </c>
      <c r="U38" s="273"/>
      <c r="V38" s="9">
        <f t="shared" si="4"/>
        <v>305712</v>
      </c>
      <c r="W38" s="273"/>
      <c r="X38" s="273"/>
      <c r="Y38" s="9">
        <f t="shared" si="5"/>
        <v>29888.999999999938</v>
      </c>
      <c r="Z38" s="273"/>
      <c r="AA38" s="273"/>
      <c r="AB38" s="9">
        <f t="shared" si="6"/>
        <v>6132.0000000000045</v>
      </c>
      <c r="AC38" s="273"/>
      <c r="AD38" s="273"/>
      <c r="AE38" s="9">
        <f t="shared" si="7"/>
        <v>129378</v>
      </c>
      <c r="AF38" s="273"/>
      <c r="AG38" s="273"/>
      <c r="AH38" s="9">
        <f t="shared" si="8"/>
        <v>7220.9999999999973</v>
      </c>
      <c r="AI38" s="273"/>
      <c r="AJ38" s="273"/>
      <c r="AK38" s="9">
        <f t="shared" si="9"/>
        <v>7754.9999999999982</v>
      </c>
      <c r="AL38" s="273"/>
      <c r="AM38" s="273"/>
      <c r="AN38" s="9">
        <f t="shared" si="10"/>
        <v>280473</v>
      </c>
      <c r="AO38" s="273"/>
      <c r="AP38" s="273"/>
      <c r="AQ38" s="9">
        <f t="shared" si="11"/>
        <v>766560</v>
      </c>
      <c r="AR38" s="35">
        <f t="shared" si="14"/>
        <v>0</v>
      </c>
      <c r="AS38" s="39"/>
    </row>
    <row r="39" spans="1:45" ht="15.75" customHeight="1">
      <c r="A39" s="161">
        <v>43878</v>
      </c>
      <c r="B39" s="35">
        <f>-2.0071+-1.9962+-1.7197+26.4858</f>
        <v>20.762800000000002</v>
      </c>
      <c r="C39" s="48">
        <v>3.4388000000000001</v>
      </c>
      <c r="D39" s="35">
        <f>2.9317-1.9065</f>
        <v>1.0252000000000001</v>
      </c>
      <c r="E39" s="48">
        <f>5.8973-1.8666</f>
        <v>4.0307000000000004</v>
      </c>
      <c r="F39" s="35">
        <f>4.3636-1.9477</f>
        <v>2.4158999999999997</v>
      </c>
      <c r="G39" s="48">
        <f>2.3358-1.7065</f>
        <v>0.62929999999999997</v>
      </c>
      <c r="H39" s="48">
        <f>12.5675-1.971</f>
        <v>10.596500000000001</v>
      </c>
      <c r="I39" s="2">
        <f t="shared" si="13"/>
        <v>42.8992</v>
      </c>
      <c r="J39" s="17"/>
      <c r="K39" s="10"/>
      <c r="L39" s="10"/>
      <c r="M39" s="10"/>
      <c r="N39" s="10"/>
      <c r="O39" s="10"/>
      <c r="P39" s="10"/>
      <c r="Q39" s="10"/>
      <c r="R39" s="2"/>
      <c r="S39" s="273"/>
      <c r="T39" s="35">
        <f t="shared" si="3"/>
        <v>42.8992</v>
      </c>
      <c r="U39" s="273"/>
      <c r="V39" s="9">
        <f t="shared" si="4"/>
        <v>622884.00000000012</v>
      </c>
      <c r="W39" s="11">
        <v>77940</v>
      </c>
      <c r="X39" s="35">
        <f t="shared" ref="X39:X47" si="15">W39/V39*100</f>
        <v>12.512763211127591</v>
      </c>
      <c r="Y39" s="9">
        <f t="shared" si="5"/>
        <v>103164</v>
      </c>
      <c r="Z39" s="273"/>
      <c r="AA39" s="273"/>
      <c r="AB39" s="9">
        <f t="shared" si="6"/>
        <v>30756.000000000004</v>
      </c>
      <c r="AC39" s="273"/>
      <c r="AD39" s="273"/>
      <c r="AE39" s="9">
        <f t="shared" si="7"/>
        <v>120921.00000000001</v>
      </c>
      <c r="AF39" s="273"/>
      <c r="AG39" s="273"/>
      <c r="AH39" s="9">
        <f t="shared" si="8"/>
        <v>72476.999999999985</v>
      </c>
      <c r="AI39" s="273"/>
      <c r="AJ39" s="273"/>
      <c r="AK39" s="9">
        <f t="shared" si="9"/>
        <v>18879</v>
      </c>
      <c r="AL39" s="273"/>
      <c r="AM39" s="273"/>
      <c r="AN39" s="9">
        <f t="shared" si="10"/>
        <v>317895</v>
      </c>
      <c r="AO39" s="273"/>
      <c r="AP39" s="273"/>
      <c r="AQ39" s="9">
        <f t="shared" si="11"/>
        <v>1286976</v>
      </c>
      <c r="AR39" s="35">
        <f t="shared" si="14"/>
        <v>77940</v>
      </c>
      <c r="AS39" s="35">
        <f t="shared" ref="AS39:AS53" si="16">AR39/AQ39*100</f>
        <v>6.0560569894077281</v>
      </c>
    </row>
    <row r="40" spans="1:45" ht="12.75">
      <c r="A40" s="161">
        <v>43880</v>
      </c>
      <c r="B40" s="35">
        <f>(11.8695-1.8756)+(-1.9795+4.4629)</f>
        <v>12.4773</v>
      </c>
      <c r="C40" s="48">
        <v>18.8917</v>
      </c>
      <c r="D40" s="35">
        <f>-1.8339+2.0464</f>
        <v>0.21250000000000013</v>
      </c>
      <c r="E40" s="35">
        <f>-1.9666+3.2339</f>
        <v>1.2673000000000003</v>
      </c>
      <c r="F40" s="35">
        <f>-2.0127+4.9937</f>
        <v>2.9809999999999994</v>
      </c>
      <c r="G40" s="35">
        <f>-1.7649+1.9862</f>
        <v>0.22130000000000005</v>
      </c>
      <c r="H40" s="48">
        <f>-1.9503+7.562</f>
        <v>5.6117000000000008</v>
      </c>
      <c r="I40" s="2">
        <f t="shared" si="13"/>
        <v>41.662799999999997</v>
      </c>
      <c r="J40" s="17"/>
      <c r="K40" s="10"/>
      <c r="L40" s="10"/>
      <c r="M40" s="10"/>
      <c r="N40" s="10"/>
      <c r="O40" s="10"/>
      <c r="P40" s="10"/>
      <c r="Q40" s="10"/>
      <c r="R40" s="2"/>
      <c r="S40" s="273"/>
      <c r="T40" s="35">
        <f t="shared" si="3"/>
        <v>41.662799999999997</v>
      </c>
      <c r="U40" s="273"/>
      <c r="V40" s="9">
        <f t="shared" si="4"/>
        <v>374319</v>
      </c>
      <c r="W40" s="48">
        <v>31466</v>
      </c>
      <c r="X40" s="35">
        <f t="shared" si="15"/>
        <v>8.4061989907004442</v>
      </c>
      <c r="Y40" s="9">
        <f t="shared" si="5"/>
        <v>566751</v>
      </c>
      <c r="Z40" s="273"/>
      <c r="AA40" s="273"/>
      <c r="AB40" s="9">
        <f t="shared" si="6"/>
        <v>6375.0000000000036</v>
      </c>
      <c r="AC40" s="273"/>
      <c r="AD40" s="273"/>
      <c r="AE40" s="9">
        <f t="shared" si="7"/>
        <v>38019.000000000007</v>
      </c>
      <c r="AF40" s="273"/>
      <c r="AG40" s="273"/>
      <c r="AH40" s="9">
        <f t="shared" si="8"/>
        <v>89429.999999999985</v>
      </c>
      <c r="AI40" s="48">
        <v>15464</v>
      </c>
      <c r="AJ40" s="35">
        <f t="shared" ref="AJ40:AJ52" si="17">AI40/AH40*100</f>
        <v>17.291736553729177</v>
      </c>
      <c r="AK40" s="9">
        <f t="shared" si="9"/>
        <v>6639.0000000000018</v>
      </c>
      <c r="AL40" s="273"/>
      <c r="AM40" s="273"/>
      <c r="AN40" s="9">
        <f t="shared" si="10"/>
        <v>168351.00000000003</v>
      </c>
      <c r="AO40" s="48">
        <v>28123</v>
      </c>
      <c r="AP40" s="35">
        <f>AO40/AN40*100</f>
        <v>16.70497947740138</v>
      </c>
      <c r="AQ40" s="9">
        <f t="shared" si="11"/>
        <v>1249884</v>
      </c>
      <c r="AR40" s="35">
        <f t="shared" si="14"/>
        <v>75053</v>
      </c>
      <c r="AS40" s="35">
        <f t="shared" si="16"/>
        <v>6.0047972451843536</v>
      </c>
    </row>
    <row r="41" spans="1:45" ht="15.75" customHeight="1">
      <c r="A41" s="161">
        <v>43882</v>
      </c>
      <c r="B41" s="35">
        <f>-3.7185+20.3193</f>
        <v>16.6008</v>
      </c>
      <c r="C41" s="48">
        <v>10.3878</v>
      </c>
      <c r="D41" s="35">
        <f>-1.8467+2.3736</f>
        <v>0.52690000000000015</v>
      </c>
      <c r="E41" s="35">
        <f>-1.9703+6.6918</f>
        <v>4.7214999999999998</v>
      </c>
      <c r="F41" s="35">
        <f>-1.7586+6.9337</f>
        <v>5.1751000000000005</v>
      </c>
      <c r="G41" s="35">
        <f>-2.0054+5.8553</f>
        <v>3.8498999999999999</v>
      </c>
      <c r="H41" s="35">
        <f>-1.8986+7.3394+6.8592</f>
        <v>12.3</v>
      </c>
      <c r="I41" s="2">
        <f t="shared" si="13"/>
        <v>53.561999999999998</v>
      </c>
      <c r="J41" s="17"/>
      <c r="K41" s="10"/>
      <c r="L41" s="10"/>
      <c r="M41" s="10"/>
      <c r="N41" s="10"/>
      <c r="O41" s="10"/>
      <c r="P41" s="10"/>
      <c r="Q41" s="10"/>
      <c r="R41" s="2"/>
      <c r="S41" s="273"/>
      <c r="T41" s="74"/>
      <c r="U41" s="74"/>
      <c r="V41" s="145">
        <f t="shared" si="4"/>
        <v>498024</v>
      </c>
      <c r="W41" s="146">
        <v>45046</v>
      </c>
      <c r="X41" s="145">
        <f t="shared" si="15"/>
        <v>9.0449456251104365</v>
      </c>
      <c r="Y41" s="145">
        <f t="shared" si="5"/>
        <v>311634</v>
      </c>
      <c r="Z41" s="74"/>
      <c r="AA41" s="74"/>
      <c r="AB41" s="145">
        <f t="shared" si="6"/>
        <v>15807.000000000004</v>
      </c>
      <c r="AC41" s="74"/>
      <c r="AD41" s="74"/>
      <c r="AE41" s="145">
        <f t="shared" si="7"/>
        <v>141645</v>
      </c>
      <c r="AF41" s="48">
        <v>19744</v>
      </c>
      <c r="AG41" s="35">
        <f>AF41/AE41*100</f>
        <v>13.939073034699426</v>
      </c>
      <c r="AH41" s="9">
        <f t="shared" si="8"/>
        <v>155253</v>
      </c>
      <c r="AI41" s="48">
        <v>11342</v>
      </c>
      <c r="AJ41" s="35">
        <f t="shared" si="17"/>
        <v>7.3054949018698512</v>
      </c>
      <c r="AK41" s="9">
        <f t="shared" si="9"/>
        <v>115497</v>
      </c>
      <c r="AL41" s="273"/>
      <c r="AM41" s="273"/>
      <c r="AN41" s="9">
        <f t="shared" si="10"/>
        <v>369000</v>
      </c>
      <c r="AO41" s="12">
        <v>73569</v>
      </c>
      <c r="AP41" s="35">
        <f t="shared" ref="AP41:AP43" si="18">AO41/(AN41+AN39)*100</f>
        <v>10.710370580656432</v>
      </c>
      <c r="AQ41" s="9">
        <f t="shared" si="11"/>
        <v>1606860</v>
      </c>
      <c r="AR41" s="35">
        <f t="shared" si="14"/>
        <v>149701</v>
      </c>
      <c r="AS41" s="35">
        <f t="shared" si="16"/>
        <v>9.3163685697571665</v>
      </c>
    </row>
    <row r="42" spans="1:45" ht="15.75" customHeight="1">
      <c r="A42" s="161">
        <v>43885</v>
      </c>
      <c r="B42" s="35">
        <f>-3.9105+17.2898</f>
        <v>13.379300000000001</v>
      </c>
      <c r="C42" s="48">
        <v>11.978</v>
      </c>
      <c r="D42" s="35">
        <f>4.1189-1.9147</f>
        <v>2.2042000000000002</v>
      </c>
      <c r="E42" s="35">
        <f>8.5255-1.6805</f>
        <v>6.8449999999999989</v>
      </c>
      <c r="F42" s="35">
        <f>-1.9618+5.5361</f>
        <v>3.5743</v>
      </c>
      <c r="G42" s="35">
        <f>4.9566-2.0556</f>
        <v>2.9009999999999998</v>
      </c>
      <c r="H42" s="35">
        <f>18.822-1.8022-1.8797</f>
        <v>15.1401</v>
      </c>
      <c r="I42" s="2">
        <f t="shared" si="13"/>
        <v>56.021900000000002</v>
      </c>
      <c r="J42" s="17"/>
      <c r="K42" s="10"/>
      <c r="L42" s="10"/>
      <c r="M42" s="10"/>
      <c r="N42" s="10"/>
      <c r="O42" s="10"/>
      <c r="P42" s="10"/>
      <c r="Q42" s="10"/>
      <c r="R42" s="2"/>
      <c r="S42" s="273"/>
      <c r="T42" s="74"/>
      <c r="U42" s="74"/>
      <c r="V42" s="145">
        <f t="shared" si="4"/>
        <v>401379</v>
      </c>
      <c r="W42" s="147">
        <v>101088</v>
      </c>
      <c r="X42" s="145">
        <f t="shared" si="15"/>
        <v>25.185174112248028</v>
      </c>
      <c r="Y42" s="145">
        <f>5.8901*30000</f>
        <v>176703</v>
      </c>
      <c r="Z42" s="146">
        <v>21043</v>
      </c>
      <c r="AA42" s="145">
        <f t="shared" ref="AA42:AA53" si="19">Z42/Y42*100</f>
        <v>11.908682931246215</v>
      </c>
      <c r="AB42" s="145">
        <f t="shared" si="6"/>
        <v>66126</v>
      </c>
      <c r="AC42" s="146">
        <v>12814</v>
      </c>
      <c r="AD42" s="145">
        <f t="shared" ref="AD42:AD53" si="20">AC42/AB42*100</f>
        <v>19.37815685207029</v>
      </c>
      <c r="AE42" s="145">
        <f t="shared" si="7"/>
        <v>205349.99999999997</v>
      </c>
      <c r="AF42" s="273"/>
      <c r="AG42" s="273"/>
      <c r="AH42" s="9">
        <f t="shared" si="8"/>
        <v>107229</v>
      </c>
      <c r="AI42" s="48">
        <v>30267</v>
      </c>
      <c r="AJ42" s="35">
        <f t="shared" si="17"/>
        <v>28.226505889265031</v>
      </c>
      <c r="AK42" s="9">
        <f t="shared" si="9"/>
        <v>87030</v>
      </c>
      <c r="AL42" s="48">
        <v>8666</v>
      </c>
      <c r="AM42" s="35">
        <f t="shared" ref="AM42:AM62" si="21">AL42/AK42*100</f>
        <v>9.9574859243938878</v>
      </c>
      <c r="AN42" s="9">
        <f t="shared" si="10"/>
        <v>454203</v>
      </c>
      <c r="AO42" s="273"/>
      <c r="AP42" s="35">
        <f t="shared" si="18"/>
        <v>0</v>
      </c>
      <c r="AQ42" s="9">
        <f t="shared" si="11"/>
        <v>1680657</v>
      </c>
      <c r="AR42" s="35">
        <f t="shared" si="14"/>
        <v>173878</v>
      </c>
      <c r="AS42" s="35">
        <f t="shared" si="16"/>
        <v>10.345834991910902</v>
      </c>
    </row>
    <row r="43" spans="1:45" ht="12.75">
      <c r="A43" s="161">
        <v>43886</v>
      </c>
      <c r="B43" s="35">
        <f>11.0546-1.9165</f>
        <v>9.1381000000000014</v>
      </c>
      <c r="C43" s="48">
        <v>6.4042000000000003</v>
      </c>
      <c r="D43" s="35">
        <f>4.3851-1.8941</f>
        <v>2.4910000000000005</v>
      </c>
      <c r="E43" s="48">
        <f>4.7254-1.9196</f>
        <v>2.8057999999999996</v>
      </c>
      <c r="F43" s="35">
        <f>7.0667-2.0127</f>
        <v>5.0540000000000003</v>
      </c>
      <c r="G43" s="35">
        <f>2.6249-1.9687</f>
        <v>0.65619999999999989</v>
      </c>
      <c r="H43" s="35">
        <f>16.4058-1.8245-1.8522</f>
        <v>12.729099999999999</v>
      </c>
      <c r="I43" s="2">
        <f t="shared" si="13"/>
        <v>39.278400000000005</v>
      </c>
      <c r="J43" s="17"/>
      <c r="K43" s="10"/>
      <c r="L43" s="10"/>
      <c r="M43" s="10"/>
      <c r="N43" s="10"/>
      <c r="O43" s="10"/>
      <c r="P43" s="10"/>
      <c r="Q43" s="10"/>
      <c r="R43" s="2"/>
      <c r="S43" s="273"/>
      <c r="T43" s="74"/>
      <c r="U43" s="74"/>
      <c r="V43" s="145">
        <f t="shared" si="4"/>
        <v>274143.00000000006</v>
      </c>
      <c r="W43" s="146">
        <v>46314</v>
      </c>
      <c r="X43" s="145">
        <f t="shared" si="15"/>
        <v>16.894102712817759</v>
      </c>
      <c r="Y43" s="145">
        <f t="shared" ref="Y43:Y53" si="22">C43*30000</f>
        <v>192126</v>
      </c>
      <c r="Z43" s="74"/>
      <c r="AA43" s="145">
        <f t="shared" si="19"/>
        <v>0</v>
      </c>
      <c r="AB43" s="145">
        <f t="shared" si="6"/>
        <v>74730.000000000015</v>
      </c>
      <c r="AC43" s="74"/>
      <c r="AD43" s="145">
        <f t="shared" si="20"/>
        <v>0</v>
      </c>
      <c r="AE43" s="145">
        <f t="shared" si="7"/>
        <v>84173.999999999985</v>
      </c>
      <c r="AF43" s="48">
        <v>20404</v>
      </c>
      <c r="AG43" s="35">
        <f t="shared" ref="AG43:AG44" si="23">AF43/AE43*100</f>
        <v>24.240264214603087</v>
      </c>
      <c r="AH43" s="9">
        <f t="shared" si="8"/>
        <v>151620</v>
      </c>
      <c r="AI43" s="273"/>
      <c r="AJ43" s="35">
        <f t="shared" si="17"/>
        <v>0</v>
      </c>
      <c r="AK43" s="9">
        <f t="shared" si="9"/>
        <v>19685.999999999996</v>
      </c>
      <c r="AL43" s="48">
        <v>7122</v>
      </c>
      <c r="AM43" s="35">
        <f t="shared" si="21"/>
        <v>36.177994513867731</v>
      </c>
      <c r="AN43" s="9">
        <f t="shared" si="10"/>
        <v>381872.99999999994</v>
      </c>
      <c r="AO43" s="273"/>
      <c r="AP43" s="35">
        <f t="shared" si="18"/>
        <v>0</v>
      </c>
      <c r="AQ43" s="9">
        <f t="shared" si="11"/>
        <v>1178352.0000000002</v>
      </c>
      <c r="AR43" s="35">
        <f t="shared" si="14"/>
        <v>73840</v>
      </c>
      <c r="AS43" s="35">
        <f t="shared" si="16"/>
        <v>6.2663788070118258</v>
      </c>
    </row>
    <row r="44" spans="1:45" ht="15.75" customHeight="1">
      <c r="A44" s="161">
        <v>43887</v>
      </c>
      <c r="B44" s="35">
        <f>(10.5113-1.8861)+(8.7796-1.8796)</f>
        <v>15.5252</v>
      </c>
      <c r="C44" s="48">
        <v>12.167</v>
      </c>
      <c r="D44" s="35">
        <f>14.9607-2.0458</f>
        <v>12.914899999999999</v>
      </c>
      <c r="E44" s="35">
        <f>-1.9829+3.3695</f>
        <v>1.3865999999999998</v>
      </c>
      <c r="F44" s="35">
        <f>7.4191-1.7653</f>
        <v>5.6538000000000004</v>
      </c>
      <c r="G44" s="35">
        <f>-1.8828+11.6109</f>
        <v>9.7281000000000013</v>
      </c>
      <c r="H44" s="48">
        <v>34.825200000000002</v>
      </c>
      <c r="I44" s="2">
        <f t="shared" si="13"/>
        <v>92.200800000000015</v>
      </c>
      <c r="J44" s="17"/>
      <c r="K44" s="10"/>
      <c r="L44" s="10"/>
      <c r="M44" s="10"/>
      <c r="N44" s="10"/>
      <c r="O44" s="10"/>
      <c r="P44" s="10"/>
      <c r="Q44" s="10"/>
      <c r="R44" s="2"/>
      <c r="S44" s="273"/>
      <c r="T44" s="74"/>
      <c r="U44" s="74"/>
      <c r="V44" s="145">
        <f t="shared" si="4"/>
        <v>465756</v>
      </c>
      <c r="W44" s="146">
        <v>78686</v>
      </c>
      <c r="X44" s="145">
        <f t="shared" si="15"/>
        <v>16.894253643538676</v>
      </c>
      <c r="Y44" s="145">
        <f t="shared" si="22"/>
        <v>365010</v>
      </c>
      <c r="Z44" s="74"/>
      <c r="AA44" s="145">
        <f t="shared" si="19"/>
        <v>0</v>
      </c>
      <c r="AB44" s="145">
        <f t="shared" si="6"/>
        <v>387447</v>
      </c>
      <c r="AC44" s="146">
        <v>75081</v>
      </c>
      <c r="AD44" s="145">
        <f t="shared" si="20"/>
        <v>19.378392399476574</v>
      </c>
      <c r="AE44" s="145">
        <f t="shared" si="7"/>
        <v>41597.999999999993</v>
      </c>
      <c r="AF44" s="48">
        <v>10083</v>
      </c>
      <c r="AG44" s="35">
        <f t="shared" si="23"/>
        <v>24.23914611279389</v>
      </c>
      <c r="AH44" s="9">
        <f t="shared" si="8"/>
        <v>169614</v>
      </c>
      <c r="AI44" s="48">
        <v>47876</v>
      </c>
      <c r="AJ44" s="35">
        <f t="shared" si="17"/>
        <v>28.226443571874967</v>
      </c>
      <c r="AK44" s="9">
        <f t="shared" si="9"/>
        <v>291843.00000000006</v>
      </c>
      <c r="AL44" s="48">
        <v>105587</v>
      </c>
      <c r="AM44" s="35">
        <f t="shared" si="21"/>
        <v>36.179384120914321</v>
      </c>
      <c r="AN44" s="9">
        <f t="shared" si="10"/>
        <v>1044756.0000000001</v>
      </c>
      <c r="AO44" s="12">
        <v>238913.5</v>
      </c>
      <c r="AP44" s="35">
        <f>AO44/(AN44+AN43)*100</f>
        <v>16.746715509077692</v>
      </c>
      <c r="AQ44" s="9">
        <f t="shared" si="11"/>
        <v>2766024.0000000005</v>
      </c>
      <c r="AR44" s="35">
        <f t="shared" si="14"/>
        <v>556226.5</v>
      </c>
      <c r="AS44" s="35">
        <f t="shared" si="16"/>
        <v>20.109243448357638</v>
      </c>
    </row>
    <row r="45" spans="1:45" ht="12.75">
      <c r="A45" s="161">
        <v>43889</v>
      </c>
      <c r="B45" s="35">
        <f>-1.732+10.0315-1.9024+11.3349</f>
        <v>17.731999999999999</v>
      </c>
      <c r="C45" s="48">
        <v>14.709</v>
      </c>
      <c r="D45" s="35">
        <f>-1.889+9.4364-1.9638+8.0235</f>
        <v>13.607100000000001</v>
      </c>
      <c r="E45" s="35">
        <f>-1.9012+6.6035</f>
        <v>4.7023000000000001</v>
      </c>
      <c r="F45" s="48">
        <f>-1.8901+8.2901</f>
        <v>6.4</v>
      </c>
      <c r="G45" s="13">
        <v>19.376999999999999</v>
      </c>
      <c r="H45" s="48">
        <v>35.414999999999999</v>
      </c>
      <c r="I45" s="2">
        <f t="shared" si="13"/>
        <v>111.94239999999999</v>
      </c>
      <c r="J45" s="17"/>
      <c r="K45" s="10"/>
      <c r="L45" s="10"/>
      <c r="M45" s="10"/>
      <c r="N45" s="10"/>
      <c r="O45" s="10"/>
      <c r="P45" s="10"/>
      <c r="Q45" s="10"/>
      <c r="R45" s="2"/>
      <c r="S45" s="273"/>
      <c r="T45" s="74"/>
      <c r="U45" s="74"/>
      <c r="V45" s="145">
        <f t="shared" si="4"/>
        <v>531960</v>
      </c>
      <c r="W45" s="146">
        <v>171685</v>
      </c>
      <c r="X45" s="145">
        <f t="shared" si="15"/>
        <v>32.274043161139936</v>
      </c>
      <c r="Y45" s="145">
        <f t="shared" si="22"/>
        <v>441270</v>
      </c>
      <c r="Z45" s="74"/>
      <c r="AA45" s="145">
        <f t="shared" si="19"/>
        <v>0</v>
      </c>
      <c r="AB45" s="145">
        <f t="shared" si="6"/>
        <v>408213</v>
      </c>
      <c r="AC45" s="146">
        <v>79105</v>
      </c>
      <c r="AD45" s="145">
        <f t="shared" si="20"/>
        <v>19.378363746377502</v>
      </c>
      <c r="AE45" s="145">
        <f t="shared" si="7"/>
        <v>141069</v>
      </c>
      <c r="AF45" s="273"/>
      <c r="AG45" s="273"/>
      <c r="AH45" s="9">
        <f t="shared" si="8"/>
        <v>192000</v>
      </c>
      <c r="AI45" s="48">
        <v>54194</v>
      </c>
      <c r="AJ45" s="35">
        <f t="shared" si="17"/>
        <v>28.226041666666667</v>
      </c>
      <c r="AK45" s="9">
        <f t="shared" si="9"/>
        <v>581310</v>
      </c>
      <c r="AL45" s="48">
        <v>75637</v>
      </c>
      <c r="AM45" s="35">
        <f t="shared" si="21"/>
        <v>13.011474084395589</v>
      </c>
      <c r="AN45" s="9">
        <f t="shared" si="10"/>
        <v>1062450</v>
      </c>
      <c r="AO45" s="48">
        <v>140564</v>
      </c>
      <c r="AP45" s="35">
        <f t="shared" ref="AP45:AP52" si="24">(AO45/AN45)*100</f>
        <v>13.230175537672363</v>
      </c>
      <c r="AQ45" s="9">
        <f t="shared" si="11"/>
        <v>3358271.9999999995</v>
      </c>
      <c r="AR45" s="35">
        <f t="shared" si="14"/>
        <v>521185</v>
      </c>
      <c r="AS45" s="35">
        <f t="shared" si="16"/>
        <v>15.519439759495363</v>
      </c>
    </row>
    <row r="46" spans="1:45" ht="12.75">
      <c r="A46" s="161">
        <v>43892</v>
      </c>
      <c r="B46" s="35">
        <f>8.4197-1.9284</f>
        <v>6.4913000000000007</v>
      </c>
      <c r="C46" s="35">
        <f>-44.2692+51.9149</f>
        <v>7.645700000000005</v>
      </c>
      <c r="D46" s="48">
        <f>-1.8854+7.4101</f>
        <v>5.5247000000000002</v>
      </c>
      <c r="E46" s="35">
        <f>3.9178-1.7846</f>
        <v>2.1332000000000004</v>
      </c>
      <c r="F46" s="35">
        <f>-1.8637+6.3115</f>
        <v>4.4478</v>
      </c>
      <c r="G46" s="35">
        <f>9.0401-2.0714</f>
        <v>6.9687000000000001</v>
      </c>
      <c r="H46" s="35">
        <f>-3.4951-1.4978+27.5262</f>
        <v>22.533300000000001</v>
      </c>
      <c r="I46" s="2">
        <f t="shared" si="13"/>
        <v>55.744700000000009</v>
      </c>
      <c r="J46" s="17"/>
      <c r="K46" s="10"/>
      <c r="L46" s="10"/>
      <c r="M46" s="10"/>
      <c r="N46" s="10"/>
      <c r="O46" s="10"/>
      <c r="P46" s="10"/>
      <c r="Q46" s="10"/>
      <c r="R46" s="2"/>
      <c r="S46" s="273"/>
      <c r="T46" s="74"/>
      <c r="U46" s="74"/>
      <c r="V46" s="145">
        <f t="shared" si="4"/>
        <v>194739.00000000003</v>
      </c>
      <c r="W46" s="74"/>
      <c r="X46" s="145">
        <f t="shared" si="15"/>
        <v>0</v>
      </c>
      <c r="Y46" s="145">
        <f t="shared" si="22"/>
        <v>229371.00000000015</v>
      </c>
      <c r="Z46" s="149"/>
      <c r="AA46" s="150">
        <f t="shared" si="19"/>
        <v>0</v>
      </c>
      <c r="AB46" s="150">
        <f t="shared" si="6"/>
        <v>165741</v>
      </c>
      <c r="AC46" s="150">
        <f t="shared" ref="AC46:AC47" si="25">AB46*25.8%</f>
        <v>42761.178</v>
      </c>
      <c r="AD46" s="150">
        <f t="shared" si="20"/>
        <v>25.8</v>
      </c>
      <c r="AE46" s="150">
        <f t="shared" si="7"/>
        <v>63996.000000000015</v>
      </c>
      <c r="AF46" s="148">
        <v>15513</v>
      </c>
      <c r="AG46" s="35">
        <f t="shared" ref="AG46:AG53" si="26">AF46/AE46*100</f>
        <v>24.240577536096001</v>
      </c>
      <c r="AH46" s="9">
        <f t="shared" si="8"/>
        <v>133434</v>
      </c>
      <c r="AI46" s="48">
        <v>37663</v>
      </c>
      <c r="AJ46" s="35">
        <f t="shared" si="17"/>
        <v>28.225939415741113</v>
      </c>
      <c r="AK46" s="9">
        <f t="shared" si="9"/>
        <v>209061</v>
      </c>
      <c r="AL46" s="48">
        <v>31654</v>
      </c>
      <c r="AM46" s="35">
        <f t="shared" si="21"/>
        <v>15.141035391584273</v>
      </c>
      <c r="AN46" s="9">
        <f t="shared" si="10"/>
        <v>675999</v>
      </c>
      <c r="AO46" s="48">
        <v>89436</v>
      </c>
      <c r="AP46" s="35">
        <f t="shared" si="24"/>
        <v>13.230197086090364</v>
      </c>
      <c r="AQ46" s="9">
        <f t="shared" si="11"/>
        <v>1672341.0000000002</v>
      </c>
      <c r="AR46" s="35">
        <f t="shared" si="14"/>
        <v>217027.17800000001</v>
      </c>
      <c r="AS46" s="35">
        <f t="shared" si="16"/>
        <v>12.977447661691006</v>
      </c>
    </row>
    <row r="47" spans="1:45" ht="12.75">
      <c r="A47" s="161">
        <v>43894</v>
      </c>
      <c r="B47" s="35">
        <f>-1.8963+6.2729</f>
        <v>4.3765999999999998</v>
      </c>
      <c r="C47" s="48">
        <v>2.3479000000000001</v>
      </c>
      <c r="D47" s="35">
        <f>-1.847+12.0581</f>
        <v>10.2111</v>
      </c>
      <c r="E47" s="48">
        <f>5.0313-1.9829</f>
        <v>3.0484</v>
      </c>
      <c r="F47" s="35">
        <f>-2.0337+7.2692</f>
        <v>5.2355</v>
      </c>
      <c r="G47" s="48">
        <f>5.1333-2.2169</f>
        <v>2.9164000000000003</v>
      </c>
      <c r="H47" s="35">
        <f>-3.749+10.493+1.9063</f>
        <v>8.6502999999999997</v>
      </c>
      <c r="I47" s="2">
        <f>SUM(B47:H47)+60.8108</f>
        <v>97.597000000000008</v>
      </c>
      <c r="J47" s="17"/>
      <c r="K47" s="10"/>
      <c r="L47" s="10"/>
      <c r="M47" s="10"/>
      <c r="N47" s="10"/>
      <c r="O47" s="10"/>
      <c r="P47" s="10"/>
      <c r="Q47" s="10"/>
      <c r="R47" s="2"/>
      <c r="S47" s="273"/>
      <c r="T47" s="74"/>
      <c r="U47" s="74"/>
      <c r="V47" s="145">
        <f>D47*30000</f>
        <v>306333</v>
      </c>
      <c r="W47" s="74"/>
      <c r="X47" s="145">
        <f t="shared" si="15"/>
        <v>0</v>
      </c>
      <c r="Y47" s="145">
        <f t="shared" si="22"/>
        <v>70437</v>
      </c>
      <c r="Z47" s="149"/>
      <c r="AA47" s="150">
        <f t="shared" si="19"/>
        <v>0</v>
      </c>
      <c r="AB47" s="150">
        <f t="shared" si="6"/>
        <v>306333</v>
      </c>
      <c r="AC47" s="150">
        <f t="shared" si="25"/>
        <v>79033.914000000004</v>
      </c>
      <c r="AD47" s="150">
        <f t="shared" si="20"/>
        <v>25.8</v>
      </c>
      <c r="AE47" s="150">
        <f t="shared" si="7"/>
        <v>91452</v>
      </c>
      <c r="AF47" s="81"/>
      <c r="AG47" s="35">
        <f t="shared" si="26"/>
        <v>0</v>
      </c>
      <c r="AH47" s="9">
        <f t="shared" si="8"/>
        <v>157065</v>
      </c>
      <c r="AI47" s="273"/>
      <c r="AJ47" s="35">
        <f t="shared" si="17"/>
        <v>0</v>
      </c>
      <c r="AK47" s="9">
        <f t="shared" si="9"/>
        <v>87492.000000000015</v>
      </c>
      <c r="AL47" s="48">
        <v>21032</v>
      </c>
      <c r="AM47" s="35">
        <f t="shared" si="21"/>
        <v>24.038769258903667</v>
      </c>
      <c r="AN47" s="9">
        <f t="shared" si="10"/>
        <v>259509</v>
      </c>
      <c r="AO47" s="273"/>
      <c r="AP47" s="35">
        <f t="shared" si="24"/>
        <v>0</v>
      </c>
      <c r="AQ47" s="9">
        <f t="shared" si="11"/>
        <v>2927910.0000000005</v>
      </c>
      <c r="AR47" s="35">
        <f t="shared" si="14"/>
        <v>100065.914</v>
      </c>
      <c r="AS47" s="35">
        <f t="shared" si="16"/>
        <v>3.4176567585752293</v>
      </c>
    </row>
    <row r="48" spans="1:45" ht="12.75">
      <c r="A48" s="161">
        <v>43896</v>
      </c>
      <c r="B48" s="35">
        <f>-1.8201+6.8513</f>
        <v>5.0312000000000001</v>
      </c>
      <c r="C48" s="48">
        <v>4.9526000000000003</v>
      </c>
      <c r="D48" s="48">
        <v>18.0503</v>
      </c>
      <c r="E48" s="35">
        <f>-1.8403+7.665</f>
        <v>5.8247</v>
      </c>
      <c r="F48" s="35">
        <f>3.3658-2.1665</f>
        <v>1.1993</v>
      </c>
      <c r="G48" s="48">
        <v>11.5307</v>
      </c>
      <c r="H48" s="48">
        <v>17.152699999999999</v>
      </c>
      <c r="I48" s="2">
        <f t="shared" ref="I48:I53" si="27">SUM(B48:H48)</f>
        <v>63.741500000000002</v>
      </c>
      <c r="J48" s="17"/>
      <c r="K48" s="10"/>
      <c r="L48" s="10"/>
      <c r="M48" s="10"/>
      <c r="N48" s="10"/>
      <c r="O48" s="10"/>
      <c r="P48" s="10"/>
      <c r="Q48" s="10"/>
      <c r="R48" s="2"/>
      <c r="S48" s="273"/>
      <c r="T48" s="74"/>
      <c r="U48" s="74"/>
      <c r="V48" s="145">
        <f t="shared" ref="V48:V53" si="28">B48*30000</f>
        <v>150936</v>
      </c>
      <c r="W48" s="81"/>
      <c r="X48" s="81"/>
      <c r="Y48" s="148">
        <f t="shared" si="22"/>
        <v>148578</v>
      </c>
      <c r="Z48" s="81"/>
      <c r="AA48" s="148">
        <f t="shared" si="19"/>
        <v>0</v>
      </c>
      <c r="AB48" s="150">
        <f t="shared" si="6"/>
        <v>541509</v>
      </c>
      <c r="AC48" s="151">
        <v>169162</v>
      </c>
      <c r="AD48" s="150">
        <f t="shared" si="20"/>
        <v>31.239000644495292</v>
      </c>
      <c r="AE48" s="150">
        <f t="shared" si="7"/>
        <v>174741</v>
      </c>
      <c r="AF48" s="81"/>
      <c r="AG48" s="35">
        <f t="shared" si="26"/>
        <v>0</v>
      </c>
      <c r="AH48" s="6">
        <f t="shared" si="8"/>
        <v>35979</v>
      </c>
      <c r="AI48" s="81"/>
      <c r="AJ48" s="148">
        <f t="shared" si="17"/>
        <v>0</v>
      </c>
      <c r="AK48" s="152">
        <f t="shared" si="9"/>
        <v>345921</v>
      </c>
      <c r="AL48" s="148">
        <v>83155</v>
      </c>
      <c r="AM48" s="48">
        <f t="shared" si="21"/>
        <v>24.03872560497917</v>
      </c>
      <c r="AN48" s="6">
        <f t="shared" si="10"/>
        <v>514581</v>
      </c>
      <c r="AO48" s="273"/>
      <c r="AP48" s="48">
        <f t="shared" si="24"/>
        <v>0</v>
      </c>
      <c r="AQ48" s="6">
        <f t="shared" si="11"/>
        <v>1912245</v>
      </c>
      <c r="AR48" s="35">
        <f t="shared" si="14"/>
        <v>252317</v>
      </c>
      <c r="AS48" s="35">
        <f t="shared" si="16"/>
        <v>13.194805058975184</v>
      </c>
    </row>
    <row r="49" spans="1:45" ht="12.75">
      <c r="A49" s="161">
        <v>43899</v>
      </c>
      <c r="B49" s="35">
        <f>-1.921+3.9426</f>
        <v>2.0216000000000003</v>
      </c>
      <c r="C49" s="48">
        <v>3.9567999999999999</v>
      </c>
      <c r="D49" s="35">
        <f>10.1845-1.9562</f>
        <v>8.2283000000000008</v>
      </c>
      <c r="E49" s="35">
        <f>6.1056-1.9544</f>
        <v>4.1512000000000002</v>
      </c>
      <c r="F49" s="35">
        <f>2.8591-1.8681</f>
        <v>0.9910000000000001</v>
      </c>
      <c r="G49" s="35">
        <f>5.8115-1.9051</f>
        <v>3.9063999999999997</v>
      </c>
      <c r="H49" s="35">
        <f>7.866-1.8649</f>
        <v>6.0010999999999992</v>
      </c>
      <c r="I49" s="2">
        <f t="shared" si="27"/>
        <v>29.256399999999999</v>
      </c>
      <c r="J49" s="17"/>
      <c r="K49" s="10"/>
      <c r="L49" s="10"/>
      <c r="M49" s="10"/>
      <c r="N49" s="10"/>
      <c r="O49" s="10"/>
      <c r="P49" s="10"/>
      <c r="Q49" s="10"/>
      <c r="R49" s="2"/>
      <c r="S49" s="273"/>
      <c r="T49" s="74"/>
      <c r="U49" s="74"/>
      <c r="V49" s="145">
        <f t="shared" si="28"/>
        <v>60648.000000000007</v>
      </c>
      <c r="W49" s="81"/>
      <c r="X49" s="81"/>
      <c r="Y49" s="148">
        <f t="shared" si="22"/>
        <v>118704</v>
      </c>
      <c r="Z49" s="81"/>
      <c r="AA49" s="148">
        <f t="shared" si="19"/>
        <v>0</v>
      </c>
      <c r="AB49" s="150">
        <f t="shared" si="6"/>
        <v>246849.00000000003</v>
      </c>
      <c r="AC49" s="151">
        <v>77113</v>
      </c>
      <c r="AD49" s="150">
        <f t="shared" si="20"/>
        <v>31.238935543591424</v>
      </c>
      <c r="AE49" s="150">
        <f t="shared" si="7"/>
        <v>124536</v>
      </c>
      <c r="AF49" s="81"/>
      <c r="AG49" s="35">
        <f t="shared" si="26"/>
        <v>0</v>
      </c>
      <c r="AH49" s="6">
        <f t="shared" si="8"/>
        <v>29730.000000000004</v>
      </c>
      <c r="AI49" s="81"/>
      <c r="AJ49" s="148">
        <f t="shared" si="17"/>
        <v>0</v>
      </c>
      <c r="AK49" s="152">
        <f t="shared" si="9"/>
        <v>117191.99999999999</v>
      </c>
      <c r="AL49" s="148">
        <v>28171</v>
      </c>
      <c r="AM49" s="48">
        <f t="shared" si="21"/>
        <v>24.038330261451296</v>
      </c>
      <c r="AN49" s="6">
        <f t="shared" si="10"/>
        <v>180032.99999999997</v>
      </c>
      <c r="AO49" s="273"/>
      <c r="AP49" s="48">
        <f t="shared" si="24"/>
        <v>0</v>
      </c>
      <c r="AQ49" s="6">
        <f t="shared" si="11"/>
        <v>877692</v>
      </c>
      <c r="AR49" s="35">
        <f t="shared" si="14"/>
        <v>105284</v>
      </c>
      <c r="AS49" s="35">
        <f t="shared" si="16"/>
        <v>11.995551970395081</v>
      </c>
    </row>
    <row r="50" spans="1:45" ht="12.75">
      <c r="A50" s="161">
        <v>43901</v>
      </c>
      <c r="B50" s="48">
        <f>3.8793-1.9151</f>
        <v>1.9642000000000002</v>
      </c>
      <c r="C50" s="48">
        <f>47.0773-43.087</f>
        <v>3.9902999999999977</v>
      </c>
      <c r="D50" s="48">
        <f>4.6291-1.9781</f>
        <v>2.6510000000000002</v>
      </c>
      <c r="E50" s="35">
        <f>6.0018-1.8177</f>
        <v>4.1840999999999999</v>
      </c>
      <c r="F50" s="48">
        <f>2.8513-1.8322</f>
        <v>1.0191000000000001</v>
      </c>
      <c r="G50" s="35">
        <f>-1.7354+7.5104</f>
        <v>5.7749999999999995</v>
      </c>
      <c r="H50" s="35">
        <f>5.7486-1.9055</f>
        <v>3.8430999999999997</v>
      </c>
      <c r="I50" s="2">
        <f t="shared" si="27"/>
        <v>23.426799999999997</v>
      </c>
      <c r="J50" s="17"/>
      <c r="K50" s="10"/>
      <c r="L50" s="10"/>
      <c r="M50" s="10"/>
      <c r="N50" s="10"/>
      <c r="O50" s="10"/>
      <c r="P50" s="10"/>
      <c r="Q50" s="10"/>
      <c r="R50" s="2"/>
      <c r="S50" s="273"/>
      <c r="T50" s="74"/>
      <c r="U50" s="74"/>
      <c r="V50" s="145">
        <f t="shared" si="28"/>
        <v>58926.000000000007</v>
      </c>
      <c r="W50" s="81"/>
      <c r="X50" s="81"/>
      <c r="Y50" s="148">
        <f t="shared" si="22"/>
        <v>119708.99999999993</v>
      </c>
      <c r="Z50" s="148">
        <f>ROUND(Y50*0.4447,0)</f>
        <v>53235</v>
      </c>
      <c r="AA50" s="148">
        <f t="shared" si="19"/>
        <v>44.470340575896579</v>
      </c>
      <c r="AB50" s="150">
        <f t="shared" si="6"/>
        <v>79530.000000000015</v>
      </c>
      <c r="AC50" s="151">
        <v>37367</v>
      </c>
      <c r="AD50" s="150">
        <f t="shared" si="20"/>
        <v>46.984785615491006</v>
      </c>
      <c r="AE50" s="150">
        <f t="shared" si="7"/>
        <v>125523</v>
      </c>
      <c r="AF50" s="81"/>
      <c r="AG50" s="35">
        <f t="shared" si="26"/>
        <v>0</v>
      </c>
      <c r="AH50" s="6">
        <f t="shared" si="8"/>
        <v>30573.000000000004</v>
      </c>
      <c r="AI50" s="81"/>
      <c r="AJ50" s="148">
        <f t="shared" si="17"/>
        <v>0</v>
      </c>
      <c r="AK50" s="152">
        <f t="shared" si="9"/>
        <v>173249.99999999997</v>
      </c>
      <c r="AL50" s="148">
        <v>41647</v>
      </c>
      <c r="AM50" s="48">
        <f t="shared" si="21"/>
        <v>24.038672438672442</v>
      </c>
      <c r="AN50" s="6">
        <f t="shared" si="10"/>
        <v>115292.99999999999</v>
      </c>
      <c r="AO50" s="273"/>
      <c r="AP50" s="48">
        <f t="shared" si="24"/>
        <v>0</v>
      </c>
      <c r="AQ50" s="6">
        <f t="shared" si="11"/>
        <v>702803.99999999988</v>
      </c>
      <c r="AR50" s="35">
        <f t="shared" si="14"/>
        <v>132249</v>
      </c>
      <c r="AS50" s="35">
        <f t="shared" si="16"/>
        <v>18.817337408438203</v>
      </c>
    </row>
    <row r="51" spans="1:45" ht="12.75">
      <c r="A51" s="161">
        <v>43903</v>
      </c>
      <c r="B51" s="35">
        <f>-2.0859+7.1456</f>
        <v>5.0596999999999994</v>
      </c>
      <c r="C51" s="35">
        <f>-49.177+53.7404</f>
        <v>4.5634000000000015</v>
      </c>
      <c r="D51" s="35">
        <f>-1.9442+4.6448</f>
        <v>2.7006000000000001</v>
      </c>
      <c r="E51" s="35">
        <f>-1.8879+2.7933</f>
        <v>0.90539999999999998</v>
      </c>
      <c r="F51" s="35">
        <f>-1.8819+2.4608</f>
        <v>0.57889999999999997</v>
      </c>
      <c r="G51" s="35">
        <f>-1.9234+9.4791-2.0172+7.02</f>
        <v>12.5585</v>
      </c>
      <c r="H51" s="35">
        <f>-2.0072+4.0082</f>
        <v>2.0010000000000003</v>
      </c>
      <c r="I51" s="2">
        <f t="shared" si="27"/>
        <v>28.367500000000003</v>
      </c>
      <c r="J51" s="17"/>
      <c r="K51" s="10"/>
      <c r="L51" s="10"/>
      <c r="M51" s="10"/>
      <c r="N51" s="10"/>
      <c r="O51" s="10"/>
      <c r="P51" s="10"/>
      <c r="Q51" s="10"/>
      <c r="R51" s="2"/>
      <c r="S51" s="273"/>
      <c r="T51" s="74"/>
      <c r="U51" s="74"/>
      <c r="V51" s="145">
        <f t="shared" si="28"/>
        <v>151790.99999999997</v>
      </c>
      <c r="W51" s="148"/>
      <c r="X51" s="81"/>
      <c r="Y51" s="148">
        <f t="shared" si="22"/>
        <v>136902.00000000006</v>
      </c>
      <c r="Z51" s="148"/>
      <c r="AA51" s="148">
        <f t="shared" si="19"/>
        <v>0</v>
      </c>
      <c r="AB51" s="150">
        <f t="shared" si="6"/>
        <v>81018</v>
      </c>
      <c r="AC51" s="151">
        <v>38066</v>
      </c>
      <c r="AD51" s="150">
        <f t="shared" si="20"/>
        <v>46.984620701572489</v>
      </c>
      <c r="AE51" s="150">
        <f t="shared" si="7"/>
        <v>27162</v>
      </c>
      <c r="AF51" s="81"/>
      <c r="AG51" s="35">
        <f t="shared" si="26"/>
        <v>0</v>
      </c>
      <c r="AH51" s="6">
        <f t="shared" si="8"/>
        <v>17367</v>
      </c>
      <c r="AI51" s="81"/>
      <c r="AJ51" s="148">
        <f t="shared" si="17"/>
        <v>0</v>
      </c>
      <c r="AK51" s="152">
        <f t="shared" si="9"/>
        <v>376755</v>
      </c>
      <c r="AL51" s="148">
        <v>137658</v>
      </c>
      <c r="AM51" s="48">
        <f t="shared" si="21"/>
        <v>36.537803081578211</v>
      </c>
      <c r="AN51" s="6">
        <f t="shared" si="10"/>
        <v>60030.000000000007</v>
      </c>
      <c r="AO51" s="273"/>
      <c r="AP51" s="48">
        <f t="shared" si="24"/>
        <v>0</v>
      </c>
      <c r="AQ51" s="6">
        <f t="shared" si="11"/>
        <v>851025.00000000012</v>
      </c>
      <c r="AR51" s="35">
        <f t="shared" si="14"/>
        <v>175724</v>
      </c>
      <c r="AS51" s="35">
        <f t="shared" si="16"/>
        <v>20.648512088364029</v>
      </c>
    </row>
    <row r="52" spans="1:45" ht="12.75">
      <c r="A52" s="161">
        <v>43906</v>
      </c>
      <c r="B52" s="35">
        <f>-1.9483+2.9811</f>
        <v>1.0328000000000002</v>
      </c>
      <c r="C52" s="48">
        <v>0.90480000000000005</v>
      </c>
      <c r="D52" s="48">
        <f>-1.6873+2.1559</f>
        <v>0.46859999999999991</v>
      </c>
      <c r="E52" s="35">
        <f>-2.1077+3.7665</f>
        <v>1.6588000000000003</v>
      </c>
      <c r="F52" s="35">
        <f>-1.9012+2.1941</f>
        <v>0.29290000000000016</v>
      </c>
      <c r="G52" s="48">
        <v>11.444800000000001</v>
      </c>
      <c r="H52" s="35">
        <f>-1.9655+2.5844</f>
        <v>0.61890000000000001</v>
      </c>
      <c r="I52" s="2">
        <f t="shared" si="27"/>
        <v>16.421600000000002</v>
      </c>
      <c r="J52" s="17"/>
      <c r="K52" s="10"/>
      <c r="L52" s="10"/>
      <c r="M52" s="10"/>
      <c r="N52" s="10"/>
      <c r="O52" s="10"/>
      <c r="P52" s="10"/>
      <c r="Q52" s="10"/>
      <c r="R52" s="2"/>
      <c r="S52" s="273"/>
      <c r="T52" s="74"/>
      <c r="U52" s="74"/>
      <c r="V52" s="145">
        <f t="shared" si="28"/>
        <v>30984.000000000004</v>
      </c>
      <c r="W52" s="148">
        <f t="shared" ref="W52:W53" si="29">ROUND(V52*0.4447,0)</f>
        <v>13779</v>
      </c>
      <c r="X52" s="148">
        <f t="shared" ref="X52:X53" si="30">W52/V52*100</f>
        <v>44.471340046475596</v>
      </c>
      <c r="Y52" s="148">
        <f t="shared" si="22"/>
        <v>27144</v>
      </c>
      <c r="Z52" s="148">
        <f t="shared" ref="Z52:Z53" si="31">ROUND(Y52*0.4447,0)</f>
        <v>12071</v>
      </c>
      <c r="AA52" s="148">
        <f t="shared" si="19"/>
        <v>44.470232832301797</v>
      </c>
      <c r="AB52" s="150">
        <f t="shared" si="6"/>
        <v>14057.999999999996</v>
      </c>
      <c r="AC52" s="150">
        <f>ROUND(AB52*0.4447,0)</f>
        <v>6252</v>
      </c>
      <c r="AD52" s="150">
        <f t="shared" si="20"/>
        <v>44.47289799402477</v>
      </c>
      <c r="AE52" s="150">
        <f t="shared" si="7"/>
        <v>49764.000000000007</v>
      </c>
      <c r="AF52" s="148">
        <v>23336</v>
      </c>
      <c r="AG52" s="35">
        <f t="shared" si="26"/>
        <v>46.893336548508955</v>
      </c>
      <c r="AH52" s="6">
        <f t="shared" si="8"/>
        <v>8787.0000000000055</v>
      </c>
      <c r="AI52" s="148">
        <f>ROUND(AH52*0.4447,0)</f>
        <v>3908</v>
      </c>
      <c r="AJ52" s="148">
        <f t="shared" si="17"/>
        <v>44.474792306816866</v>
      </c>
      <c r="AK52" s="152">
        <f t="shared" si="9"/>
        <v>343344</v>
      </c>
      <c r="AL52" s="148">
        <v>86139</v>
      </c>
      <c r="AM52" s="48" t="s">
        <v>27</v>
      </c>
      <c r="AN52" s="6">
        <f t="shared" si="10"/>
        <v>18567</v>
      </c>
      <c r="AO52" s="153">
        <f>ROUND(AN52*0.4447,0)</f>
        <v>8257</v>
      </c>
      <c r="AP52" s="48">
        <f t="shared" si="24"/>
        <v>44.471373943017177</v>
      </c>
      <c r="AQ52" s="6">
        <f t="shared" si="11"/>
        <v>492648.00000000006</v>
      </c>
      <c r="AR52" s="35">
        <f t="shared" si="14"/>
        <v>153742</v>
      </c>
      <c r="AS52" s="35">
        <f t="shared" si="16"/>
        <v>31.207271723421183</v>
      </c>
    </row>
    <row r="53" spans="1:45" ht="12.75">
      <c r="A53" s="161">
        <v>43908</v>
      </c>
      <c r="B53" s="35">
        <f>-1.9142+2.785+(-7.2682-8.9036-9.3154-8.6134+7.2689+8.9879+9.5958+9.4236)</f>
        <v>2.0464000000000029</v>
      </c>
      <c r="C53" s="48">
        <v>1.038</v>
      </c>
      <c r="D53" s="48">
        <v>1.05</v>
      </c>
      <c r="E53" s="35">
        <f>-1.9129+2.7796+(-9.0606-8.8745+10.1344+10.8532)</f>
        <v>3.9192</v>
      </c>
      <c r="F53" s="48">
        <v>0</v>
      </c>
      <c r="G53" s="48">
        <v>11.5783</v>
      </c>
      <c r="H53" s="35">
        <f>-2.1083+2.5608+(-9.2964-8.4486-9.4819+9.5146+9.8106+8.6084)</f>
        <v>1.1592000000000016</v>
      </c>
      <c r="I53" s="2">
        <f t="shared" si="27"/>
        <v>20.791100000000004</v>
      </c>
      <c r="J53" s="17"/>
      <c r="K53" s="10"/>
      <c r="L53" s="10"/>
      <c r="M53" s="10"/>
      <c r="N53" s="10"/>
      <c r="O53" s="10"/>
      <c r="P53" s="10"/>
      <c r="Q53" s="10"/>
      <c r="R53" s="2"/>
      <c r="S53" s="273"/>
      <c r="T53" s="74"/>
      <c r="U53" s="74"/>
      <c r="V53" s="145">
        <f t="shared" si="28"/>
        <v>61392.000000000087</v>
      </c>
      <c r="W53" s="148">
        <f t="shared" si="29"/>
        <v>27301</v>
      </c>
      <c r="X53" s="148">
        <f t="shared" si="30"/>
        <v>44.469963513161261</v>
      </c>
      <c r="Y53" s="148">
        <f t="shared" si="22"/>
        <v>31140</v>
      </c>
      <c r="Z53" s="148">
        <f t="shared" si="31"/>
        <v>13848</v>
      </c>
      <c r="AA53" s="148">
        <f t="shared" si="19"/>
        <v>44.470134874759154</v>
      </c>
      <c r="AB53" s="150">
        <f t="shared" si="6"/>
        <v>31500</v>
      </c>
      <c r="AC53" s="151">
        <v>6427</v>
      </c>
      <c r="AD53" s="150">
        <f t="shared" si="20"/>
        <v>20.403174603174605</v>
      </c>
      <c r="AE53" s="150">
        <f t="shared" si="7"/>
        <v>117576</v>
      </c>
      <c r="AF53" s="148">
        <v>55237</v>
      </c>
      <c r="AG53" s="35">
        <f t="shared" si="26"/>
        <v>46.979825814792136</v>
      </c>
      <c r="AH53" s="6">
        <f t="shared" si="8"/>
        <v>0</v>
      </c>
      <c r="AI53" s="81"/>
      <c r="AJ53" s="81"/>
      <c r="AK53" s="152">
        <f t="shared" si="9"/>
        <v>347349</v>
      </c>
      <c r="AL53" s="148">
        <v>33173</v>
      </c>
      <c r="AM53" s="48">
        <f t="shared" si="21"/>
        <v>9.5503369809615108</v>
      </c>
      <c r="AN53" s="6">
        <f t="shared" si="10"/>
        <v>34776.000000000044</v>
      </c>
      <c r="AO53" s="273"/>
      <c r="AP53" s="273"/>
      <c r="AQ53" s="6">
        <f t="shared" si="11"/>
        <v>623733.00000000012</v>
      </c>
      <c r="AR53" s="35">
        <f t="shared" si="14"/>
        <v>135986</v>
      </c>
      <c r="AS53" s="35">
        <f t="shared" si="16"/>
        <v>21.801956927082578</v>
      </c>
    </row>
    <row r="54" spans="1:45" ht="12.75">
      <c r="A54" s="161">
        <v>43908</v>
      </c>
      <c r="B54" s="273"/>
      <c r="C54" s="273"/>
      <c r="D54" s="273"/>
      <c r="E54" s="273"/>
      <c r="F54" s="273"/>
      <c r="G54" s="48">
        <v>4.1298000000000004</v>
      </c>
      <c r="H54" s="273"/>
      <c r="I54" s="2"/>
      <c r="J54" s="17" t="s">
        <v>46</v>
      </c>
      <c r="K54" s="10"/>
      <c r="L54" s="10"/>
      <c r="M54" s="10"/>
      <c r="N54" s="10"/>
      <c r="O54" s="10"/>
      <c r="P54" s="10"/>
      <c r="Q54" s="10"/>
      <c r="R54" s="2"/>
      <c r="S54" s="273"/>
      <c r="T54" s="74"/>
      <c r="U54" s="74"/>
      <c r="V54" s="145"/>
      <c r="W54" s="148"/>
      <c r="X54" s="81"/>
      <c r="Y54" s="148"/>
      <c r="Z54" s="81"/>
      <c r="AA54" s="81"/>
      <c r="AB54" s="150"/>
      <c r="AC54" s="149"/>
      <c r="AD54" s="149"/>
      <c r="AE54" s="150"/>
      <c r="AF54" s="81"/>
      <c r="AG54" s="273"/>
      <c r="AH54" s="6"/>
      <c r="AI54" s="81"/>
      <c r="AJ54" s="81"/>
      <c r="AK54" s="152">
        <f>G54*30000</f>
        <v>123894.00000000001</v>
      </c>
      <c r="AL54" s="148">
        <v>64164</v>
      </c>
      <c r="AM54" s="48">
        <f t="shared" si="21"/>
        <v>51.789432902319717</v>
      </c>
      <c r="AN54" s="6"/>
      <c r="AO54" s="273"/>
      <c r="AP54" s="273"/>
      <c r="AQ54" s="6"/>
      <c r="AR54" s="273"/>
      <c r="AS54" s="273"/>
    </row>
    <row r="55" spans="1:45" ht="12.75">
      <c r="A55" s="161">
        <v>43908</v>
      </c>
      <c r="B55" s="273"/>
      <c r="C55" s="273"/>
      <c r="D55" s="273"/>
      <c r="E55" s="273"/>
      <c r="F55" s="273"/>
      <c r="G55" s="48">
        <v>4.1532999999999998</v>
      </c>
      <c r="H55" s="273"/>
      <c r="I55" s="2"/>
      <c r="J55" s="17" t="s">
        <v>47</v>
      </c>
      <c r="K55" s="10"/>
      <c r="L55" s="10"/>
      <c r="M55" s="10"/>
      <c r="N55" s="10"/>
      <c r="O55" s="10"/>
      <c r="P55" s="10"/>
      <c r="Q55" s="10"/>
      <c r="R55" s="2"/>
      <c r="S55" s="273"/>
      <c r="T55" s="74"/>
      <c r="U55" s="74"/>
      <c r="V55" s="145"/>
      <c r="W55" s="148"/>
      <c r="X55" s="81"/>
      <c r="Y55" s="148"/>
      <c r="Z55" s="81"/>
      <c r="AA55" s="81"/>
      <c r="AB55" s="150"/>
      <c r="AC55" s="149"/>
      <c r="AD55" s="149"/>
      <c r="AE55" s="150"/>
      <c r="AF55" s="81"/>
      <c r="AG55" s="273"/>
      <c r="AH55" s="6"/>
      <c r="AI55" s="81"/>
      <c r="AJ55" s="81"/>
      <c r="AK55" s="152">
        <f t="shared" si="9"/>
        <v>124599</v>
      </c>
      <c r="AL55" s="148">
        <v>41920</v>
      </c>
      <c r="AM55" s="48">
        <f t="shared" si="21"/>
        <v>33.643929726562817</v>
      </c>
      <c r="AN55" s="6"/>
      <c r="AO55" s="273"/>
      <c r="AP55" s="273"/>
      <c r="AQ55" s="6"/>
      <c r="AR55" s="273"/>
      <c r="AS55" s="273"/>
    </row>
    <row r="56" spans="1:45" ht="12.75">
      <c r="A56" s="161">
        <v>43910</v>
      </c>
      <c r="B56" s="35">
        <f>-1.956+2.8399</f>
        <v>0.88390000000000013</v>
      </c>
      <c r="C56" s="48">
        <v>0.73070000000000002</v>
      </c>
      <c r="D56" s="48">
        <v>0</v>
      </c>
      <c r="E56" s="48">
        <f>-1.9291+2.3315</f>
        <v>0.40240000000000009</v>
      </c>
      <c r="F56" s="48">
        <v>0</v>
      </c>
      <c r="G56" s="35">
        <f>-1.9752+2.7195</f>
        <v>0.74429999999999996</v>
      </c>
      <c r="H56" s="35">
        <f>-1.9355+1.9627</f>
        <v>2.7199999999999891E-2</v>
      </c>
      <c r="I56" s="2">
        <f t="shared" ref="I56:I114" si="32">SUM(B56:H56)</f>
        <v>2.7885</v>
      </c>
      <c r="J56" s="17"/>
      <c r="K56" s="10"/>
      <c r="L56" s="10"/>
      <c r="M56" s="10"/>
      <c r="N56" s="10"/>
      <c r="O56" s="10"/>
      <c r="P56" s="10"/>
      <c r="Q56" s="10"/>
      <c r="R56" s="2"/>
      <c r="S56" s="273"/>
      <c r="T56" s="74"/>
      <c r="U56" s="74"/>
      <c r="V56" s="145">
        <f t="shared" ref="V56:V62" si="33">B56*30000</f>
        <v>26517.000000000004</v>
      </c>
      <c r="W56" s="148">
        <v>0</v>
      </c>
      <c r="X56" s="148" t="s">
        <v>48</v>
      </c>
      <c r="Y56" s="148">
        <f>C56*30000</f>
        <v>21921</v>
      </c>
      <c r="Z56" s="81"/>
      <c r="AA56" s="148">
        <f t="shared" ref="AA56:AA57" si="34">Z56/Y56*100</f>
        <v>0</v>
      </c>
      <c r="AB56" s="150">
        <f t="shared" ref="AB56:AB62" si="35">D56*30000</f>
        <v>0</v>
      </c>
      <c r="AC56" s="150">
        <f>AB46+AB47</f>
        <v>472074</v>
      </c>
      <c r="AD56" s="150">
        <f>AC57/AC56*100</f>
        <v>25.762122826036105</v>
      </c>
      <c r="AE56" s="150">
        <f t="shared" ref="AE56:AE62" si="36">E56*30000</f>
        <v>12072.000000000004</v>
      </c>
      <c r="AF56" s="81"/>
      <c r="AG56" s="35">
        <f t="shared" ref="AG56:AG62" si="37">AF56/AE56*100</f>
        <v>0</v>
      </c>
      <c r="AH56" s="6">
        <f t="shared" ref="AH56:AH62" si="38">F56*30000</f>
        <v>0</v>
      </c>
      <c r="AI56" s="81"/>
      <c r="AJ56" s="81"/>
      <c r="AK56" s="152">
        <f t="shared" si="9"/>
        <v>22329</v>
      </c>
      <c r="AL56" s="81"/>
      <c r="AM56" s="48">
        <f t="shared" si="21"/>
        <v>0</v>
      </c>
      <c r="AN56" s="6">
        <f t="shared" ref="AN56:AN62" si="39">H56*30000</f>
        <v>815.9999999999967</v>
      </c>
      <c r="AO56" s="273"/>
      <c r="AP56" s="273"/>
      <c r="AQ56" s="6">
        <f t="shared" ref="AQ56:AQ62" si="40">I56*30000</f>
        <v>83655</v>
      </c>
      <c r="AR56" s="35">
        <f t="shared" ref="AR56:AR62" si="41">SUM(W56,Z56,AC56,AF56,AI56,AL56,AO56)</f>
        <v>472074</v>
      </c>
      <c r="AS56" s="35">
        <f t="shared" ref="AS56:AS62" si="42">AR56/AQ56*100</f>
        <v>564.31056123363817</v>
      </c>
    </row>
    <row r="57" spans="1:45" ht="12.75">
      <c r="A57" s="161">
        <v>43913</v>
      </c>
      <c r="B57" s="35">
        <f>-1.9808+2.5366</f>
        <v>0.55580000000000007</v>
      </c>
      <c r="C57" s="273"/>
      <c r="D57" s="35">
        <f>-1.8944+1.9761</f>
        <v>8.1699999999999884E-2</v>
      </c>
      <c r="E57" s="35">
        <f>-1.87+1.915</f>
        <v>4.4999999999999929E-2</v>
      </c>
      <c r="F57" s="273"/>
      <c r="G57" s="35">
        <f>-1.7427+2.11</f>
        <v>0.36729999999999996</v>
      </c>
      <c r="H57" s="35">
        <f>-1.7662+1.7834</f>
        <v>1.7200000000000104E-2</v>
      </c>
      <c r="I57" s="2">
        <f t="shared" si="32"/>
        <v>1.0669999999999999</v>
      </c>
      <c r="J57" s="17"/>
      <c r="K57" s="10"/>
      <c r="L57" s="10"/>
      <c r="M57" s="10"/>
      <c r="N57" s="10"/>
      <c r="O57" s="10"/>
      <c r="P57" s="10"/>
      <c r="Q57" s="10"/>
      <c r="R57" s="2"/>
      <c r="S57" s="273"/>
      <c r="T57" s="74"/>
      <c r="U57" s="74"/>
      <c r="V57" s="145">
        <f t="shared" si="33"/>
        <v>16674.000000000004</v>
      </c>
      <c r="W57" s="148">
        <f>ROUND(V57*0.4447,0)</f>
        <v>7415</v>
      </c>
      <c r="X57" s="148">
        <f>W57/V57*100</f>
        <v>44.470433009475819</v>
      </c>
      <c r="Y57" s="148">
        <f>E57*30000</f>
        <v>1349.999999999998</v>
      </c>
      <c r="Z57" s="81"/>
      <c r="AA57" s="148">
        <f t="shared" si="34"/>
        <v>0</v>
      </c>
      <c r="AB57" s="150">
        <f t="shared" si="35"/>
        <v>2450.9999999999964</v>
      </c>
      <c r="AC57" s="150">
        <v>121616.28370978168</v>
      </c>
      <c r="AD57" s="150">
        <f>AC57/AB57*100</f>
        <v>4961.9046801216591</v>
      </c>
      <c r="AE57" s="150">
        <f t="shared" si="36"/>
        <v>1349.999999999998</v>
      </c>
      <c r="AF57" s="81"/>
      <c r="AG57" s="35">
        <f t="shared" si="37"/>
        <v>0</v>
      </c>
      <c r="AH57" s="6">
        <f t="shared" si="38"/>
        <v>0</v>
      </c>
      <c r="AI57" s="81"/>
      <c r="AJ57" s="81"/>
      <c r="AK57" s="152">
        <f t="shared" si="9"/>
        <v>11018.999999999998</v>
      </c>
      <c r="AL57" s="81"/>
      <c r="AM57" s="48">
        <f t="shared" si="21"/>
        <v>0</v>
      </c>
      <c r="AN57" s="6">
        <f t="shared" si="39"/>
        <v>516.00000000000307</v>
      </c>
      <c r="AO57" s="273"/>
      <c r="AP57" s="273"/>
      <c r="AQ57" s="6">
        <f t="shared" si="40"/>
        <v>32010</v>
      </c>
      <c r="AR57" s="35">
        <f t="shared" si="41"/>
        <v>129031.28370978168</v>
      </c>
      <c r="AS57" s="35">
        <f t="shared" si="42"/>
        <v>403.09679384499123</v>
      </c>
    </row>
    <row r="58" spans="1:45" ht="12.75">
      <c r="A58" s="161">
        <v>43915</v>
      </c>
      <c r="B58" s="48">
        <v>2.1</v>
      </c>
      <c r="C58" s="273"/>
      <c r="D58" s="273"/>
      <c r="E58" s="273"/>
      <c r="F58" s="273"/>
      <c r="G58" s="273"/>
      <c r="H58" s="273"/>
      <c r="I58" s="2">
        <f t="shared" si="32"/>
        <v>2.1</v>
      </c>
      <c r="J58" s="17"/>
      <c r="K58" s="10"/>
      <c r="L58" s="10"/>
      <c r="M58" s="10"/>
      <c r="N58" s="10"/>
      <c r="O58" s="10"/>
      <c r="P58" s="10"/>
      <c r="Q58" s="10"/>
      <c r="R58" s="2"/>
      <c r="S58" s="273"/>
      <c r="T58" s="74"/>
      <c r="U58" s="74"/>
      <c r="V58" s="145">
        <f t="shared" si="33"/>
        <v>63000</v>
      </c>
      <c r="W58" s="81"/>
      <c r="X58" s="81"/>
      <c r="Y58" s="148">
        <f t="shared" ref="Y58:Y62" si="43">C58*30000</f>
        <v>0</v>
      </c>
      <c r="Z58" s="81"/>
      <c r="AA58" s="81"/>
      <c r="AB58" s="150">
        <f t="shared" si="35"/>
        <v>0</v>
      </c>
      <c r="AC58" s="149"/>
      <c r="AD58" s="149"/>
      <c r="AE58" s="150">
        <f t="shared" si="36"/>
        <v>0</v>
      </c>
      <c r="AF58" s="81"/>
      <c r="AG58" s="35" t="e">
        <f t="shared" si="37"/>
        <v>#DIV/0!</v>
      </c>
      <c r="AH58" s="6">
        <f t="shared" si="38"/>
        <v>0</v>
      </c>
      <c r="AI58" s="81"/>
      <c r="AJ58" s="81"/>
      <c r="AK58" s="152">
        <f t="shared" si="9"/>
        <v>0</v>
      </c>
      <c r="AL58" s="81"/>
      <c r="AM58" s="48" t="e">
        <f t="shared" si="21"/>
        <v>#DIV/0!</v>
      </c>
      <c r="AN58" s="6">
        <f t="shared" si="39"/>
        <v>0</v>
      </c>
      <c r="AO58" s="273"/>
      <c r="AP58" s="273"/>
      <c r="AQ58" s="6">
        <f t="shared" si="40"/>
        <v>63000</v>
      </c>
      <c r="AR58" s="35">
        <f t="shared" si="41"/>
        <v>0</v>
      </c>
      <c r="AS58" s="35">
        <f t="shared" si="42"/>
        <v>0</v>
      </c>
    </row>
    <row r="59" spans="1:45" ht="12.75">
      <c r="A59" s="161">
        <v>43917</v>
      </c>
      <c r="B59" s="35">
        <f>-1.8256+4.9256</f>
        <v>3.1000000000000005</v>
      </c>
      <c r="C59" s="273"/>
      <c r="D59" s="273"/>
      <c r="E59" s="48">
        <v>0.22789999999999999</v>
      </c>
      <c r="F59" s="48">
        <v>0.12770000000000001</v>
      </c>
      <c r="G59" s="48">
        <v>0.12640000000000001</v>
      </c>
      <c r="H59" s="273"/>
      <c r="I59" s="2">
        <f t="shared" si="32"/>
        <v>3.5820000000000003</v>
      </c>
      <c r="J59" s="17"/>
      <c r="K59" s="10"/>
      <c r="L59" s="10"/>
      <c r="M59" s="10"/>
      <c r="N59" s="10"/>
      <c r="O59" s="10"/>
      <c r="P59" s="10"/>
      <c r="Q59" s="10"/>
      <c r="R59" s="2"/>
      <c r="S59" s="273"/>
      <c r="T59" s="74"/>
      <c r="U59" s="74"/>
      <c r="V59" s="145">
        <f t="shared" si="33"/>
        <v>93000.000000000015</v>
      </c>
      <c r="W59" s="81"/>
      <c r="X59" s="148">
        <f t="shared" ref="X59:X60" si="44">W59/V59*100</f>
        <v>0</v>
      </c>
      <c r="Y59" s="148">
        <f t="shared" si="43"/>
        <v>0</v>
      </c>
      <c r="Z59" s="81"/>
      <c r="AA59" s="81"/>
      <c r="AB59" s="150">
        <f t="shared" si="35"/>
        <v>0</v>
      </c>
      <c r="AC59" s="149"/>
      <c r="AD59" s="149"/>
      <c r="AE59" s="150">
        <f t="shared" si="36"/>
        <v>6837</v>
      </c>
      <c r="AF59" s="81"/>
      <c r="AG59" s="35">
        <f t="shared" si="37"/>
        <v>0</v>
      </c>
      <c r="AH59" s="6">
        <f t="shared" si="38"/>
        <v>3831.0000000000005</v>
      </c>
      <c r="AI59" s="273"/>
      <c r="AJ59" s="48">
        <f>AI59/AH59*100</f>
        <v>0</v>
      </c>
      <c r="AK59" s="6">
        <f t="shared" si="9"/>
        <v>3792.0000000000005</v>
      </c>
      <c r="AL59" s="273"/>
      <c r="AM59" s="48">
        <f t="shared" si="21"/>
        <v>0</v>
      </c>
      <c r="AN59" s="6">
        <f t="shared" si="39"/>
        <v>0</v>
      </c>
      <c r="AO59" s="273"/>
      <c r="AP59" s="273"/>
      <c r="AQ59" s="6">
        <f t="shared" si="40"/>
        <v>107460.00000000001</v>
      </c>
      <c r="AR59" s="35">
        <f t="shared" si="41"/>
        <v>0</v>
      </c>
      <c r="AS59" s="35">
        <f t="shared" si="42"/>
        <v>0</v>
      </c>
    </row>
    <row r="60" spans="1:45" ht="12.75">
      <c r="A60" s="161">
        <v>43920</v>
      </c>
      <c r="B60" s="35">
        <f>-2.0422+3.8381</f>
        <v>1.7959000000000001</v>
      </c>
      <c r="C60" s="48">
        <v>0.16370000000000001</v>
      </c>
      <c r="D60" s="35">
        <f>-1.8016+2.2404</f>
        <v>0.43880000000000008</v>
      </c>
      <c r="E60" s="35">
        <f>-1.9367+2.2711</f>
        <v>0.33440000000000003</v>
      </c>
      <c r="F60" s="273"/>
      <c r="G60" s="35">
        <f>-1.9914+4.8057</f>
        <v>2.8142999999999998</v>
      </c>
      <c r="H60" s="273"/>
      <c r="I60" s="2">
        <f t="shared" si="32"/>
        <v>5.5471000000000004</v>
      </c>
      <c r="J60" s="17"/>
      <c r="K60" s="10"/>
      <c r="L60" s="10"/>
      <c r="M60" s="10"/>
      <c r="N60" s="10"/>
      <c r="O60" s="10"/>
      <c r="P60" s="10"/>
      <c r="Q60" s="10"/>
      <c r="R60" s="2"/>
      <c r="S60" s="273"/>
      <c r="T60" s="74"/>
      <c r="U60" s="74"/>
      <c r="V60" s="145">
        <f t="shared" si="33"/>
        <v>53877</v>
      </c>
      <c r="W60" s="81"/>
      <c r="X60" s="148">
        <f t="shared" si="44"/>
        <v>0</v>
      </c>
      <c r="Y60" s="148">
        <f t="shared" si="43"/>
        <v>4911</v>
      </c>
      <c r="Z60" s="81"/>
      <c r="AA60" s="148">
        <f>Z60/Y60*100</f>
        <v>0</v>
      </c>
      <c r="AB60" s="150">
        <f t="shared" si="35"/>
        <v>13164.000000000002</v>
      </c>
      <c r="AC60" s="149"/>
      <c r="AD60" s="150">
        <f>AC60/AB60*100</f>
        <v>0</v>
      </c>
      <c r="AE60" s="150">
        <f t="shared" si="36"/>
        <v>10032.000000000002</v>
      </c>
      <c r="AF60" s="81"/>
      <c r="AG60" s="35">
        <f t="shared" si="37"/>
        <v>0</v>
      </c>
      <c r="AH60" s="6">
        <f t="shared" si="38"/>
        <v>0</v>
      </c>
      <c r="AI60" s="273"/>
      <c r="AJ60" s="273"/>
      <c r="AK60" s="6">
        <f t="shared" si="9"/>
        <v>84429</v>
      </c>
      <c r="AL60" s="273"/>
      <c r="AM60" s="48">
        <f t="shared" si="21"/>
        <v>0</v>
      </c>
      <c r="AN60" s="6">
        <f t="shared" si="39"/>
        <v>0</v>
      </c>
      <c r="AO60" s="273"/>
      <c r="AP60" s="273"/>
      <c r="AQ60" s="6">
        <f t="shared" si="40"/>
        <v>166413</v>
      </c>
      <c r="AR60" s="35">
        <f t="shared" si="41"/>
        <v>0</v>
      </c>
      <c r="AS60" s="35">
        <f t="shared" si="42"/>
        <v>0</v>
      </c>
    </row>
    <row r="61" spans="1:45" ht="12.75">
      <c r="A61" s="161">
        <v>43922</v>
      </c>
      <c r="B61" s="35">
        <f>-1.8434+3.1095</f>
        <v>1.2661000000000002</v>
      </c>
      <c r="C61" s="273"/>
      <c r="D61" s="273"/>
      <c r="E61" s="35">
        <f>-1.9947+2.5727</f>
        <v>0.57800000000000029</v>
      </c>
      <c r="F61" s="273"/>
      <c r="G61" s="35">
        <f>-1.9287+3.952</f>
        <v>2.0232999999999999</v>
      </c>
      <c r="H61" s="35">
        <f>-1.9983+2.9419</f>
        <v>0.94359999999999999</v>
      </c>
      <c r="I61" s="2">
        <f t="shared" si="32"/>
        <v>4.8109999999999999</v>
      </c>
      <c r="J61" s="17"/>
      <c r="K61" s="10"/>
      <c r="L61" s="10"/>
      <c r="M61" s="10"/>
      <c r="N61" s="10"/>
      <c r="O61" s="10"/>
      <c r="P61" s="10"/>
      <c r="Q61" s="10"/>
      <c r="R61" s="2"/>
      <c r="S61" s="273"/>
      <c r="T61" s="74"/>
      <c r="U61" s="74"/>
      <c r="V61" s="145">
        <f t="shared" si="33"/>
        <v>37983.000000000007</v>
      </c>
      <c r="W61" s="81"/>
      <c r="X61" s="81"/>
      <c r="Y61" s="148">
        <f t="shared" si="43"/>
        <v>0</v>
      </c>
      <c r="Z61" s="81"/>
      <c r="AA61" s="81"/>
      <c r="AB61" s="150">
        <f t="shared" si="35"/>
        <v>0</v>
      </c>
      <c r="AC61" s="149"/>
      <c r="AD61" s="149"/>
      <c r="AE61" s="150">
        <f t="shared" si="36"/>
        <v>17340.000000000007</v>
      </c>
      <c r="AF61" s="81"/>
      <c r="AG61" s="35">
        <f t="shared" si="37"/>
        <v>0</v>
      </c>
      <c r="AH61" s="6">
        <f t="shared" si="38"/>
        <v>0</v>
      </c>
      <c r="AI61" s="273"/>
      <c r="AJ61" s="273"/>
      <c r="AK61" s="6">
        <f t="shared" si="9"/>
        <v>60698.999999999993</v>
      </c>
      <c r="AL61" s="273"/>
      <c r="AM61" s="48">
        <f t="shared" si="21"/>
        <v>0</v>
      </c>
      <c r="AN61" s="6">
        <f t="shared" si="39"/>
        <v>28308</v>
      </c>
      <c r="AO61" s="273"/>
      <c r="AP61" s="273"/>
      <c r="AQ61" s="6">
        <f t="shared" si="40"/>
        <v>144330</v>
      </c>
      <c r="AR61" s="35">
        <f t="shared" si="41"/>
        <v>0</v>
      </c>
      <c r="AS61" s="35">
        <f t="shared" si="42"/>
        <v>0</v>
      </c>
    </row>
    <row r="62" spans="1:45" ht="12.75">
      <c r="A62" s="161">
        <v>43924</v>
      </c>
      <c r="B62" s="35">
        <f>-1.8681+2.7734</f>
        <v>0.90529999999999999</v>
      </c>
      <c r="C62" s="273"/>
      <c r="D62" s="35">
        <f>2.8953-1.9926</f>
        <v>0.90270000000000028</v>
      </c>
      <c r="E62" s="35">
        <f>-1.8996+2.5804</f>
        <v>0.68080000000000007</v>
      </c>
      <c r="F62" s="273"/>
      <c r="G62" s="35">
        <f>-1.9622+6.0411</f>
        <v>4.0789</v>
      </c>
      <c r="H62" s="35">
        <f>7.9661-1.9504</f>
        <v>6.0156999999999998</v>
      </c>
      <c r="I62" s="2">
        <f t="shared" si="32"/>
        <v>12.583400000000001</v>
      </c>
      <c r="J62" s="17"/>
      <c r="K62" s="10"/>
      <c r="L62" s="10"/>
      <c r="M62" s="10"/>
      <c r="N62" s="10"/>
      <c r="O62" s="10"/>
      <c r="P62" s="10"/>
      <c r="Q62" s="10"/>
      <c r="R62" s="2"/>
      <c r="S62" s="273"/>
      <c r="T62" s="74"/>
      <c r="U62" s="74"/>
      <c r="V62" s="145">
        <f t="shared" si="33"/>
        <v>27159</v>
      </c>
      <c r="W62" s="81"/>
      <c r="X62" s="81"/>
      <c r="Y62" s="148">
        <f t="shared" si="43"/>
        <v>0</v>
      </c>
      <c r="Z62" s="81"/>
      <c r="AA62" s="81"/>
      <c r="AB62" s="145">
        <f t="shared" si="35"/>
        <v>27081.000000000007</v>
      </c>
      <c r="AC62" s="74"/>
      <c r="AD62" s="74"/>
      <c r="AE62" s="145">
        <f t="shared" si="36"/>
        <v>20424.000000000004</v>
      </c>
      <c r="AF62" s="273"/>
      <c r="AG62" s="35">
        <f t="shared" si="37"/>
        <v>0</v>
      </c>
      <c r="AH62" s="6">
        <f t="shared" si="38"/>
        <v>0</v>
      </c>
      <c r="AI62" s="273"/>
      <c r="AJ62" s="273"/>
      <c r="AK62" s="6">
        <f t="shared" si="9"/>
        <v>122367</v>
      </c>
      <c r="AL62" s="273"/>
      <c r="AM62" s="48">
        <f t="shared" si="21"/>
        <v>0</v>
      </c>
      <c r="AN62" s="6">
        <f t="shared" si="39"/>
        <v>180471</v>
      </c>
      <c r="AO62" s="273"/>
      <c r="AP62" s="273"/>
      <c r="AQ62" s="6">
        <f t="shared" si="40"/>
        <v>377502.00000000006</v>
      </c>
      <c r="AR62" s="35">
        <f t="shared" si="41"/>
        <v>0</v>
      </c>
      <c r="AS62" s="35">
        <f t="shared" si="42"/>
        <v>0</v>
      </c>
    </row>
    <row r="63" spans="1:45" ht="12.75">
      <c r="A63" s="161">
        <v>43927</v>
      </c>
      <c r="B63" s="35">
        <f>-1.9986+2.3595</f>
        <v>0.36090000000000022</v>
      </c>
      <c r="C63" s="273"/>
      <c r="D63" s="35">
        <f>-1.9737+2.0285</f>
        <v>5.4800000000000182E-2</v>
      </c>
      <c r="E63" s="35">
        <f>-1.7881+2.1007</f>
        <v>0.31259999999999977</v>
      </c>
      <c r="F63" s="273"/>
      <c r="G63" s="35">
        <f>-1.9617+3.2984</f>
        <v>1.3367</v>
      </c>
      <c r="H63" s="48">
        <f>-1.9218+7.2769</f>
        <v>5.3551000000000002</v>
      </c>
      <c r="I63" s="2">
        <f t="shared" si="32"/>
        <v>7.4201000000000006</v>
      </c>
      <c r="J63" s="17"/>
      <c r="K63" s="10"/>
      <c r="L63" s="10"/>
      <c r="M63" s="10"/>
      <c r="N63" s="10"/>
      <c r="O63" s="10"/>
      <c r="P63" s="10"/>
      <c r="Q63" s="10"/>
      <c r="R63" s="2"/>
      <c r="S63" s="273"/>
      <c r="T63" s="74"/>
      <c r="U63" s="74"/>
      <c r="V63" s="145"/>
      <c r="W63" s="81"/>
      <c r="X63" s="81"/>
      <c r="Y63" s="148"/>
      <c r="Z63" s="81"/>
      <c r="AA63" s="81"/>
      <c r="AB63" s="145"/>
      <c r="AC63" s="74"/>
      <c r="AD63" s="74"/>
      <c r="AE63" s="145"/>
      <c r="AF63" s="273"/>
      <c r="AG63" s="273"/>
      <c r="AH63" s="9"/>
      <c r="AI63" s="273"/>
      <c r="AJ63" s="273"/>
      <c r="AK63" s="9"/>
      <c r="AL63" s="273"/>
      <c r="AM63" s="273"/>
      <c r="AN63" s="9"/>
      <c r="AO63" s="273"/>
      <c r="AP63" s="273"/>
      <c r="AQ63" s="9"/>
      <c r="AR63" s="273"/>
      <c r="AS63" s="39"/>
    </row>
    <row r="64" spans="1:45" ht="12.75">
      <c r="A64" s="161">
        <v>43930</v>
      </c>
      <c r="B64" s="48">
        <v>0.77</v>
      </c>
      <c r="C64" s="273"/>
      <c r="D64" s="48">
        <v>2.4249999999999998</v>
      </c>
      <c r="E64" s="48">
        <v>1.3</v>
      </c>
      <c r="F64" s="48">
        <v>1.5</v>
      </c>
      <c r="G64" s="48">
        <v>0.37</v>
      </c>
      <c r="H64" s="48">
        <v>19.905999999999999</v>
      </c>
      <c r="I64" s="2">
        <f t="shared" si="32"/>
        <v>26.271000000000001</v>
      </c>
      <c r="J64" s="17"/>
      <c r="K64" s="10"/>
      <c r="L64" s="10"/>
      <c r="M64" s="10"/>
      <c r="N64" s="10"/>
      <c r="O64" s="10"/>
      <c r="P64" s="10"/>
      <c r="Q64" s="10"/>
      <c r="R64" s="2"/>
      <c r="S64" s="273"/>
      <c r="T64" s="74"/>
      <c r="U64" s="74"/>
      <c r="V64" s="145"/>
      <c r="W64" s="81"/>
      <c r="X64" s="81"/>
      <c r="Y64" s="148"/>
      <c r="Z64" s="81"/>
      <c r="AA64" s="81"/>
      <c r="AB64" s="145"/>
      <c r="AC64" s="74"/>
      <c r="AD64" s="74"/>
      <c r="AE64" s="145"/>
      <c r="AF64" s="273"/>
      <c r="AG64" s="273"/>
      <c r="AH64" s="9"/>
      <c r="AI64" s="273"/>
      <c r="AJ64" s="273"/>
      <c r="AK64" s="9"/>
      <c r="AL64" s="273"/>
      <c r="AM64" s="273"/>
      <c r="AN64" s="9"/>
      <c r="AO64" s="273"/>
      <c r="AP64" s="273"/>
      <c r="AQ64" s="9"/>
      <c r="AR64" s="273"/>
      <c r="AS64" s="39"/>
    </row>
    <row r="65" spans="1:45" ht="12.75">
      <c r="A65" s="161">
        <v>43934</v>
      </c>
      <c r="B65" s="35">
        <f>10.7736-10.71+10.1429-9.96+11.7686-11.13</f>
        <v>0.885099999999996</v>
      </c>
      <c r="C65" s="273"/>
      <c r="D65" s="35">
        <f>9.91-9.715+12.9046-12.71+13.5837-13.46+8.7259-8.415+10.7695-10.29+10.4267-10.14+10.4962-10.11</f>
        <v>1.9766000000000012</v>
      </c>
      <c r="E65" s="35">
        <f>13.242-12.66+12.6781-11.91</f>
        <v>1.3501000000000012</v>
      </c>
      <c r="F65" s="35">
        <f>10.2789-10.08+9.6067-9.45+10.5243-10.3</f>
        <v>0.5799000000000003</v>
      </c>
      <c r="G65" s="48">
        <v>0</v>
      </c>
      <c r="H65" s="35">
        <f>10.2225-9.7+11.1262-9.57+10.6878-9.78+12.4986-10.45+10.9914-10.25+10.3299-10.23+11.9541-11.7974+10.841-9.92+11.9577-9.88+8.596-8.57+15.297-15.07+10.6327-9.04</f>
        <v>10.877500000000001</v>
      </c>
      <c r="I65" s="2">
        <f t="shared" si="32"/>
        <v>15.6692</v>
      </c>
      <c r="J65" s="17"/>
      <c r="K65" s="10"/>
      <c r="L65" s="10"/>
      <c r="M65" s="10"/>
      <c r="N65" s="10"/>
      <c r="O65" s="10"/>
      <c r="P65" s="10"/>
      <c r="Q65" s="10"/>
      <c r="R65" s="2"/>
      <c r="S65" s="273"/>
      <c r="T65" s="74"/>
      <c r="U65" s="74"/>
      <c r="V65" s="145"/>
      <c r="W65" s="74"/>
      <c r="X65" s="74"/>
      <c r="Y65" s="145"/>
      <c r="Z65" s="74"/>
      <c r="AA65" s="74"/>
      <c r="AB65" s="145"/>
      <c r="AC65" s="74"/>
      <c r="AD65" s="74"/>
      <c r="AE65" s="145"/>
      <c r="AF65" s="273"/>
      <c r="AG65" s="273"/>
      <c r="AH65" s="9"/>
      <c r="AI65" s="273"/>
      <c r="AJ65" s="273"/>
      <c r="AK65" s="9"/>
      <c r="AL65" s="273"/>
      <c r="AM65" s="273"/>
      <c r="AN65" s="9"/>
      <c r="AO65" s="273"/>
      <c r="AP65" s="273"/>
      <c r="AQ65" s="9"/>
      <c r="AR65" s="273"/>
      <c r="AS65" s="39"/>
    </row>
    <row r="66" spans="1:45" ht="12.75">
      <c r="A66" s="161">
        <v>43936</v>
      </c>
      <c r="B66" s="35">
        <f>14.8796-14.6212+14.4098-12.3266+6.3395-6.3</f>
        <v>2.3811000000000009</v>
      </c>
      <c r="C66" s="273"/>
      <c r="D66" s="35">
        <f>9.1019-8.9444+10.2684-10.118+8.9898-8.855+14.8245-13.9299+12.4903-12.0602+13.4796-12.8641+14.3064-14.1222</f>
        <v>2.5670999999999999</v>
      </c>
      <c r="E66" s="35">
        <f>14.1727-13.6994+11.5311-10.8034</f>
        <v>1.2010000000000005</v>
      </c>
      <c r="F66" s="35">
        <f>7.9211-7.8215+7.3018-7.2303+10.1277-9.9197+10.3429-9.7291+7.3724-7.1305</f>
        <v>1.2347999999999981</v>
      </c>
      <c r="G66" s="35">
        <f>10.0771-9.93+11.9133-11.8149</f>
        <v>0.24549999999999983</v>
      </c>
      <c r="H66" s="35">
        <f>16.8786-15.3477+14.5493-12.5777+14.2352-13.8949+8.4288-7.5503+19.1463-17.0551+15.3863-15.177+13.2866-13.1258+15.2746-13.8924+13.3439-12.6186+15.0899-12.9938+15.2651-14.1378+15.1861-14.8909+14.6907-14.2378</f>
        <v>13.261599999999994</v>
      </c>
      <c r="I66" s="2">
        <f t="shared" si="32"/>
        <v>20.891099999999994</v>
      </c>
      <c r="J66" s="17"/>
      <c r="K66" s="10"/>
      <c r="L66" s="10"/>
      <c r="M66" s="10"/>
      <c r="N66" s="10"/>
      <c r="O66" s="10"/>
      <c r="P66" s="10"/>
      <c r="Q66" s="10"/>
      <c r="R66" s="2"/>
      <c r="S66" s="273"/>
      <c r="T66" s="74"/>
      <c r="U66" s="74"/>
      <c r="V66" s="145"/>
      <c r="W66" s="74"/>
      <c r="X66" s="74"/>
      <c r="Y66" s="145"/>
      <c r="Z66" s="74"/>
      <c r="AA66" s="74"/>
      <c r="AB66" s="145"/>
      <c r="AC66" s="74"/>
      <c r="AD66" s="74"/>
      <c r="AE66" s="145"/>
      <c r="AF66" s="273"/>
      <c r="AG66" s="273"/>
      <c r="AH66" s="9"/>
      <c r="AI66" s="273"/>
      <c r="AJ66" s="273"/>
      <c r="AK66" s="9"/>
      <c r="AL66" s="273"/>
      <c r="AM66" s="273"/>
      <c r="AN66" s="9"/>
      <c r="AO66" s="273"/>
      <c r="AP66" s="273"/>
      <c r="AQ66" s="9"/>
      <c r="AR66" s="273"/>
      <c r="AS66" s="39"/>
    </row>
    <row r="67" spans="1:45" ht="12.75">
      <c r="A67" s="161">
        <v>43938</v>
      </c>
      <c r="B67" s="48">
        <v>6.7</v>
      </c>
      <c r="C67" s="273"/>
      <c r="D67" s="48">
        <v>4.9800000000000004</v>
      </c>
      <c r="E67" s="48">
        <v>2.66</v>
      </c>
      <c r="F67" s="48">
        <v>3.31</v>
      </c>
      <c r="G67" s="48">
        <v>0.58499999999999996</v>
      </c>
      <c r="H67" s="48">
        <v>19.524000000000001</v>
      </c>
      <c r="I67" s="2">
        <f t="shared" si="32"/>
        <v>37.759</v>
      </c>
      <c r="J67" s="17"/>
      <c r="K67" s="10"/>
      <c r="L67" s="10"/>
      <c r="M67" s="10"/>
      <c r="N67" s="10"/>
      <c r="O67" s="10"/>
      <c r="P67" s="10"/>
      <c r="Q67" s="10"/>
      <c r="R67" s="2"/>
      <c r="S67" s="273"/>
      <c r="T67" s="74"/>
      <c r="U67" s="74"/>
      <c r="V67" s="145"/>
      <c r="W67" s="74"/>
      <c r="X67" s="74"/>
      <c r="Y67" s="145"/>
      <c r="Z67" s="74"/>
      <c r="AA67" s="74"/>
      <c r="AB67" s="145"/>
      <c r="AC67" s="74"/>
      <c r="AD67" s="74"/>
      <c r="AE67" s="145"/>
      <c r="AF67" s="273"/>
      <c r="AG67" s="273"/>
      <c r="AH67" s="9"/>
      <c r="AI67" s="273"/>
      <c r="AJ67" s="273"/>
      <c r="AK67" s="9"/>
      <c r="AL67" s="273"/>
      <c r="AM67" s="273"/>
      <c r="AN67" s="9"/>
      <c r="AO67" s="273"/>
      <c r="AP67" s="273"/>
      <c r="AQ67" s="9"/>
      <c r="AR67" s="273"/>
      <c r="AS67" s="39"/>
    </row>
    <row r="68" spans="1:45" ht="12.75">
      <c r="A68" s="161">
        <v>43941</v>
      </c>
      <c r="B68" s="48">
        <v>2.11</v>
      </c>
      <c r="C68" s="273"/>
      <c r="D68" s="48">
        <v>4.8499999999999996</v>
      </c>
      <c r="E68" s="48">
        <v>4.24</v>
      </c>
      <c r="F68" s="48">
        <v>4</v>
      </c>
      <c r="G68" s="48">
        <v>0.28999999999999998</v>
      </c>
      <c r="H68" s="48">
        <v>14.48</v>
      </c>
      <c r="I68" s="2">
        <f t="shared" si="32"/>
        <v>29.97</v>
      </c>
      <c r="J68" s="17"/>
      <c r="K68" s="10"/>
      <c r="L68" s="10"/>
      <c r="M68" s="10"/>
      <c r="N68" s="10"/>
      <c r="O68" s="10"/>
      <c r="P68" s="10"/>
      <c r="Q68" s="10"/>
      <c r="R68" s="2"/>
      <c r="S68" s="273"/>
      <c r="T68" s="273"/>
      <c r="U68" s="273"/>
      <c r="V68" s="9"/>
      <c r="W68" s="273"/>
      <c r="X68" s="273"/>
      <c r="Y68" s="9"/>
      <c r="Z68" s="273"/>
      <c r="AA68" s="273"/>
      <c r="AB68" s="9"/>
      <c r="AC68" s="273"/>
      <c r="AD68" s="273"/>
      <c r="AE68" s="9"/>
      <c r="AF68" s="273"/>
      <c r="AG68" s="273"/>
      <c r="AH68" s="9"/>
      <c r="AI68" s="273"/>
      <c r="AJ68" s="273"/>
      <c r="AK68" s="9"/>
      <c r="AL68" s="273"/>
      <c r="AM68" s="273"/>
      <c r="AN68" s="9"/>
      <c r="AO68" s="273"/>
      <c r="AP68" s="273"/>
      <c r="AQ68" s="9"/>
      <c r="AR68" s="273"/>
      <c r="AS68" s="39"/>
    </row>
    <row r="69" spans="1:45" ht="12.75">
      <c r="A69" s="161">
        <v>43943</v>
      </c>
      <c r="B69" s="35">
        <f>7.0003-6.88+7.2869-7.24+7.416-6.83+4.6221-4.52</f>
        <v>0.85530000000000062</v>
      </c>
      <c r="C69" s="273"/>
      <c r="D69" s="35">
        <f>4.72-4.28+8.0859-7.38+6.756-6.64+6.7181-6.67+7.0225-6.09+4.9232-4.18</f>
        <v>2.9856999999999996</v>
      </c>
      <c r="E69" s="35">
        <f>7.3197-7.13+4.5672-4.54+4.446-4.3+4.4646-4.46+5.5384-4.45+4.9876-3.73+4.7734-4.48</f>
        <v>3.0068999999999981</v>
      </c>
      <c r="F69" s="35">
        <f>10.2577-9.9146+9.201-7.92+9.888-9.8759+3.5736-3.48+5.7085-5.51+7.3602-7.23+5.5944-5.56+9.094-7.23</f>
        <v>3.9568999999999974</v>
      </c>
      <c r="G69" s="35">
        <f>7.2724-7.22+6.9837-6.92+4.8102-4.68+5.5276-5.47</f>
        <v>0.3039000000000005</v>
      </c>
      <c r="H69" s="35">
        <f>10.0328-7.66+4.5541-4.24+3.3948-3.29+8.3662-7.29+9.8437-7.42+6.8986-6.32+7.5454-6.39+7.0071-6.76+4.4558-4.26+9.191-6.52+9.0963-7.34</f>
        <v>12.895800000000001</v>
      </c>
      <c r="I69" s="2">
        <f t="shared" si="32"/>
        <v>24.0045</v>
      </c>
      <c r="J69" s="17"/>
      <c r="K69" s="10"/>
      <c r="L69" s="10"/>
      <c r="M69" s="10"/>
      <c r="N69" s="10"/>
      <c r="O69" s="10"/>
      <c r="P69" s="10"/>
      <c r="Q69" s="10"/>
      <c r="R69" s="2"/>
      <c r="S69" s="273"/>
      <c r="T69" s="273"/>
      <c r="U69" s="273"/>
      <c r="V69" s="9"/>
      <c r="W69" s="273"/>
      <c r="X69" s="273"/>
      <c r="Y69" s="9"/>
      <c r="Z69" s="273"/>
      <c r="AA69" s="273"/>
      <c r="AB69" s="9"/>
      <c r="AC69" s="273"/>
      <c r="AD69" s="273"/>
      <c r="AE69" s="9"/>
      <c r="AF69" s="273"/>
      <c r="AG69" s="273"/>
      <c r="AH69" s="9"/>
      <c r="AI69" s="273"/>
      <c r="AJ69" s="273"/>
      <c r="AK69" s="9"/>
      <c r="AL69" s="273"/>
      <c r="AM69" s="273"/>
      <c r="AN69" s="9"/>
      <c r="AO69" s="273"/>
      <c r="AP69" s="273"/>
      <c r="AQ69" s="9"/>
      <c r="AR69" s="273"/>
      <c r="AS69" s="39"/>
    </row>
    <row r="70" spans="1:45" ht="12.75">
      <c r="A70" s="161">
        <v>43945</v>
      </c>
      <c r="B70" s="48">
        <v>0.11</v>
      </c>
      <c r="C70" s="273"/>
      <c r="D70" s="48">
        <v>2.6</v>
      </c>
      <c r="E70" s="48">
        <v>3.67</v>
      </c>
      <c r="F70" s="48">
        <v>3.48</v>
      </c>
      <c r="G70" s="48">
        <v>0.57999999999999996</v>
      </c>
      <c r="H70" s="48">
        <v>12.28</v>
      </c>
      <c r="I70" s="2">
        <f t="shared" si="32"/>
        <v>22.72</v>
      </c>
      <c r="J70" s="17"/>
      <c r="K70" s="10"/>
      <c r="L70" s="10"/>
      <c r="M70" s="10"/>
      <c r="N70" s="10"/>
      <c r="O70" s="10"/>
      <c r="P70" s="10"/>
      <c r="Q70" s="10"/>
      <c r="R70" s="2"/>
      <c r="S70" s="273"/>
      <c r="T70" s="273"/>
      <c r="U70" s="273"/>
      <c r="V70" s="9"/>
      <c r="W70" s="273"/>
      <c r="X70" s="273"/>
      <c r="Y70" s="9"/>
      <c r="Z70" s="273"/>
      <c r="AA70" s="273"/>
      <c r="AB70" s="9"/>
      <c r="AC70" s="273"/>
      <c r="AD70" s="273"/>
      <c r="AE70" s="9"/>
      <c r="AF70" s="273"/>
      <c r="AG70" s="273"/>
      <c r="AH70" s="9"/>
      <c r="AI70" s="273"/>
      <c r="AJ70" s="273"/>
      <c r="AK70" s="9"/>
      <c r="AL70" s="273"/>
      <c r="AM70" s="273"/>
      <c r="AN70" s="9"/>
      <c r="AO70" s="273"/>
      <c r="AP70" s="273"/>
      <c r="AQ70" s="9"/>
      <c r="AR70" s="273"/>
      <c r="AS70" s="39"/>
    </row>
    <row r="71" spans="1:45" ht="12.75">
      <c r="A71" s="161">
        <v>43948</v>
      </c>
      <c r="B71" s="35">
        <f>4.4804-4.366+4.6766-4.64+3.978-3.9323+5.5792-5.48</f>
        <v>0.29590000000000138</v>
      </c>
      <c r="C71" s="273"/>
      <c r="D71" s="35">
        <f>13.6567-13.44+4.4244-4.3195+5.5996-5.23+5.7111-5.12+3.9172-3.86</f>
        <v>1.3395000000000006</v>
      </c>
      <c r="E71" s="35">
        <f>5.0895-5.01+5.434-5.21+5.6441-5.56+4.289-3.98+5.7014-5.01</f>
        <v>1.3879999999999999</v>
      </c>
      <c r="F71" s="35">
        <f>6.4771-5.99+5.6612-5.59+5.8228-5.62+5.6535-5.6+6.4365-5.83+4.7994-4.72+4.3411-4.2746</f>
        <v>1.5670000000000002</v>
      </c>
      <c r="G71" s="35">
        <f>6.7536-6.4301+4.1551-4.0475+5.7589-5.66+5.1625-4.96</f>
        <v>0.73249999999999815</v>
      </c>
      <c r="H71" s="35">
        <f>5.9653-5.27+5.8577-5.73+6.2911-5.7+8.8517-8.49+5.9939-5.84+3.8154-3.78+7.1197-7.01+5.871-5.35+5.9515-5.7+4.7353-4.345+5.7109-5.16</f>
        <v>3.7884999999999991</v>
      </c>
      <c r="I71" s="2">
        <f t="shared" si="32"/>
        <v>9.1113999999999997</v>
      </c>
      <c r="J71" s="17"/>
      <c r="K71" s="10"/>
      <c r="L71" s="10"/>
      <c r="M71" s="10"/>
      <c r="N71" s="10"/>
      <c r="O71" s="10"/>
      <c r="P71" s="10"/>
      <c r="Q71" s="10"/>
      <c r="R71" s="2"/>
      <c r="S71" s="273"/>
      <c r="T71" s="273"/>
      <c r="U71" s="273"/>
      <c r="V71" s="9"/>
      <c r="W71" s="273"/>
      <c r="X71" s="273"/>
      <c r="Y71" s="9"/>
      <c r="Z71" s="273"/>
      <c r="AA71" s="273"/>
      <c r="AB71" s="9"/>
      <c r="AC71" s="273"/>
      <c r="AD71" s="273"/>
      <c r="AE71" s="9"/>
      <c r="AF71" s="273"/>
      <c r="AG71" s="273"/>
      <c r="AH71" s="9"/>
      <c r="AI71" s="273"/>
      <c r="AJ71" s="273"/>
      <c r="AK71" s="9"/>
      <c r="AL71" s="273"/>
      <c r="AM71" s="273"/>
      <c r="AN71" s="9"/>
      <c r="AO71" s="273"/>
      <c r="AP71" s="273"/>
      <c r="AQ71" s="9"/>
      <c r="AR71" s="273"/>
      <c r="AS71" s="39"/>
    </row>
    <row r="72" spans="1:45" ht="12.75">
      <c r="A72" s="161">
        <v>43950</v>
      </c>
      <c r="B72" s="35">
        <f>5.2997-5.08+5.2106-5.0034+5.3214-5.037</f>
        <v>0.7112999999999996</v>
      </c>
      <c r="C72" s="273"/>
      <c r="D72" s="35">
        <f>7.2279-6.67+6.0082-5.8+5.7129-5.56+6.6179-5.3455</f>
        <v>2.1914000000000007</v>
      </c>
      <c r="E72" s="35">
        <f>6.4104-6.16+6.0451-5.86+6.4431-5.91+6.5623-5.5527+5.7127-5.1301</f>
        <v>2.5607999999999995</v>
      </c>
      <c r="F72" s="35">
        <f>8.1952-7.2716+5.5091-5.37+5.6955-4.8892+6.869-5.8222+6.1555-5.96+5.6013-5.4209+5.8481-5.66</f>
        <v>3.4798000000000009</v>
      </c>
      <c r="G72" s="35">
        <f>5.8804-5.73+4.1564-3.8478</f>
        <v>0.45899999999999919</v>
      </c>
      <c r="H72" s="35">
        <f>6.084-5.53+5.4761-5.23+5.8002-5.56+5.4553-5.0489+3.762-3.6052+5.9513-5.54+6.0161-5.56+5.9513-5.54+6.2509-5.8686</f>
        <v>3.2644999999999991</v>
      </c>
      <c r="I72" s="2">
        <f t="shared" si="32"/>
        <v>12.666799999999999</v>
      </c>
      <c r="J72" s="17"/>
      <c r="K72" s="10"/>
      <c r="L72" s="10"/>
      <c r="M72" s="10"/>
      <c r="N72" s="10"/>
      <c r="O72" s="10"/>
      <c r="P72" s="10"/>
      <c r="Q72" s="10"/>
      <c r="R72" s="2"/>
      <c r="S72" s="273"/>
      <c r="T72" s="273"/>
      <c r="U72" s="273"/>
      <c r="V72" s="9"/>
      <c r="W72" s="273"/>
      <c r="X72" s="273"/>
      <c r="Y72" s="9"/>
      <c r="Z72" s="273"/>
      <c r="AA72" s="273"/>
      <c r="AB72" s="9"/>
      <c r="AC72" s="273"/>
      <c r="AD72" s="273"/>
      <c r="AE72" s="9"/>
      <c r="AF72" s="273"/>
      <c r="AG72" s="273"/>
      <c r="AH72" s="9"/>
      <c r="AI72" s="273"/>
      <c r="AJ72" s="273"/>
      <c r="AK72" s="9"/>
      <c r="AL72" s="273"/>
      <c r="AM72" s="273"/>
      <c r="AN72" s="9"/>
      <c r="AO72" s="273"/>
      <c r="AP72" s="273"/>
      <c r="AQ72" s="9"/>
      <c r="AR72" s="273"/>
      <c r="AS72" s="39"/>
    </row>
    <row r="73" spans="1:45" ht="12.75">
      <c r="A73" s="161">
        <v>43952</v>
      </c>
      <c r="B73" s="48">
        <v>2.06</v>
      </c>
      <c r="C73" s="273"/>
      <c r="D73" s="48">
        <v>1.5</v>
      </c>
      <c r="E73" s="48">
        <v>3.48</v>
      </c>
      <c r="F73" s="48">
        <v>5.64</v>
      </c>
      <c r="G73" s="48">
        <v>0.93</v>
      </c>
      <c r="H73" s="48">
        <v>4.7699999999999996</v>
      </c>
      <c r="I73" s="2">
        <f t="shared" si="32"/>
        <v>18.38</v>
      </c>
      <c r="J73" s="17"/>
      <c r="K73" s="10"/>
      <c r="L73" s="10"/>
      <c r="M73" s="10"/>
      <c r="N73" s="10"/>
      <c r="O73" s="10"/>
      <c r="P73" s="10"/>
      <c r="Q73" s="10"/>
      <c r="R73" s="2"/>
      <c r="S73" s="273"/>
      <c r="T73" s="273"/>
      <c r="U73" s="273"/>
      <c r="V73" s="9"/>
      <c r="W73" s="273"/>
      <c r="X73" s="273"/>
      <c r="Y73" s="9"/>
      <c r="Z73" s="273"/>
      <c r="AA73" s="273"/>
      <c r="AB73" s="9"/>
      <c r="AC73" s="273"/>
      <c r="AD73" s="273"/>
      <c r="AE73" s="9"/>
      <c r="AF73" s="273"/>
      <c r="AG73" s="273"/>
      <c r="AH73" s="9"/>
      <c r="AI73" s="273"/>
      <c r="AJ73" s="273"/>
      <c r="AK73" s="9"/>
      <c r="AL73" s="273"/>
      <c r="AM73" s="273"/>
      <c r="AN73" s="9"/>
      <c r="AO73" s="273"/>
      <c r="AP73" s="273"/>
      <c r="AQ73" s="9"/>
      <c r="AR73" s="273"/>
      <c r="AS73" s="39"/>
    </row>
    <row r="74" spans="1:45" ht="12.75">
      <c r="A74" s="161">
        <v>43955</v>
      </c>
      <c r="B74" s="48">
        <v>3.42</v>
      </c>
      <c r="C74" s="273"/>
      <c r="D74" s="48">
        <v>1.53</v>
      </c>
      <c r="E74" s="48">
        <v>1.01</v>
      </c>
      <c r="F74" s="48">
        <v>2.9</v>
      </c>
      <c r="G74" s="48">
        <v>1.71</v>
      </c>
      <c r="H74" s="48">
        <v>0.15</v>
      </c>
      <c r="I74" s="2">
        <f t="shared" si="32"/>
        <v>10.72</v>
      </c>
      <c r="J74" s="17"/>
      <c r="K74" s="10"/>
      <c r="L74" s="10"/>
      <c r="M74" s="10"/>
      <c r="N74" s="10"/>
      <c r="O74" s="10"/>
      <c r="P74" s="10"/>
      <c r="Q74" s="10"/>
      <c r="R74" s="2"/>
      <c r="S74" s="273"/>
      <c r="T74" s="273"/>
      <c r="U74" s="273"/>
      <c r="V74" s="9"/>
      <c r="W74" s="273"/>
      <c r="X74" s="273"/>
      <c r="Y74" s="9"/>
      <c r="Z74" s="273"/>
      <c r="AA74" s="273"/>
      <c r="AB74" s="9"/>
      <c r="AC74" s="273"/>
      <c r="AD74" s="273"/>
      <c r="AE74" s="9"/>
      <c r="AF74" s="273"/>
      <c r="AG74" s="273"/>
      <c r="AH74" s="9"/>
      <c r="AI74" s="273"/>
      <c r="AJ74" s="273"/>
      <c r="AK74" s="9"/>
      <c r="AL74" s="273"/>
      <c r="AM74" s="273"/>
      <c r="AN74" s="9"/>
      <c r="AO74" s="273"/>
      <c r="AP74" s="273"/>
      <c r="AQ74" s="9"/>
      <c r="AR74" s="273"/>
      <c r="AS74" s="39"/>
    </row>
    <row r="75" spans="1:45" ht="12.75">
      <c r="A75" s="161">
        <v>43957</v>
      </c>
      <c r="B75" s="35">
        <f>4.4683-4.3074+6.304-5.8408+6.2233-6.0132+6.3924-4.7527</f>
        <v>2.4739000000000004</v>
      </c>
      <c r="C75" s="273"/>
      <c r="D75" s="35">
        <f>4.7386-4.5418+4.5591-4.4538+6.4111-5.4568+5.3708-5.3526</f>
        <v>1.2745999999999995</v>
      </c>
      <c r="E75" s="35">
        <f>9.9766-9.6649+4.2941-4.1541+4.8735-4.6629+5.2576-5.1755</f>
        <v>0.74440000000000062</v>
      </c>
      <c r="F75" s="35">
        <f>4.7227-4.6716+5.7405-5.174+5.0768-4.2106+5.0045-4.7984+5.2075-4.5242</f>
        <v>2.3731999999999989</v>
      </c>
      <c r="G75" s="35">
        <f>10.3953-9.9991+9.7794-8.7302+10.3152-9.7043</f>
        <v>2.056300000000002</v>
      </c>
      <c r="H75" s="35">
        <f>5.7509-5.7222</f>
        <v>2.8699999999999726E-2</v>
      </c>
      <c r="I75" s="2">
        <f t="shared" si="32"/>
        <v>8.9511000000000003</v>
      </c>
      <c r="J75" s="17"/>
      <c r="K75" s="10"/>
      <c r="L75" s="10"/>
      <c r="M75" s="10"/>
      <c r="N75" s="10"/>
      <c r="O75" s="10"/>
      <c r="P75" s="10"/>
      <c r="Q75" s="10"/>
      <c r="R75" s="2"/>
      <c r="S75" s="273"/>
      <c r="T75" s="273"/>
      <c r="U75" s="273"/>
      <c r="V75" s="9"/>
      <c r="W75" s="273"/>
      <c r="X75" s="273"/>
      <c r="Y75" s="9"/>
      <c r="Z75" s="273"/>
      <c r="AA75" s="273"/>
      <c r="AB75" s="9"/>
      <c r="AC75" s="273"/>
      <c r="AD75" s="273"/>
      <c r="AE75" s="9"/>
      <c r="AF75" s="273"/>
      <c r="AG75" s="273"/>
      <c r="AH75" s="9"/>
      <c r="AI75" s="273"/>
      <c r="AJ75" s="273"/>
      <c r="AK75" s="9"/>
      <c r="AL75" s="273"/>
      <c r="AM75" s="273"/>
      <c r="AN75" s="9"/>
      <c r="AO75" s="273"/>
      <c r="AP75" s="273"/>
      <c r="AQ75" s="9"/>
      <c r="AR75" s="273"/>
      <c r="AS75" s="39"/>
    </row>
    <row r="76" spans="1:45" ht="12.75">
      <c r="A76" s="161">
        <v>43959</v>
      </c>
      <c r="B76" s="48">
        <v>7.23</v>
      </c>
      <c r="C76" s="273"/>
      <c r="D76" s="48">
        <v>1.47</v>
      </c>
      <c r="E76" s="48">
        <v>1.25</v>
      </c>
      <c r="F76" s="48">
        <v>1.27</v>
      </c>
      <c r="G76" s="48">
        <v>2.12</v>
      </c>
      <c r="H76" s="48">
        <v>0.01</v>
      </c>
      <c r="I76" s="2">
        <f t="shared" si="32"/>
        <v>13.35</v>
      </c>
      <c r="J76" s="17"/>
      <c r="K76" s="10"/>
      <c r="L76" s="10"/>
      <c r="M76" s="10"/>
      <c r="N76" s="10"/>
      <c r="O76" s="10"/>
      <c r="P76" s="10"/>
      <c r="Q76" s="10"/>
      <c r="R76" s="2"/>
      <c r="S76" s="273"/>
      <c r="T76" s="273"/>
      <c r="U76" s="273"/>
      <c r="V76" s="9"/>
      <c r="W76" s="273"/>
      <c r="X76" s="273"/>
      <c r="Y76" s="9"/>
      <c r="Z76" s="273"/>
      <c r="AA76" s="273"/>
      <c r="AB76" s="9"/>
      <c r="AC76" s="273"/>
      <c r="AD76" s="273"/>
      <c r="AE76" s="9"/>
      <c r="AF76" s="273"/>
      <c r="AG76" s="273"/>
      <c r="AH76" s="9"/>
      <c r="AI76" s="273"/>
      <c r="AJ76" s="273"/>
      <c r="AK76" s="9"/>
      <c r="AL76" s="273"/>
      <c r="AM76" s="273"/>
      <c r="AN76" s="9"/>
      <c r="AO76" s="273"/>
      <c r="AP76" s="273"/>
      <c r="AQ76" s="9"/>
      <c r="AR76" s="273"/>
      <c r="AS76" s="39"/>
    </row>
    <row r="77" spans="1:45" ht="12.75">
      <c r="A77" s="161">
        <v>43962</v>
      </c>
      <c r="B77" s="35">
        <f>6.8525-6.7469+5.2397-5.0058+6.3719-6.2823+3.9304-3.8566</f>
        <v>0.50290000000000079</v>
      </c>
      <c r="C77" s="273"/>
      <c r="D77" s="35">
        <f>5.7316-5.3794+4.9223-4.8896</f>
        <v>0.38490000000000002</v>
      </c>
      <c r="E77" s="35">
        <f>5.3268-5.2494+5.7442-5.166+4.4572-4.3888</f>
        <v>0.72400000000000109</v>
      </c>
      <c r="F77" s="35">
        <f>4.8431-4.8107+5.2722-5.2075+4.585-4.4567+5.0002-4.8714</f>
        <v>0.35420000000000051</v>
      </c>
      <c r="G77" s="35">
        <f>5.2424-5.2204+4.6246-4.5321+4.6496-4.5794+8.769-7.8236</f>
        <v>1.1301000000000014</v>
      </c>
      <c r="H77" s="48">
        <v>0</v>
      </c>
      <c r="I77" s="2">
        <f t="shared" si="32"/>
        <v>3.0961000000000038</v>
      </c>
      <c r="J77" s="17"/>
      <c r="K77" s="10"/>
      <c r="L77" s="10"/>
      <c r="M77" s="10"/>
      <c r="N77" s="10"/>
      <c r="O77" s="10"/>
      <c r="P77" s="10"/>
      <c r="Q77" s="10"/>
      <c r="R77" s="2"/>
      <c r="S77" s="273"/>
      <c r="T77" s="273"/>
      <c r="U77" s="273"/>
      <c r="V77" s="9"/>
      <c r="W77" s="273"/>
      <c r="X77" s="273"/>
      <c r="Y77" s="9"/>
      <c r="Z77" s="273"/>
      <c r="AA77" s="273"/>
      <c r="AB77" s="9"/>
      <c r="AC77" s="273"/>
      <c r="AD77" s="273"/>
      <c r="AE77" s="9"/>
      <c r="AF77" s="273"/>
      <c r="AG77" s="273"/>
      <c r="AH77" s="9"/>
      <c r="AI77" s="273"/>
      <c r="AJ77" s="273"/>
      <c r="AK77" s="9"/>
      <c r="AL77" s="273"/>
      <c r="AM77" s="273"/>
      <c r="AN77" s="9"/>
      <c r="AO77" s="273"/>
      <c r="AP77" s="273"/>
      <c r="AQ77" s="9"/>
      <c r="AR77" s="273"/>
      <c r="AS77" s="39"/>
    </row>
    <row r="78" spans="1:45" ht="12.75">
      <c r="A78" s="161">
        <v>43964</v>
      </c>
      <c r="B78" s="35">
        <f>9.9005-6.5115+5.69-5.9122+5.8435-5.7744+8.0428-7.9724+9.8282-9.5809</f>
        <v>3.5536000000000012</v>
      </c>
      <c r="C78" s="273"/>
      <c r="D78" s="35">
        <f>4.5326-4.4933+5.7272-5.6392+6.0237-5.644</f>
        <v>0.50700000000000056</v>
      </c>
      <c r="E78" s="35">
        <f>7.944-7.9161+7.7059-6.4321</f>
        <v>1.3016999999999994</v>
      </c>
      <c r="F78" s="48">
        <f>8.8438-8.6972+6.7538-6.1685+4.9898-4.9605</f>
        <v>0.76119999999999965</v>
      </c>
      <c r="G78" s="35">
        <f>9.3665-9.315+5.1843-5.1121+5.5877-5.5804</f>
        <v>0.13100000000000112</v>
      </c>
      <c r="H78" s="48">
        <v>0</v>
      </c>
      <c r="I78" s="2">
        <f t="shared" si="32"/>
        <v>6.2545000000000019</v>
      </c>
      <c r="J78" s="17"/>
      <c r="K78" s="10"/>
      <c r="L78" s="10"/>
      <c r="M78" s="10"/>
      <c r="N78" s="10"/>
      <c r="O78" s="10"/>
      <c r="P78" s="10"/>
      <c r="Q78" s="10"/>
      <c r="R78" s="2"/>
      <c r="S78" s="273"/>
      <c r="T78" s="273"/>
      <c r="U78" s="273"/>
      <c r="V78" s="9"/>
      <c r="W78" s="273"/>
      <c r="X78" s="273"/>
      <c r="Y78" s="9"/>
      <c r="Z78" s="273"/>
      <c r="AA78" s="273"/>
      <c r="AB78" s="9"/>
      <c r="AC78" s="273"/>
      <c r="AD78" s="273"/>
      <c r="AE78" s="9"/>
      <c r="AF78" s="273"/>
      <c r="AG78" s="273"/>
      <c r="AH78" s="9"/>
      <c r="AI78" s="273"/>
      <c r="AJ78" s="273"/>
      <c r="AK78" s="9"/>
      <c r="AL78" s="273"/>
      <c r="AM78" s="273"/>
      <c r="AN78" s="9"/>
      <c r="AO78" s="273"/>
      <c r="AP78" s="273"/>
      <c r="AQ78" s="9"/>
      <c r="AR78" s="273"/>
      <c r="AS78" s="39"/>
    </row>
    <row r="79" spans="1:45" ht="12.75">
      <c r="A79" s="161">
        <v>43966</v>
      </c>
      <c r="B79" s="48">
        <v>1.3</v>
      </c>
      <c r="C79" s="273"/>
      <c r="D79" s="48">
        <v>0.43</v>
      </c>
      <c r="E79" s="48">
        <v>0.75</v>
      </c>
      <c r="F79" s="273"/>
      <c r="G79" s="48">
        <v>1.85</v>
      </c>
      <c r="H79" s="273"/>
      <c r="I79" s="2">
        <f t="shared" si="32"/>
        <v>4.33</v>
      </c>
      <c r="J79" s="17"/>
      <c r="K79" s="10"/>
      <c r="L79" s="10"/>
      <c r="M79" s="10"/>
      <c r="N79" s="10"/>
      <c r="O79" s="10"/>
      <c r="P79" s="10"/>
      <c r="Q79" s="10"/>
      <c r="R79" s="2"/>
      <c r="S79" s="273"/>
      <c r="T79" s="273"/>
      <c r="U79" s="273"/>
      <c r="V79" s="9"/>
      <c r="W79" s="273"/>
      <c r="X79" s="273"/>
      <c r="Y79" s="9"/>
      <c r="Z79" s="273"/>
      <c r="AA79" s="273"/>
      <c r="AB79" s="9"/>
      <c r="AC79" s="273"/>
      <c r="AD79" s="273"/>
      <c r="AE79" s="9"/>
      <c r="AF79" s="273"/>
      <c r="AG79" s="273"/>
      <c r="AH79" s="9"/>
      <c r="AI79" s="273"/>
      <c r="AJ79" s="273"/>
      <c r="AK79" s="9"/>
      <c r="AL79" s="273"/>
      <c r="AM79" s="273"/>
      <c r="AN79" s="9"/>
      <c r="AO79" s="273"/>
      <c r="AP79" s="273"/>
      <c r="AQ79" s="9"/>
      <c r="AR79" s="273"/>
      <c r="AS79" s="39"/>
    </row>
    <row r="80" spans="1:45" ht="12.75">
      <c r="A80" s="161">
        <v>43969</v>
      </c>
      <c r="B80" s="48">
        <v>0.05</v>
      </c>
      <c r="C80" s="273"/>
      <c r="D80" s="48">
        <v>0.17</v>
      </c>
      <c r="E80" s="48">
        <v>0.33</v>
      </c>
      <c r="F80" s="273"/>
      <c r="G80" s="48">
        <v>0.05</v>
      </c>
      <c r="H80" s="273"/>
      <c r="I80" s="2">
        <f t="shared" si="32"/>
        <v>0.60000000000000009</v>
      </c>
      <c r="J80" s="17"/>
      <c r="K80" s="10"/>
      <c r="L80" s="10"/>
      <c r="M80" s="10"/>
      <c r="N80" s="10"/>
      <c r="O80" s="10"/>
      <c r="P80" s="10"/>
      <c r="Q80" s="10"/>
      <c r="R80" s="2"/>
      <c r="S80" s="273"/>
      <c r="T80" s="273"/>
      <c r="U80" s="273"/>
      <c r="V80" s="9"/>
      <c r="W80" s="273"/>
      <c r="X80" s="273"/>
      <c r="Y80" s="9"/>
      <c r="Z80" s="273"/>
      <c r="AA80" s="273"/>
      <c r="AB80" s="9"/>
      <c r="AC80" s="273"/>
      <c r="AD80" s="273"/>
      <c r="AE80" s="9"/>
      <c r="AF80" s="273"/>
      <c r="AG80" s="273"/>
      <c r="AH80" s="9"/>
      <c r="AI80" s="273"/>
      <c r="AJ80" s="273"/>
      <c r="AK80" s="9"/>
      <c r="AL80" s="273"/>
      <c r="AM80" s="273"/>
      <c r="AN80" s="9"/>
      <c r="AO80" s="273"/>
      <c r="AP80" s="273"/>
      <c r="AQ80" s="9"/>
      <c r="AR80" s="273"/>
      <c r="AS80" s="39"/>
    </row>
    <row r="81" spans="1:45" ht="12.75">
      <c r="A81" s="161">
        <v>43971</v>
      </c>
      <c r="B81" s="273"/>
      <c r="C81" s="273"/>
      <c r="D81" s="35">
        <f>5.234-5.1821</f>
        <v>5.1899999999999835E-2</v>
      </c>
      <c r="E81" s="273"/>
      <c r="F81" s="35">
        <f>11.139-4.9052</f>
        <v>6.2337999999999996</v>
      </c>
      <c r="G81" s="273"/>
      <c r="H81" s="273"/>
      <c r="I81" s="2">
        <f t="shared" si="32"/>
        <v>6.2856999999999994</v>
      </c>
      <c r="J81" s="17"/>
      <c r="K81" s="10"/>
      <c r="L81" s="10"/>
      <c r="M81" s="10"/>
      <c r="N81" s="10"/>
      <c r="O81" s="10"/>
      <c r="P81" s="10"/>
      <c r="Q81" s="10"/>
      <c r="R81" s="2"/>
      <c r="S81" s="273"/>
      <c r="T81" s="273"/>
      <c r="U81" s="273"/>
      <c r="V81" s="9"/>
      <c r="W81" s="273"/>
      <c r="X81" s="273"/>
      <c r="Y81" s="9"/>
      <c r="Z81" s="273"/>
      <c r="AA81" s="273"/>
      <c r="AB81" s="9"/>
      <c r="AC81" s="273"/>
      <c r="AD81" s="273"/>
      <c r="AE81" s="9"/>
      <c r="AF81" s="273"/>
      <c r="AG81" s="273"/>
      <c r="AH81" s="9"/>
      <c r="AI81" s="273"/>
      <c r="AJ81" s="273"/>
      <c r="AK81" s="9"/>
      <c r="AL81" s="273"/>
      <c r="AM81" s="273"/>
      <c r="AN81" s="9"/>
      <c r="AO81" s="273"/>
      <c r="AP81" s="273"/>
      <c r="AQ81" s="9"/>
      <c r="AR81" s="273"/>
      <c r="AS81" s="39"/>
    </row>
    <row r="82" spans="1:45" ht="12.75">
      <c r="A82" s="161">
        <v>43973</v>
      </c>
      <c r="B82" s="273"/>
      <c r="C82" s="273"/>
      <c r="D82" s="48">
        <v>0.11</v>
      </c>
      <c r="E82" s="48">
        <v>0.25</v>
      </c>
      <c r="F82" s="48">
        <v>5.5350000000000001</v>
      </c>
      <c r="G82" s="48">
        <v>2.11</v>
      </c>
      <c r="H82" s="273"/>
      <c r="I82" s="2">
        <f t="shared" si="32"/>
        <v>8.0050000000000008</v>
      </c>
      <c r="J82" s="17"/>
      <c r="K82" s="10"/>
      <c r="L82" s="10"/>
      <c r="M82" s="10"/>
      <c r="N82" s="10"/>
      <c r="O82" s="10"/>
      <c r="P82" s="10"/>
      <c r="Q82" s="10"/>
      <c r="R82" s="2"/>
      <c r="S82" s="273"/>
      <c r="T82" s="273"/>
      <c r="U82" s="273"/>
      <c r="V82" s="9"/>
      <c r="W82" s="273"/>
      <c r="X82" s="273"/>
      <c r="Y82" s="9"/>
      <c r="Z82" s="273"/>
      <c r="AA82" s="273"/>
      <c r="AB82" s="9"/>
      <c r="AC82" s="273"/>
      <c r="AD82" s="273"/>
      <c r="AE82" s="9"/>
      <c r="AF82" s="273"/>
      <c r="AG82" s="273"/>
      <c r="AH82" s="9"/>
      <c r="AI82" s="273"/>
      <c r="AJ82" s="273"/>
      <c r="AK82" s="9"/>
      <c r="AL82" s="273"/>
      <c r="AM82" s="273"/>
      <c r="AN82" s="9"/>
      <c r="AO82" s="273"/>
      <c r="AP82" s="273"/>
      <c r="AQ82" s="9"/>
      <c r="AR82" s="273"/>
      <c r="AS82" s="39"/>
    </row>
    <row r="83" spans="1:45" ht="12.75">
      <c r="A83" s="161">
        <v>43976</v>
      </c>
      <c r="B83" s="48">
        <v>0</v>
      </c>
      <c r="C83" s="48">
        <v>0</v>
      </c>
      <c r="D83" s="48">
        <v>0</v>
      </c>
      <c r="E83" s="48">
        <v>0</v>
      </c>
      <c r="F83" s="35">
        <f>4.5457-4.1346+4.8645-4.3816</f>
        <v>0.89400000000000013</v>
      </c>
      <c r="G83" s="35">
        <f>7.1461-5.125</f>
        <v>2.0210999999999997</v>
      </c>
      <c r="H83" s="48">
        <v>0</v>
      </c>
      <c r="I83" s="2">
        <f t="shared" si="32"/>
        <v>2.9150999999999998</v>
      </c>
      <c r="J83" s="17"/>
      <c r="K83" s="10"/>
      <c r="L83" s="10"/>
      <c r="M83" s="10"/>
      <c r="N83" s="10"/>
      <c r="O83" s="10"/>
      <c r="P83" s="10"/>
      <c r="Q83" s="10"/>
      <c r="R83" s="2"/>
      <c r="S83" s="273"/>
      <c r="T83" s="273"/>
      <c r="U83" s="273"/>
      <c r="V83" s="9"/>
      <c r="W83" s="273"/>
      <c r="X83" s="273"/>
      <c r="Y83" s="9"/>
      <c r="Z83" s="273"/>
      <c r="AA83" s="273"/>
      <c r="AB83" s="9"/>
      <c r="AC83" s="273"/>
      <c r="AD83" s="273"/>
      <c r="AE83" s="9"/>
      <c r="AF83" s="273"/>
      <c r="AG83" s="273"/>
      <c r="AH83" s="9"/>
      <c r="AI83" s="273"/>
      <c r="AJ83" s="273"/>
      <c r="AK83" s="9"/>
      <c r="AL83" s="273"/>
      <c r="AM83" s="273"/>
      <c r="AN83" s="9"/>
      <c r="AO83" s="273"/>
      <c r="AP83" s="273"/>
      <c r="AQ83" s="9"/>
      <c r="AR83" s="273"/>
      <c r="AS83" s="39"/>
    </row>
    <row r="84" spans="1:45" ht="12.75">
      <c r="A84" s="161">
        <v>43978</v>
      </c>
      <c r="B84" s="48">
        <v>0</v>
      </c>
      <c r="C84" s="273"/>
      <c r="D84" s="48">
        <v>0</v>
      </c>
      <c r="E84" s="35">
        <f>6.5276-5.2941</f>
        <v>1.2334999999999994</v>
      </c>
      <c r="F84" s="35">
        <f>4.6394-4.4312</f>
        <v>0.20820000000000061</v>
      </c>
      <c r="G84" s="35">
        <f>6.682-4.6483</f>
        <v>2.0337000000000005</v>
      </c>
      <c r="H84" s="35">
        <f>8.4665-5.8178</f>
        <v>2.6486999999999998</v>
      </c>
      <c r="I84" s="2">
        <f t="shared" si="32"/>
        <v>6.1241000000000003</v>
      </c>
      <c r="J84" s="17"/>
      <c r="K84" s="10"/>
      <c r="L84" s="10"/>
      <c r="M84" s="10"/>
      <c r="N84" s="10"/>
      <c r="O84" s="10"/>
      <c r="P84" s="10"/>
      <c r="Q84" s="10"/>
      <c r="R84" s="2"/>
      <c r="S84" s="273"/>
      <c r="T84" s="273"/>
      <c r="U84" s="273"/>
      <c r="V84" s="9"/>
      <c r="W84" s="273"/>
      <c r="X84" s="273"/>
      <c r="Y84" s="9"/>
      <c r="Z84" s="273"/>
      <c r="AA84" s="273"/>
      <c r="AB84" s="9"/>
      <c r="AC84" s="273"/>
      <c r="AD84" s="273"/>
      <c r="AE84" s="9"/>
      <c r="AF84" s="273"/>
      <c r="AG84" s="273"/>
      <c r="AH84" s="9"/>
      <c r="AI84" s="273"/>
      <c r="AJ84" s="273"/>
      <c r="AK84" s="9"/>
      <c r="AL84" s="273"/>
      <c r="AM84" s="273"/>
      <c r="AN84" s="9"/>
      <c r="AO84" s="273"/>
      <c r="AP84" s="273"/>
      <c r="AQ84" s="9"/>
      <c r="AR84" s="273"/>
      <c r="AS84" s="39"/>
    </row>
    <row r="85" spans="1:45" ht="12.75">
      <c r="A85" s="161">
        <v>43980</v>
      </c>
      <c r="B85" s="273"/>
      <c r="C85" s="273"/>
      <c r="D85" s="273"/>
      <c r="E85" s="48">
        <v>0.9</v>
      </c>
      <c r="F85" s="48">
        <v>0.16</v>
      </c>
      <c r="G85" s="48">
        <v>4.93</v>
      </c>
      <c r="H85" s="48">
        <v>7.63</v>
      </c>
      <c r="I85" s="2">
        <f t="shared" si="32"/>
        <v>13.620000000000001</v>
      </c>
      <c r="J85" s="17"/>
      <c r="K85" s="10"/>
      <c r="L85" s="10"/>
      <c r="M85" s="10"/>
      <c r="N85" s="10"/>
      <c r="O85" s="10"/>
      <c r="P85" s="10"/>
      <c r="Q85" s="10"/>
      <c r="R85" s="2"/>
      <c r="S85" s="273"/>
      <c r="T85" s="273"/>
      <c r="U85" s="273"/>
      <c r="V85" s="9"/>
      <c r="W85" s="273"/>
      <c r="X85" s="273"/>
      <c r="Y85" s="9"/>
      <c r="Z85" s="273"/>
      <c r="AA85" s="273"/>
      <c r="AB85" s="9"/>
      <c r="AC85" s="273"/>
      <c r="AD85" s="273"/>
      <c r="AE85" s="9"/>
      <c r="AF85" s="273"/>
      <c r="AG85" s="273"/>
      <c r="AH85" s="9"/>
      <c r="AI85" s="273"/>
      <c r="AJ85" s="273"/>
      <c r="AK85" s="9"/>
      <c r="AL85" s="273"/>
      <c r="AM85" s="273"/>
      <c r="AN85" s="9"/>
      <c r="AO85" s="273"/>
      <c r="AP85" s="273"/>
      <c r="AQ85" s="9"/>
      <c r="AR85" s="273"/>
      <c r="AS85" s="39"/>
    </row>
    <row r="86" spans="1:45" ht="12.75">
      <c r="A86" s="161">
        <v>43983</v>
      </c>
      <c r="B86" s="48">
        <v>0.05</v>
      </c>
      <c r="C86" s="273"/>
      <c r="D86" s="48">
        <v>0.86</v>
      </c>
      <c r="E86" s="48">
        <v>1.46</v>
      </c>
      <c r="F86" s="48">
        <v>0.39300000000000002</v>
      </c>
      <c r="G86" s="48">
        <v>2.964</v>
      </c>
      <c r="H86" s="48">
        <v>3.12</v>
      </c>
      <c r="I86" s="2">
        <f t="shared" si="32"/>
        <v>8.8470000000000013</v>
      </c>
      <c r="J86" s="17"/>
      <c r="K86" s="10"/>
      <c r="L86" s="10"/>
      <c r="M86" s="10"/>
      <c r="N86" s="10"/>
      <c r="O86" s="10"/>
      <c r="P86" s="10"/>
      <c r="Q86" s="10"/>
      <c r="R86" s="2"/>
      <c r="S86" s="273"/>
      <c r="T86" s="273"/>
      <c r="U86" s="273"/>
      <c r="V86" s="9"/>
      <c r="W86" s="273"/>
      <c r="X86" s="273"/>
      <c r="Y86" s="9"/>
      <c r="Z86" s="273"/>
      <c r="AA86" s="273"/>
      <c r="AB86" s="9"/>
      <c r="AC86" s="48">
        <v>27087</v>
      </c>
      <c r="AD86" s="273"/>
      <c r="AE86" s="9"/>
      <c r="AF86" s="273"/>
      <c r="AG86" s="273"/>
      <c r="AH86" s="9"/>
      <c r="AI86" s="273"/>
      <c r="AJ86" s="273"/>
      <c r="AK86" s="9"/>
      <c r="AL86" s="273"/>
      <c r="AM86" s="273"/>
      <c r="AN86" s="9"/>
      <c r="AO86" s="273"/>
      <c r="AP86" s="273"/>
      <c r="AQ86" s="9"/>
      <c r="AR86" s="273"/>
      <c r="AS86" s="39"/>
    </row>
    <row r="87" spans="1:45" ht="12.75">
      <c r="A87" s="161">
        <v>43985</v>
      </c>
      <c r="B87" s="48">
        <v>0.11</v>
      </c>
      <c r="C87" s="273"/>
      <c r="D87" s="48">
        <v>4.5049999999999999</v>
      </c>
      <c r="E87" s="48">
        <v>2.0550000000000002</v>
      </c>
      <c r="F87" s="48">
        <v>1.38</v>
      </c>
      <c r="G87" s="48">
        <v>2.903</v>
      </c>
      <c r="H87" s="48">
        <v>3.44</v>
      </c>
      <c r="I87" s="2">
        <f t="shared" si="32"/>
        <v>14.393000000000001</v>
      </c>
      <c r="J87" s="17"/>
      <c r="K87" s="10"/>
      <c r="L87" s="10"/>
      <c r="M87" s="10"/>
      <c r="N87" s="10"/>
      <c r="O87" s="10"/>
      <c r="P87" s="10"/>
      <c r="Q87" s="10"/>
      <c r="R87" s="2"/>
      <c r="S87" s="273"/>
      <c r="T87" s="273"/>
      <c r="U87" s="273"/>
      <c r="V87" s="9"/>
      <c r="W87" s="273"/>
      <c r="X87" s="273"/>
      <c r="Y87" s="9"/>
      <c r="Z87" s="273"/>
      <c r="AA87" s="273"/>
      <c r="AB87" s="9"/>
      <c r="AC87" s="273"/>
      <c r="AD87" s="273"/>
      <c r="AE87" s="9"/>
      <c r="AF87" s="273"/>
      <c r="AG87" s="273"/>
      <c r="AH87" s="9"/>
      <c r="AI87" s="273"/>
      <c r="AJ87" s="273"/>
      <c r="AK87" s="9"/>
      <c r="AL87" s="273"/>
      <c r="AM87" s="273"/>
      <c r="AN87" s="9"/>
      <c r="AO87" s="273"/>
      <c r="AP87" s="273"/>
      <c r="AQ87" s="9"/>
      <c r="AR87" s="273"/>
      <c r="AS87" s="39"/>
    </row>
    <row r="88" spans="1:45" ht="12.75">
      <c r="A88" s="161">
        <v>43987</v>
      </c>
      <c r="B88" s="48">
        <v>0</v>
      </c>
      <c r="C88" s="273"/>
      <c r="D88" s="48">
        <v>5.8</v>
      </c>
      <c r="E88" s="48">
        <v>3.07</v>
      </c>
      <c r="F88" s="48">
        <v>1.62</v>
      </c>
      <c r="G88" s="48">
        <v>4.54</v>
      </c>
      <c r="H88" s="48">
        <v>3.66</v>
      </c>
      <c r="I88" s="2">
        <f t="shared" si="32"/>
        <v>18.689999999999998</v>
      </c>
      <c r="J88" s="17"/>
      <c r="K88" s="10"/>
      <c r="L88" s="10"/>
      <c r="M88" s="10"/>
      <c r="N88" s="10"/>
      <c r="O88" s="10"/>
      <c r="P88" s="10"/>
      <c r="Q88" s="10"/>
      <c r="R88" s="2"/>
      <c r="S88" s="273"/>
      <c r="T88" s="273"/>
      <c r="U88" s="273"/>
      <c r="V88" s="9"/>
      <c r="W88" s="273"/>
      <c r="X88" s="273"/>
      <c r="Y88" s="9"/>
      <c r="Z88" s="273"/>
      <c r="AA88" s="273"/>
      <c r="AB88" s="9"/>
      <c r="AC88" s="273"/>
      <c r="AD88" s="273"/>
      <c r="AE88" s="9"/>
      <c r="AF88" s="273"/>
      <c r="AG88" s="273"/>
      <c r="AH88" s="9"/>
      <c r="AI88" s="273"/>
      <c r="AJ88" s="273"/>
      <c r="AK88" s="9"/>
      <c r="AL88" s="273"/>
      <c r="AM88" s="273"/>
      <c r="AN88" s="9"/>
      <c r="AO88" s="273"/>
      <c r="AP88" s="273"/>
      <c r="AQ88" s="9"/>
      <c r="AR88" s="273"/>
      <c r="AS88" s="39"/>
    </row>
    <row r="89" spans="1:45" ht="12.75">
      <c r="A89" s="161">
        <v>43990</v>
      </c>
      <c r="B89" s="48">
        <v>0</v>
      </c>
      <c r="C89" s="273"/>
      <c r="D89" s="48">
        <v>3.3439999999999999</v>
      </c>
      <c r="E89" s="48">
        <v>1.71</v>
      </c>
      <c r="F89" s="48">
        <v>0.99</v>
      </c>
      <c r="G89" s="48">
        <v>3.6850000000000001</v>
      </c>
      <c r="H89" s="48">
        <v>3.4</v>
      </c>
      <c r="I89" s="2">
        <f t="shared" si="32"/>
        <v>13.129000000000001</v>
      </c>
      <c r="J89" s="17"/>
      <c r="K89" s="10"/>
      <c r="L89" s="10"/>
      <c r="M89" s="10"/>
      <c r="N89" s="10"/>
      <c r="O89" s="10"/>
      <c r="P89" s="10"/>
      <c r="Q89" s="10"/>
      <c r="R89" s="2"/>
      <c r="S89" s="273"/>
      <c r="T89" s="273"/>
      <c r="U89" s="273"/>
      <c r="V89" s="9"/>
      <c r="W89" s="273"/>
      <c r="X89" s="273"/>
      <c r="Y89" s="9"/>
      <c r="Z89" s="273"/>
      <c r="AA89" s="273"/>
      <c r="AB89" s="9"/>
      <c r="AC89" s="273"/>
      <c r="AD89" s="273"/>
      <c r="AE89" s="9"/>
      <c r="AF89" s="273"/>
      <c r="AG89" s="273"/>
      <c r="AH89" s="9"/>
      <c r="AI89" s="273"/>
      <c r="AJ89" s="273"/>
      <c r="AK89" s="9"/>
      <c r="AL89" s="273"/>
      <c r="AM89" s="273"/>
      <c r="AN89" s="9"/>
      <c r="AO89" s="273"/>
      <c r="AP89" s="273"/>
      <c r="AQ89" s="9"/>
      <c r="AR89" s="273"/>
      <c r="AS89" s="39"/>
    </row>
    <row r="90" spans="1:45" ht="12.75">
      <c r="A90" s="161">
        <v>43992</v>
      </c>
      <c r="B90" s="48">
        <v>0</v>
      </c>
      <c r="C90" s="273"/>
      <c r="D90" s="48">
        <v>4.57</v>
      </c>
      <c r="E90" s="48">
        <v>0.434</v>
      </c>
      <c r="F90" s="48">
        <v>0.53</v>
      </c>
      <c r="G90" s="48">
        <v>4.5659999999999998</v>
      </c>
      <c r="H90" s="48">
        <v>2.3490000000000002</v>
      </c>
      <c r="I90" s="2">
        <f t="shared" si="32"/>
        <v>12.449000000000002</v>
      </c>
      <c r="J90" s="17"/>
      <c r="K90" s="10"/>
      <c r="L90" s="10"/>
      <c r="M90" s="10"/>
      <c r="N90" s="10"/>
      <c r="O90" s="10"/>
      <c r="P90" s="10"/>
      <c r="Q90" s="10"/>
      <c r="R90" s="2"/>
      <c r="S90" s="273"/>
      <c r="T90" s="273"/>
      <c r="U90" s="273"/>
      <c r="V90" s="9"/>
      <c r="W90" s="273"/>
      <c r="X90" s="273"/>
      <c r="Y90" s="9"/>
      <c r="Z90" s="273"/>
      <c r="AA90" s="273"/>
      <c r="AB90" s="9"/>
      <c r="AC90" s="273"/>
      <c r="AD90" s="273"/>
      <c r="AE90" s="9"/>
      <c r="AF90" s="273"/>
      <c r="AG90" s="273"/>
      <c r="AH90" s="9"/>
      <c r="AI90" s="273"/>
      <c r="AJ90" s="273"/>
      <c r="AK90" s="9"/>
      <c r="AL90" s="273"/>
      <c r="AM90" s="273"/>
      <c r="AN90" s="9"/>
      <c r="AO90" s="273"/>
      <c r="AP90" s="273"/>
      <c r="AQ90" s="9"/>
      <c r="AR90" s="273"/>
      <c r="AS90" s="39"/>
    </row>
    <row r="91" spans="1:45" ht="12.75">
      <c r="A91" s="161">
        <v>43994</v>
      </c>
      <c r="B91" s="273"/>
      <c r="C91" s="273"/>
      <c r="D91" s="48">
        <v>0.82</v>
      </c>
      <c r="E91" s="35">
        <f>0.96+0.445</f>
        <v>1.405</v>
      </c>
      <c r="F91" s="48">
        <v>0.105</v>
      </c>
      <c r="G91" s="48">
        <v>5.41</v>
      </c>
      <c r="H91" s="48">
        <v>1.54</v>
      </c>
      <c r="I91" s="2">
        <f t="shared" si="32"/>
        <v>9.2800000000000011</v>
      </c>
      <c r="J91" s="17"/>
      <c r="K91" s="10"/>
      <c r="L91" s="10"/>
      <c r="M91" s="10"/>
      <c r="N91" s="10"/>
      <c r="O91" s="10"/>
      <c r="P91" s="10"/>
      <c r="Q91" s="10"/>
      <c r="R91" s="2"/>
      <c r="S91" s="273"/>
      <c r="T91" s="273"/>
      <c r="U91" s="273"/>
      <c r="V91" s="9"/>
      <c r="W91" s="273"/>
      <c r="X91" s="273"/>
      <c r="Y91" s="9"/>
      <c r="Z91" s="273"/>
      <c r="AA91" s="273"/>
      <c r="AB91" s="9"/>
      <c r="AC91" s="273"/>
      <c r="AD91" s="273"/>
      <c r="AE91" s="9"/>
      <c r="AF91" s="273"/>
      <c r="AG91" s="273"/>
      <c r="AH91" s="9"/>
      <c r="AI91" s="273"/>
      <c r="AJ91" s="273"/>
      <c r="AK91" s="9"/>
      <c r="AL91" s="273"/>
      <c r="AM91" s="273"/>
      <c r="AN91" s="9"/>
      <c r="AO91" s="273"/>
      <c r="AP91" s="273"/>
      <c r="AQ91" s="9"/>
      <c r="AR91" s="273"/>
      <c r="AS91" s="39"/>
    </row>
    <row r="92" spans="1:45" ht="12.75">
      <c r="A92" s="161">
        <v>43997</v>
      </c>
      <c r="B92" s="273"/>
      <c r="C92" s="273"/>
      <c r="D92" s="48">
        <v>0.27500000000000002</v>
      </c>
      <c r="E92" s="48">
        <v>1.2450000000000001</v>
      </c>
      <c r="F92" s="48">
        <v>0.03</v>
      </c>
      <c r="G92" s="48">
        <v>2.02</v>
      </c>
      <c r="H92" s="48">
        <v>0.26</v>
      </c>
      <c r="I92" s="2">
        <f t="shared" si="32"/>
        <v>3.83</v>
      </c>
      <c r="J92" s="17"/>
      <c r="K92" s="10"/>
      <c r="L92" s="10"/>
      <c r="M92" s="10"/>
      <c r="N92" s="10"/>
      <c r="O92" s="10"/>
      <c r="P92" s="10"/>
      <c r="Q92" s="10"/>
      <c r="R92" s="2"/>
      <c r="S92" s="273"/>
      <c r="T92" s="273"/>
      <c r="U92" s="273"/>
      <c r="V92" s="9"/>
      <c r="W92" s="273"/>
      <c r="X92" s="273"/>
      <c r="Y92" s="9"/>
      <c r="Z92" s="273"/>
      <c r="AA92" s="273"/>
      <c r="AB92" s="9"/>
      <c r="AC92" s="273"/>
      <c r="AD92" s="273"/>
      <c r="AE92" s="9"/>
      <c r="AF92" s="273"/>
      <c r="AG92" s="273"/>
      <c r="AH92" s="9"/>
      <c r="AI92" s="273"/>
      <c r="AJ92" s="273"/>
      <c r="AK92" s="9"/>
      <c r="AL92" s="273"/>
      <c r="AM92" s="273"/>
      <c r="AN92" s="9"/>
      <c r="AO92" s="273"/>
      <c r="AP92" s="273"/>
      <c r="AQ92" s="9"/>
      <c r="AR92" s="273"/>
      <c r="AS92" s="39"/>
    </row>
    <row r="93" spans="1:45" ht="12.75">
      <c r="A93" s="161">
        <v>44008</v>
      </c>
      <c r="B93" s="273"/>
      <c r="C93" s="273"/>
      <c r="D93" s="273"/>
      <c r="E93" s="273"/>
      <c r="F93" s="273"/>
      <c r="G93" s="35">
        <f>6.567-4.47</f>
        <v>2.0970000000000004</v>
      </c>
      <c r="H93" s="273"/>
      <c r="I93" s="2">
        <f t="shared" si="32"/>
        <v>2.0970000000000004</v>
      </c>
      <c r="J93" s="17"/>
      <c r="K93" s="10"/>
      <c r="L93" s="10"/>
      <c r="M93" s="10"/>
      <c r="N93" s="10"/>
      <c r="O93" s="10"/>
      <c r="P93" s="10"/>
      <c r="Q93" s="10"/>
      <c r="R93" s="2"/>
      <c r="S93" s="273"/>
      <c r="T93" s="273"/>
      <c r="U93" s="273"/>
      <c r="V93" s="9"/>
      <c r="W93" s="273"/>
      <c r="X93" s="273"/>
      <c r="Y93" s="9"/>
      <c r="Z93" s="273"/>
      <c r="AA93" s="273"/>
      <c r="AB93" s="9"/>
      <c r="AC93" s="273"/>
      <c r="AD93" s="273"/>
      <c r="AE93" s="9"/>
      <c r="AF93" s="273"/>
      <c r="AG93" s="273"/>
      <c r="AH93" s="9"/>
      <c r="AI93" s="273"/>
      <c r="AJ93" s="273"/>
      <c r="AK93" s="9"/>
      <c r="AL93" s="273"/>
      <c r="AM93" s="273"/>
      <c r="AN93" s="9"/>
      <c r="AO93" s="273"/>
      <c r="AP93" s="273"/>
      <c r="AQ93" s="9"/>
      <c r="AR93" s="273"/>
      <c r="AS93" s="39"/>
    </row>
    <row r="94" spans="1:45" ht="12.75">
      <c r="A94" s="162">
        <v>44011</v>
      </c>
      <c r="B94" s="15"/>
      <c r="C94" s="15"/>
      <c r="D94" s="15"/>
      <c r="E94" s="15"/>
      <c r="F94" s="16">
        <v>0.43</v>
      </c>
      <c r="G94" s="15"/>
      <c r="H94" s="15"/>
      <c r="I94" s="2">
        <f t="shared" si="32"/>
        <v>0.43</v>
      </c>
      <c r="J94" s="17"/>
      <c r="K94" s="10"/>
      <c r="L94" s="10"/>
      <c r="M94" s="10"/>
      <c r="N94" s="10"/>
      <c r="O94" s="10"/>
      <c r="P94" s="10"/>
      <c r="Q94" s="10"/>
      <c r="R94" s="2"/>
      <c r="S94" s="273"/>
      <c r="T94" s="273"/>
      <c r="U94" s="273"/>
      <c r="V94" s="9"/>
      <c r="W94" s="273"/>
      <c r="X94" s="273"/>
      <c r="Y94" s="9"/>
      <c r="Z94" s="273"/>
      <c r="AA94" s="273"/>
      <c r="AB94" s="9"/>
      <c r="AC94" s="273"/>
      <c r="AD94" s="273"/>
      <c r="AE94" s="9"/>
      <c r="AF94" s="273"/>
      <c r="AG94" s="273"/>
      <c r="AH94" s="9"/>
      <c r="AI94" s="273"/>
      <c r="AJ94" s="273"/>
      <c r="AK94" s="9"/>
      <c r="AL94" s="273"/>
      <c r="AM94" s="273"/>
      <c r="AN94" s="9"/>
      <c r="AO94" s="273"/>
      <c r="AP94" s="273"/>
      <c r="AQ94" s="9"/>
      <c r="AR94" s="273"/>
      <c r="AS94" s="39"/>
    </row>
    <row r="95" spans="1:45" ht="12.75">
      <c r="A95" s="161">
        <v>44013</v>
      </c>
      <c r="B95" s="15"/>
      <c r="C95" s="15"/>
      <c r="D95" s="15"/>
      <c r="E95" s="15"/>
      <c r="F95" s="15">
        <f>18.3749-15.28</f>
        <v>3.0949000000000009</v>
      </c>
      <c r="G95" s="15">
        <f>8.5232-5.9-7.48+11.0058</f>
        <v>6.1489999999999991</v>
      </c>
      <c r="H95" s="15"/>
      <c r="I95" s="2">
        <f t="shared" si="32"/>
        <v>9.2439</v>
      </c>
      <c r="J95" s="17"/>
      <c r="K95" s="10"/>
      <c r="L95" s="10"/>
      <c r="M95" s="10"/>
      <c r="N95" s="10"/>
      <c r="O95" s="10">
        <f>F95/1</f>
        <v>3.0949000000000009</v>
      </c>
      <c r="P95" s="10">
        <f t="shared" ref="P95:P97" si="45">G95/2</f>
        <v>3.0744999999999996</v>
      </c>
      <c r="Q95" s="10"/>
      <c r="R95" s="2"/>
      <c r="S95" s="273"/>
      <c r="T95" s="273"/>
      <c r="U95" s="273"/>
      <c r="V95" s="9"/>
      <c r="W95" s="273"/>
      <c r="X95" s="273"/>
      <c r="Y95" s="9"/>
      <c r="Z95" s="273"/>
      <c r="AA95" s="273"/>
      <c r="AB95" s="9"/>
      <c r="AC95" s="273"/>
      <c r="AD95" s="273"/>
      <c r="AE95" s="9"/>
      <c r="AF95" s="273"/>
      <c r="AG95" s="273"/>
      <c r="AH95" s="9"/>
      <c r="AI95" s="273"/>
      <c r="AJ95" s="273"/>
      <c r="AK95" s="9"/>
      <c r="AL95" s="273"/>
      <c r="AM95" s="273"/>
      <c r="AN95" s="9"/>
      <c r="AO95" s="273"/>
      <c r="AP95" s="273"/>
      <c r="AQ95" s="9"/>
      <c r="AR95" s="273"/>
      <c r="AS95" s="39"/>
    </row>
    <row r="96" spans="1:45" ht="12.75">
      <c r="A96" s="161">
        <v>44015</v>
      </c>
      <c r="B96" s="15"/>
      <c r="C96" s="15"/>
      <c r="D96" s="15"/>
      <c r="E96" s="15"/>
      <c r="F96" s="15">
        <f>15.87-12.28</f>
        <v>3.59</v>
      </c>
      <c r="G96" s="15">
        <f>(11.05-7.18)+(11.26-7.72)</f>
        <v>7.410000000000001</v>
      </c>
      <c r="H96" s="15"/>
      <c r="I96" s="2">
        <f t="shared" si="32"/>
        <v>11</v>
      </c>
      <c r="J96" s="17" t="s">
        <v>49</v>
      </c>
      <c r="K96" s="10"/>
      <c r="L96" s="10"/>
      <c r="M96" s="10"/>
      <c r="N96" s="10"/>
      <c r="O96" s="10">
        <f t="shared" ref="O96:O97" si="46">F96</f>
        <v>3.59</v>
      </c>
      <c r="P96" s="10">
        <f t="shared" si="45"/>
        <v>3.7050000000000005</v>
      </c>
      <c r="Q96" s="10"/>
      <c r="R96" s="2"/>
      <c r="S96" s="273"/>
      <c r="T96" s="273"/>
      <c r="U96" s="273"/>
      <c r="V96" s="9"/>
      <c r="W96" s="273"/>
      <c r="X96" s="273"/>
      <c r="Y96" s="9"/>
      <c r="Z96" s="273"/>
      <c r="AA96" s="273"/>
      <c r="AB96" s="9"/>
      <c r="AC96" s="273"/>
      <c r="AD96" s="273"/>
      <c r="AE96" s="9"/>
      <c r="AF96" s="273"/>
      <c r="AG96" s="273"/>
      <c r="AH96" s="9"/>
      <c r="AI96" s="273"/>
      <c r="AJ96" s="273"/>
      <c r="AK96" s="9"/>
      <c r="AL96" s="273"/>
      <c r="AM96" s="273"/>
      <c r="AN96" s="9"/>
      <c r="AO96" s="273"/>
      <c r="AP96" s="273"/>
      <c r="AQ96" s="9"/>
      <c r="AR96" s="273"/>
      <c r="AS96" s="39"/>
    </row>
    <row r="97" spans="1:45" ht="12.75">
      <c r="A97" s="161">
        <v>44018</v>
      </c>
      <c r="B97" s="15"/>
      <c r="C97" s="15"/>
      <c r="D97" s="15"/>
      <c r="E97" s="15"/>
      <c r="F97" s="15">
        <f>9.6067-7.88</f>
        <v>1.7267000000000001</v>
      </c>
      <c r="G97" s="15">
        <f>-7.85+9.7776-6.94+11.3635</f>
        <v>6.3510999999999997</v>
      </c>
      <c r="H97" s="15">
        <f>-9.62+14.478-7.28+14.1283-6.62+8.319</f>
        <v>13.4053</v>
      </c>
      <c r="I97" s="2">
        <f t="shared" si="32"/>
        <v>21.4831</v>
      </c>
      <c r="J97" s="17"/>
      <c r="K97" s="10"/>
      <c r="L97" s="10"/>
      <c r="M97" s="10"/>
      <c r="N97" s="10"/>
      <c r="O97" s="10">
        <f t="shared" si="46"/>
        <v>1.7267000000000001</v>
      </c>
      <c r="P97" s="10">
        <f t="shared" si="45"/>
        <v>3.1755499999999999</v>
      </c>
      <c r="Q97" s="10">
        <f t="shared" ref="Q97:Q101" si="47">H97/3</f>
        <v>4.4684333333333335</v>
      </c>
      <c r="R97" s="2"/>
      <c r="S97" s="273"/>
      <c r="T97" s="273"/>
      <c r="U97" s="273"/>
      <c r="V97" s="9"/>
      <c r="W97" s="273"/>
      <c r="X97" s="273"/>
      <c r="Y97" s="9"/>
      <c r="Z97" s="273"/>
      <c r="AA97" s="273"/>
      <c r="AB97" s="9"/>
      <c r="AC97" s="273"/>
      <c r="AD97" s="273"/>
      <c r="AE97" s="9"/>
      <c r="AF97" s="273"/>
      <c r="AG97" s="273"/>
      <c r="AH97" s="9"/>
      <c r="AI97" s="273"/>
      <c r="AJ97" s="273"/>
      <c r="AK97" s="9"/>
      <c r="AL97" s="273"/>
      <c r="AM97" s="273"/>
      <c r="AN97" s="9">
        <f>H97*30000</f>
        <v>402159</v>
      </c>
      <c r="AO97" s="273">
        <v>255402</v>
      </c>
      <c r="AP97" s="273">
        <f>AO97/AN97%</f>
        <v>63.50771709696911</v>
      </c>
      <c r="AQ97" s="9"/>
      <c r="AR97" s="273"/>
      <c r="AS97" s="39"/>
    </row>
    <row r="98" spans="1:45" ht="12.75">
      <c r="A98" s="161">
        <v>44021</v>
      </c>
      <c r="B98" s="15"/>
      <c r="C98" s="15"/>
      <c r="D98" s="15"/>
      <c r="E98" s="15"/>
      <c r="F98" s="15">
        <f>-6.39+7.2-14.49+16.4</f>
        <v>2.7199999999999989</v>
      </c>
      <c r="G98" s="16">
        <f>-12.26+14.64-12.48+16.2-8.7+11.95-9.17+11.44</f>
        <v>11.62</v>
      </c>
      <c r="H98" s="15">
        <f>-9.155+11.211-8.19+14.9537-9.42+16.9237</f>
        <v>16.323399999999999</v>
      </c>
      <c r="I98" s="2">
        <f t="shared" si="32"/>
        <v>30.663399999999996</v>
      </c>
      <c r="J98" s="17"/>
      <c r="K98" s="10"/>
      <c r="L98" s="10"/>
      <c r="M98" s="10"/>
      <c r="N98" s="10"/>
      <c r="O98" s="10">
        <f>F98/2</f>
        <v>1.3599999999999994</v>
      </c>
      <c r="P98" s="10">
        <f t="shared" ref="P98:P99" si="48">G98/4</f>
        <v>2.9049999999999998</v>
      </c>
      <c r="Q98" s="10">
        <f t="shared" si="47"/>
        <v>5.4411333333333332</v>
      </c>
      <c r="R98" s="2"/>
      <c r="S98" s="273"/>
      <c r="T98" s="273"/>
      <c r="U98" s="273"/>
      <c r="V98" s="9"/>
      <c r="W98" s="273"/>
      <c r="X98" s="273"/>
      <c r="Y98" s="9"/>
      <c r="Z98" s="273"/>
      <c r="AA98" s="273"/>
      <c r="AB98" s="9"/>
      <c r="AC98" s="273"/>
      <c r="AD98" s="273"/>
      <c r="AE98" s="9"/>
      <c r="AF98" s="273"/>
      <c r="AG98" s="273"/>
      <c r="AH98" s="9"/>
      <c r="AI98" s="273"/>
      <c r="AJ98" s="273"/>
      <c r="AK98" s="9"/>
      <c r="AL98" s="273"/>
      <c r="AM98" s="273"/>
      <c r="AN98" s="9"/>
      <c r="AO98" s="273"/>
      <c r="AP98" s="273"/>
      <c r="AQ98" s="9"/>
      <c r="AR98" s="273"/>
      <c r="AS98" s="39"/>
    </row>
    <row r="99" spans="1:45" ht="12.75">
      <c r="A99" s="161">
        <v>44025</v>
      </c>
      <c r="B99" s="15"/>
      <c r="C99" s="15"/>
      <c r="D99" s="15"/>
      <c r="E99" s="15"/>
      <c r="F99" s="15">
        <f>8.35-7.73</f>
        <v>0.61999999999999922</v>
      </c>
      <c r="G99" s="15">
        <f>-6.88+9.9322-7.99+9.5896-8.6+10.5086-6.97+7.9246</f>
        <v>7.5150000000000006</v>
      </c>
      <c r="H99" s="16">
        <f>6.67-6.06+8.2152-6.9+9.2939-7.37</f>
        <v>3.8490999999999991</v>
      </c>
      <c r="I99" s="2">
        <f t="shared" si="32"/>
        <v>11.984099999999998</v>
      </c>
      <c r="J99" s="17"/>
      <c r="K99" s="10"/>
      <c r="L99" s="10"/>
      <c r="M99" s="10" t="s">
        <v>27</v>
      </c>
      <c r="N99" s="10"/>
      <c r="O99" s="10">
        <f>F99</f>
        <v>0.61999999999999922</v>
      </c>
      <c r="P99" s="10">
        <f t="shared" si="48"/>
        <v>1.8787500000000001</v>
      </c>
      <c r="Q99" s="10">
        <f t="shared" si="47"/>
        <v>1.283033333333333</v>
      </c>
      <c r="R99" s="2"/>
      <c r="S99" s="273"/>
      <c r="T99" s="273"/>
      <c r="U99" s="273"/>
      <c r="V99" s="9"/>
      <c r="W99" s="273"/>
      <c r="X99" s="273"/>
      <c r="Y99" s="9"/>
      <c r="Z99" s="273"/>
      <c r="AA99" s="273"/>
      <c r="AB99" s="9"/>
      <c r="AC99" s="273"/>
      <c r="AD99" s="273"/>
      <c r="AE99" s="9"/>
      <c r="AF99" s="273"/>
      <c r="AG99" s="273"/>
      <c r="AH99" s="9"/>
      <c r="AI99" s="273"/>
      <c r="AJ99" s="273"/>
      <c r="AK99" s="9">
        <f>G99*30000</f>
        <v>225450.00000000003</v>
      </c>
      <c r="AL99" s="48">
        <v>183798</v>
      </c>
      <c r="AM99" s="35">
        <f>AL99/AK99%</f>
        <v>81.524950099800378</v>
      </c>
      <c r="AN99" s="9"/>
      <c r="AO99" s="273"/>
      <c r="AP99" s="273"/>
      <c r="AQ99" s="9"/>
      <c r="AR99" s="273"/>
      <c r="AS99" s="39"/>
    </row>
    <row r="100" spans="1:45" ht="15">
      <c r="A100" s="161">
        <v>44027</v>
      </c>
      <c r="B100" s="15"/>
      <c r="C100" s="15"/>
      <c r="D100" s="15"/>
      <c r="E100" s="15"/>
      <c r="F100" s="15">
        <f>11.6495-9.48+10.1191-9.145+10.1743-9.35+9.6271-8.52+8.4728-7.99+8.1133-7.84</f>
        <v>5.8311000000000011</v>
      </c>
      <c r="G100" s="18">
        <f>11.7959-9.31+12.2677-9.83+9.4378-7.91+10.2239-7.92</f>
        <v>8.7553000000000001</v>
      </c>
      <c r="H100" s="18">
        <f>11.9048-9.82+7.0058-6.69+9.4723-7.81</f>
        <v>4.0628999999999982</v>
      </c>
      <c r="I100" s="2">
        <f t="shared" si="32"/>
        <v>18.6493</v>
      </c>
      <c r="J100" s="17"/>
      <c r="K100" s="10"/>
      <c r="L100" s="10"/>
      <c r="M100" s="10"/>
      <c r="N100" s="10"/>
      <c r="O100" s="10">
        <f t="shared" ref="O100:P100" si="49">F100/4</f>
        <v>1.4577750000000003</v>
      </c>
      <c r="P100" s="10">
        <f t="shared" si="49"/>
        <v>2.188825</v>
      </c>
      <c r="Q100" s="10">
        <f t="shared" si="47"/>
        <v>1.3542999999999994</v>
      </c>
      <c r="R100" s="2"/>
      <c r="S100" s="273"/>
      <c r="T100" s="273"/>
      <c r="U100" s="273"/>
      <c r="V100" s="9"/>
      <c r="W100" s="273"/>
      <c r="X100" s="273"/>
      <c r="Y100" s="9"/>
      <c r="Z100" s="273"/>
      <c r="AA100" s="273"/>
      <c r="AB100" s="9"/>
      <c r="AC100" s="273"/>
      <c r="AD100" s="273"/>
      <c r="AE100" s="9"/>
      <c r="AF100" s="273"/>
      <c r="AG100" s="273"/>
      <c r="AH100" s="9">
        <f>F100*30000</f>
        <v>174933.00000000003</v>
      </c>
      <c r="AI100" s="273">
        <v>45298</v>
      </c>
      <c r="AJ100" s="273">
        <f>AI100/AH100%</f>
        <v>25.894485317235738</v>
      </c>
      <c r="AK100" s="9"/>
      <c r="AL100" s="273"/>
      <c r="AM100" s="273"/>
      <c r="AN100" s="9"/>
      <c r="AO100" s="273"/>
      <c r="AP100" s="273"/>
      <c r="AQ100" s="9"/>
      <c r="AR100" s="273"/>
      <c r="AS100" s="39"/>
    </row>
    <row r="101" spans="1:45" ht="12.75">
      <c r="A101" s="163">
        <v>44029</v>
      </c>
      <c r="B101" s="15"/>
      <c r="C101" s="15"/>
      <c r="D101" s="15"/>
      <c r="E101" s="15"/>
      <c r="F101" s="15">
        <f>8.946-8.65+8.39-8.2+12.56-11.13+17.98-13.46+14.14-11.5+16.95-12.47</f>
        <v>13.555999999999999</v>
      </c>
      <c r="G101" s="15">
        <f>14.46-12.65+14.87-11.19+17.72-14.67+14.8504-11.5</f>
        <v>11.8904</v>
      </c>
      <c r="H101" s="15">
        <f>13.988-12.16+18.974-16.05+4.8557-4.69</f>
        <v>4.9176999999999973</v>
      </c>
      <c r="I101" s="2">
        <f t="shared" si="32"/>
        <v>30.364099999999993</v>
      </c>
      <c r="J101" s="17" t="s">
        <v>50</v>
      </c>
      <c r="K101" s="10"/>
      <c r="L101" s="10"/>
      <c r="M101" s="10"/>
      <c r="N101" s="10"/>
      <c r="O101" s="10">
        <f>F101/5</f>
        <v>2.7111999999999998</v>
      </c>
      <c r="P101" s="10">
        <f t="shared" ref="P101:P102" si="50">G101/4</f>
        <v>2.9725999999999999</v>
      </c>
      <c r="Q101" s="10">
        <f t="shared" si="47"/>
        <v>1.6392333333333324</v>
      </c>
      <c r="R101" s="2"/>
      <c r="S101" s="273"/>
      <c r="T101" s="273"/>
      <c r="U101" s="273"/>
      <c r="V101" s="9"/>
      <c r="W101" s="273"/>
      <c r="X101" s="273"/>
      <c r="Y101" s="9"/>
      <c r="Z101" s="273"/>
      <c r="AA101" s="273"/>
      <c r="AB101" s="9"/>
      <c r="AC101" s="273"/>
      <c r="AD101" s="273"/>
      <c r="AE101" s="9"/>
      <c r="AF101" s="273"/>
      <c r="AG101" s="273"/>
      <c r="AH101" s="9">
        <f>F101*30000</f>
        <v>406680</v>
      </c>
      <c r="AI101" s="273">
        <f>55488+56704</f>
        <v>112192</v>
      </c>
      <c r="AJ101" s="273">
        <f>AI101/AH101%</f>
        <v>27.587292219927214</v>
      </c>
      <c r="AK101" s="9"/>
      <c r="AL101" s="273"/>
      <c r="AM101" s="273"/>
      <c r="AN101" s="9"/>
      <c r="AO101" s="273"/>
      <c r="AP101" s="273"/>
      <c r="AQ101" s="9"/>
      <c r="AR101" s="273"/>
      <c r="AS101" s="39"/>
    </row>
    <row r="102" spans="1:45" ht="12.75">
      <c r="A102" s="163">
        <v>44032</v>
      </c>
      <c r="B102" s="15"/>
      <c r="C102" s="15"/>
      <c r="D102" s="15">
        <f>12.7133-11+8.8358-8.62</f>
        <v>1.9291000000000018</v>
      </c>
      <c r="E102" s="15"/>
      <c r="F102" s="16">
        <f>9.9222-8.57+8.531-8.47+11.6218-8.13+13.0412-9.13+13.1204-8.66+9.4254-9.19</f>
        <v>13.511999999999999</v>
      </c>
      <c r="G102" s="16">
        <f>8.5546-8.19+11.5258-8.74+12.3459-9.69</f>
        <v>5.806300000000002</v>
      </c>
      <c r="H102" s="16">
        <f>11.2738-10+9.3334-8.77</f>
        <v>1.8371999999999993</v>
      </c>
      <c r="I102" s="2">
        <f t="shared" si="32"/>
        <v>23.084600000000002</v>
      </c>
      <c r="J102" s="17"/>
      <c r="K102" s="10"/>
      <c r="L102" s="10"/>
      <c r="M102" s="10">
        <f t="shared" ref="M102:M104" si="51">D102/2</f>
        <v>0.96455000000000091</v>
      </c>
      <c r="N102" s="10"/>
      <c r="O102" s="10">
        <f>F102/6</f>
        <v>2.2519999999999998</v>
      </c>
      <c r="P102" s="10">
        <f t="shared" si="50"/>
        <v>1.4515750000000005</v>
      </c>
      <c r="Q102" s="10">
        <f t="shared" ref="Q102:Q104" si="52">H102/2</f>
        <v>0.91859999999999964</v>
      </c>
      <c r="R102" s="2"/>
      <c r="S102" s="273"/>
      <c r="T102" s="273"/>
      <c r="U102" s="273"/>
      <c r="V102" s="9"/>
      <c r="W102" s="273"/>
      <c r="X102" s="273"/>
      <c r="Y102" s="9"/>
      <c r="Z102" s="273"/>
      <c r="AA102" s="273"/>
      <c r="AB102" s="9">
        <f>D102*30000</f>
        <v>57873.000000000051</v>
      </c>
      <c r="AC102" s="273">
        <v>36629</v>
      </c>
      <c r="AD102" s="273">
        <f>AC102/AB102%</f>
        <v>63.29203600988366</v>
      </c>
      <c r="AE102" s="9"/>
      <c r="AF102" s="273"/>
      <c r="AG102" s="273"/>
      <c r="AH102" s="9">
        <f>F102*30000</f>
        <v>405359.99999999994</v>
      </c>
      <c r="AI102" s="273">
        <f>36172+16985+23656</f>
        <v>76813</v>
      </c>
      <c r="AJ102" s="273">
        <f>AI102/AH102%</f>
        <v>18.94932899151372</v>
      </c>
      <c r="AK102" s="9"/>
      <c r="AL102" s="273"/>
      <c r="AM102" s="273"/>
      <c r="AN102" s="9"/>
      <c r="AO102" s="273"/>
      <c r="AP102" s="273"/>
      <c r="AQ102" s="9"/>
      <c r="AR102" s="273"/>
      <c r="AS102" s="39"/>
    </row>
    <row r="103" spans="1:45" ht="13.5">
      <c r="A103" s="163">
        <v>44034</v>
      </c>
      <c r="B103" s="15">
        <f>7.3897-7.268</f>
        <v>0.12170000000000059</v>
      </c>
      <c r="C103" s="15"/>
      <c r="D103" s="15">
        <f>6.4543-5.73+12.3326-8.1154</f>
        <v>4.9414999999999996</v>
      </c>
      <c r="E103" s="15"/>
      <c r="F103" s="16">
        <f>10.8575-8.255+11.429-7.8564+9.4545-7.5522+7.6598-6.937+7.9442-7.857</f>
        <v>8.8873999999999995</v>
      </c>
      <c r="G103" s="19">
        <f>8.0023-7.9043+10.4489-7.4403+9.6391-7.5125</f>
        <v>5.2331999999999992</v>
      </c>
      <c r="H103" s="15">
        <f>7.7184-7.6961</f>
        <v>2.2299999999999542E-2</v>
      </c>
      <c r="I103" s="2">
        <f t="shared" si="32"/>
        <v>19.206099999999999</v>
      </c>
      <c r="J103" s="17"/>
      <c r="K103" s="10">
        <f>B103/1</f>
        <v>0.12170000000000059</v>
      </c>
      <c r="L103" s="10"/>
      <c r="M103" s="10">
        <f t="shared" si="51"/>
        <v>2.4707499999999998</v>
      </c>
      <c r="N103" s="10"/>
      <c r="O103" s="10">
        <f>F103/5</f>
        <v>1.7774799999999999</v>
      </c>
      <c r="P103" s="10">
        <f>G103/3</f>
        <v>1.7443999999999997</v>
      </c>
      <c r="Q103" s="10">
        <f t="shared" si="52"/>
        <v>1.1149999999999771E-2</v>
      </c>
      <c r="R103" s="2"/>
      <c r="S103" s="273"/>
      <c r="T103" s="273"/>
      <c r="U103" s="273"/>
      <c r="V103" s="9"/>
      <c r="W103" s="273"/>
      <c r="X103" s="273"/>
      <c r="Y103" s="9"/>
      <c r="Z103" s="273"/>
      <c r="AA103" s="273"/>
      <c r="AB103" s="9">
        <f>D103*30000</f>
        <v>148245</v>
      </c>
      <c r="AC103" s="273">
        <v>75037</v>
      </c>
      <c r="AD103" s="273">
        <f>AC103/AB103%</f>
        <v>50.616884211946441</v>
      </c>
      <c r="AE103" s="9"/>
      <c r="AF103" s="273"/>
      <c r="AG103" s="273"/>
      <c r="AH103" s="9">
        <f>F103*30000</f>
        <v>266622</v>
      </c>
      <c r="AI103" s="273">
        <f>40710+33445</f>
        <v>74155</v>
      </c>
      <c r="AJ103" s="273">
        <f>AI103/AH103%</f>
        <v>27.812783641259912</v>
      </c>
      <c r="AK103" s="9"/>
      <c r="AL103" s="273"/>
      <c r="AM103" s="273"/>
      <c r="AN103" s="9"/>
      <c r="AO103" s="273"/>
      <c r="AP103" s="273"/>
      <c r="AQ103" s="9"/>
      <c r="AR103" s="273"/>
      <c r="AS103" s="39"/>
    </row>
    <row r="104" spans="1:45" ht="15">
      <c r="A104" s="163">
        <v>44036</v>
      </c>
      <c r="B104" s="15">
        <f>-7.5691+9.1241</f>
        <v>1.5550000000000006</v>
      </c>
      <c r="C104" s="15"/>
      <c r="D104" s="15">
        <f>-7.771+8.242-7.832+10.8077</f>
        <v>3.4467000000000017</v>
      </c>
      <c r="E104" s="20"/>
      <c r="F104" s="15">
        <f>-7.854+8.3956-7.5064+8.3836-8.0266+10.019-7.7538+9.2929</f>
        <v>4.9502999999999986</v>
      </c>
      <c r="G104" s="15">
        <f>-7.798+7.8657-9.92+12.0822-7.7895+9.4554-7.86+7.9646</f>
        <v>4.0003999999999991</v>
      </c>
      <c r="H104" s="16">
        <f>-5.928+6.0096-4.796+4.8326</f>
        <v>0.11819999999999986</v>
      </c>
      <c r="I104" s="2">
        <f t="shared" si="32"/>
        <v>14.070600000000001</v>
      </c>
      <c r="J104" s="17"/>
      <c r="K104" s="10">
        <f t="shared" ref="K104:L104" si="53">B104</f>
        <v>1.5550000000000006</v>
      </c>
      <c r="L104" s="10">
        <f t="shared" si="53"/>
        <v>0</v>
      </c>
      <c r="M104" s="10">
        <f t="shared" si="51"/>
        <v>1.7233500000000008</v>
      </c>
      <c r="N104" s="10">
        <f>E104</f>
        <v>0</v>
      </c>
      <c r="O104" s="10">
        <f t="shared" ref="O104:P104" si="54">F104/4</f>
        <v>1.2375749999999996</v>
      </c>
      <c r="P104" s="10">
        <f t="shared" si="54"/>
        <v>1.0000999999999998</v>
      </c>
      <c r="Q104" s="10">
        <f t="shared" si="52"/>
        <v>5.909999999999993E-2</v>
      </c>
      <c r="R104" s="2"/>
      <c r="S104" s="273"/>
      <c r="T104" s="273"/>
      <c r="U104" s="273"/>
      <c r="V104" s="9"/>
      <c r="W104" s="273"/>
      <c r="X104" s="273"/>
      <c r="Y104" s="9"/>
      <c r="Z104" s="273"/>
      <c r="AA104" s="273"/>
      <c r="AB104" s="9">
        <f>D104*30000</f>
        <v>103401.00000000004</v>
      </c>
      <c r="AC104" s="273">
        <v>55643</v>
      </c>
      <c r="AD104" s="273">
        <f>AC104/AB104%</f>
        <v>53.812825794721498</v>
      </c>
      <c r="AE104" s="9"/>
      <c r="AF104" s="273"/>
      <c r="AG104" s="273"/>
      <c r="AH104" s="9">
        <f>F104*30000</f>
        <v>148508.99999999997</v>
      </c>
      <c r="AI104" s="273">
        <v>61537</v>
      </c>
      <c r="AJ104" s="273">
        <f>AI104/AH104%</f>
        <v>41.43654593324311</v>
      </c>
      <c r="AK104" s="9">
        <f>G104*30000</f>
        <v>120011.99999999997</v>
      </c>
      <c r="AL104" s="273">
        <v>75720</v>
      </c>
      <c r="AM104" s="273">
        <f>AL104/AK104%</f>
        <v>63.093690630936926</v>
      </c>
      <c r="AN104" s="9"/>
      <c r="AO104" s="273"/>
      <c r="AP104" s="273"/>
      <c r="AQ104" s="9"/>
      <c r="AR104" s="273"/>
      <c r="AS104" s="39"/>
    </row>
    <row r="105" spans="1:45" ht="12.75">
      <c r="A105" s="164">
        <v>44039</v>
      </c>
      <c r="B105" s="15">
        <f>SUMIFS('Egg Tally'!$G:$G,'Egg Tally'!$C:$C,"M",'Egg Tally'!$A:$A,'Egg Collections'!$A105)</f>
        <v>0.34520000000000017</v>
      </c>
      <c r="C105" s="15"/>
      <c r="D105" s="15">
        <f>SUMIFS('Egg Tally'!$G:$G,'Egg Tally'!$C:$C,D$1,'Egg Tally'!$A:$A,'Egg Collections'!$A105)</f>
        <v>2.1417999999999999</v>
      </c>
      <c r="E105" s="15">
        <f>SUMIFS('Egg Tally'!$G:$G,'Egg Tally'!$C:$C,E$1,'Egg Tally'!$A:$A,'Egg Collections'!$A105)</f>
        <v>0</v>
      </c>
      <c r="F105" s="15">
        <f>SUMIFS('Egg Tally'!$G:$G,'Egg Tally'!$C:$C,F$1,'Egg Tally'!$A:$A,'Egg Collections'!$A105)</f>
        <v>1.3429999999999973</v>
      </c>
      <c r="G105" s="15">
        <f>SUMIFS('Egg Tally'!$G:$G,'Egg Tally'!$C:$C,G$1,'Egg Tally'!$A:$A,'Egg Collections'!$A105)</f>
        <v>1.0481000000000007</v>
      </c>
      <c r="H105" s="15">
        <f>SUMIFS('Egg Tally'!$G:$G,'Egg Tally'!$C:$C,H$1,'Egg Tally'!$A:$A,'Egg Collections'!$A105)</f>
        <v>0</v>
      </c>
      <c r="I105" s="2">
        <f t="shared" si="32"/>
        <v>4.8780999999999981</v>
      </c>
      <c r="J105" s="17"/>
      <c r="K105" s="10"/>
      <c r="L105" s="10"/>
      <c r="M105" s="10"/>
      <c r="N105" s="10"/>
      <c r="O105" s="10"/>
      <c r="P105" s="10"/>
      <c r="Q105" s="10"/>
      <c r="R105" s="2"/>
      <c r="S105" s="273"/>
      <c r="T105" s="273"/>
      <c r="U105" s="273"/>
      <c r="V105" s="9"/>
      <c r="W105" s="273"/>
      <c r="X105" s="273"/>
      <c r="Y105" s="9"/>
      <c r="Z105" s="273"/>
      <c r="AA105" s="273"/>
      <c r="AB105" s="9">
        <f>D105*30000</f>
        <v>64254</v>
      </c>
      <c r="AC105" s="273">
        <v>46244</v>
      </c>
      <c r="AD105" s="273">
        <f>AC105/AB105%</f>
        <v>71.970616615308003</v>
      </c>
      <c r="AE105" s="9"/>
      <c r="AF105" s="273"/>
      <c r="AG105" s="273"/>
      <c r="AH105" s="9"/>
      <c r="AI105" s="273"/>
      <c r="AJ105" s="273"/>
      <c r="AK105" s="9"/>
      <c r="AL105" s="273"/>
      <c r="AM105" s="273"/>
      <c r="AN105" s="9"/>
      <c r="AO105" s="273"/>
      <c r="AP105" s="273"/>
      <c r="AQ105" s="9"/>
      <c r="AR105" s="273"/>
      <c r="AS105" s="39"/>
    </row>
    <row r="106" spans="1:45" ht="12.75" hidden="1">
      <c r="A106" s="164">
        <v>44040</v>
      </c>
      <c r="B106" s="15">
        <f>SUMIFS('Egg Tally'!$G:$G,'Egg Tally'!$C:$C,"M",'Egg Tally'!$A:$A,'Egg Collections'!$A106)</f>
        <v>0</v>
      </c>
      <c r="C106" s="15"/>
      <c r="D106" s="15">
        <f>SUMIFS('Egg Tally'!$G:$G,'Egg Tally'!$C:$C,D$1,'Egg Tally'!$A:$A,'Egg Collections'!$A106)</f>
        <v>0</v>
      </c>
      <c r="E106" s="15">
        <f>SUMIFS('Egg Tally'!$G:$G,'Egg Tally'!$C:$C,E$1,'Egg Tally'!$A:$A,'Egg Collections'!$A106)</f>
        <v>0</v>
      </c>
      <c r="F106" s="15">
        <f>SUMIFS('Egg Tally'!$G:$G,'Egg Tally'!$C:$C,F$1,'Egg Tally'!$A:$A,'Egg Collections'!$A106)</f>
        <v>0</v>
      </c>
      <c r="G106" s="15">
        <f>SUMIFS('Egg Tally'!$G:$G,'Egg Tally'!$C:$C,G$1,'Egg Tally'!$A:$A,'Egg Collections'!$A106)</f>
        <v>0</v>
      </c>
      <c r="H106" s="15">
        <f>SUMIFS('Egg Tally'!$G:$G,'Egg Tally'!$C:$C,H$1,'Egg Tally'!$A:$A,'Egg Collections'!$A106)</f>
        <v>0</v>
      </c>
      <c r="I106" s="2">
        <f t="shared" si="32"/>
        <v>0</v>
      </c>
      <c r="J106" s="17"/>
      <c r="K106" s="10"/>
      <c r="L106" s="10"/>
      <c r="M106" s="10"/>
      <c r="N106" s="10"/>
      <c r="O106" s="10"/>
      <c r="P106" s="10"/>
      <c r="Q106" s="10"/>
      <c r="R106" s="2"/>
      <c r="S106" s="273"/>
      <c r="T106" s="273"/>
      <c r="U106" s="273"/>
      <c r="V106" s="9"/>
      <c r="W106" s="273"/>
      <c r="X106" s="273"/>
      <c r="Y106" s="9"/>
      <c r="Z106" s="273"/>
      <c r="AA106" s="273"/>
      <c r="AB106" s="9"/>
      <c r="AC106" s="273"/>
      <c r="AD106" s="273"/>
      <c r="AE106" s="9"/>
      <c r="AF106" s="273"/>
      <c r="AG106" s="273"/>
      <c r="AH106" s="9"/>
      <c r="AI106" s="273"/>
      <c r="AJ106" s="273"/>
      <c r="AK106" s="9"/>
      <c r="AL106" s="273"/>
      <c r="AM106" s="273"/>
      <c r="AN106" s="9"/>
      <c r="AO106" s="273"/>
      <c r="AP106" s="273"/>
      <c r="AQ106" s="9"/>
      <c r="AR106" s="273"/>
      <c r="AS106" s="39"/>
    </row>
    <row r="107" spans="1:45" ht="12.75">
      <c r="A107" s="164">
        <v>44041</v>
      </c>
      <c r="B107" s="15">
        <f>SUMIFS('Egg Tally'!$G:$G,'Egg Tally'!$C:$C,"M",'Egg Tally'!$A:$A,'Egg Collections'!$A107)</f>
        <v>0</v>
      </c>
      <c r="C107" s="15"/>
      <c r="D107" s="15">
        <f>SUMIFS('Egg Tally'!$G:$G,'Egg Tally'!$C:$C,D$1,'Egg Tally'!$A:$A,'Egg Collections'!$A107)</f>
        <v>0</v>
      </c>
      <c r="E107" s="15">
        <f>SUMIFS('Egg Tally'!$G:$G,'Egg Tally'!$C:$C,E$1,'Egg Tally'!$A:$A,'Egg Collections'!$A107)</f>
        <v>0</v>
      </c>
      <c r="F107" s="15">
        <f>SUMIFS('Egg Tally'!$G:$G,'Egg Tally'!$C:$C,F$1,'Egg Tally'!$A:$A,'Egg Collections'!$A107)</f>
        <v>0</v>
      </c>
      <c r="G107" s="15">
        <f>SUMIFS('Egg Tally'!$G:$G,'Egg Tally'!$C:$C,G$1,'Egg Tally'!$A:$A,'Egg Collections'!$A107)</f>
        <v>0</v>
      </c>
      <c r="H107" s="15">
        <f>SUMIFS('Egg Tally'!$G:$G,'Egg Tally'!$C:$C,H$1,'Egg Tally'!$A:$A,'Egg Collections'!$A107)</f>
        <v>0</v>
      </c>
      <c r="I107" s="2">
        <f t="shared" si="32"/>
        <v>0</v>
      </c>
      <c r="J107" s="17"/>
      <c r="K107" s="10"/>
      <c r="L107" s="10"/>
      <c r="M107" s="10"/>
      <c r="N107" s="10"/>
      <c r="O107" s="10"/>
      <c r="P107" s="10"/>
      <c r="Q107" s="10"/>
      <c r="R107" s="2"/>
      <c r="S107" s="273"/>
      <c r="T107" s="273"/>
      <c r="U107" s="273"/>
      <c r="V107" s="9"/>
      <c r="W107" s="273"/>
      <c r="X107" s="273"/>
      <c r="Y107" s="9"/>
      <c r="Z107" s="273"/>
      <c r="AA107" s="273"/>
      <c r="AB107" s="9">
        <f>D107*30000</f>
        <v>0</v>
      </c>
      <c r="AC107" s="273">
        <v>16547</v>
      </c>
      <c r="AD107" s="273" t="e">
        <f>AC107/AB107%</f>
        <v>#DIV/0!</v>
      </c>
      <c r="AE107" s="9">
        <f>E107*30000</f>
        <v>0</v>
      </c>
      <c r="AF107" s="273">
        <v>46375</v>
      </c>
      <c r="AG107" s="273" t="e">
        <f>AF107/AE107%</f>
        <v>#DIV/0!</v>
      </c>
      <c r="AH107" s="9"/>
      <c r="AI107" s="273"/>
      <c r="AJ107" s="273"/>
      <c r="AK107" s="9"/>
      <c r="AL107" s="273"/>
      <c r="AM107" s="273"/>
      <c r="AN107" s="9"/>
      <c r="AO107" s="273"/>
      <c r="AP107" s="273"/>
      <c r="AQ107" s="9"/>
      <c r="AR107" s="273"/>
      <c r="AS107" s="39"/>
    </row>
    <row r="108" spans="1:45" ht="12.75">
      <c r="A108" s="164">
        <v>44042</v>
      </c>
      <c r="B108" s="15">
        <f>SUMIFS('Egg Tally'!$G:$G,'Egg Tally'!$C:$C,"M",'Egg Tally'!$A:$A,'Egg Collections'!$A108)</f>
        <v>0.15890000000000004</v>
      </c>
      <c r="C108" s="15"/>
      <c r="D108" s="15">
        <f>SUMIFS('Egg Tally'!$G:$G,'Egg Tally'!$C:$C,D$1,'Egg Tally'!$A:$A,'Egg Collections'!$A108)</f>
        <v>0.58510000000000062</v>
      </c>
      <c r="E108" s="15">
        <f>SUMIFS('Egg Tally'!$G:$G,'Egg Tally'!$C:$C,E$1,'Egg Tally'!$A:$A,'Egg Collections'!$A108)</f>
        <v>6.4832999999999998</v>
      </c>
      <c r="F108" s="15">
        <f>SUMIFS('Egg Tally'!$G:$G,'Egg Tally'!$C:$C,F$1,'Egg Tally'!$A:$A,'Egg Collections'!$A108)</f>
        <v>0.16190000000000015</v>
      </c>
      <c r="G108" s="15">
        <f>SUMIFS('Egg Tally'!$G:$G,'Egg Tally'!$C:$C,G$1,'Egg Tally'!$A:$A,'Egg Collections'!$A108)</f>
        <v>7.9600000000000115E-2</v>
      </c>
      <c r="H108" s="15">
        <f>SUMIFS('Egg Tally'!$G:$G,'Egg Tally'!$C:$C,H$1,'Egg Tally'!$A:$A,'Egg Collections'!$A108)</f>
        <v>0</v>
      </c>
      <c r="I108" s="2">
        <f t="shared" si="32"/>
        <v>7.4688000000000008</v>
      </c>
      <c r="J108" s="17"/>
      <c r="K108" s="10"/>
      <c r="L108" s="10"/>
      <c r="M108" s="10"/>
      <c r="N108" s="10">
        <f>E108</f>
        <v>6.4832999999999998</v>
      </c>
      <c r="O108" s="10"/>
      <c r="P108" s="10"/>
      <c r="Q108" s="10"/>
      <c r="R108" s="2"/>
      <c r="S108" s="273"/>
      <c r="T108" s="273"/>
      <c r="U108" s="273"/>
      <c r="V108" s="9"/>
      <c r="W108" s="273"/>
      <c r="X108" s="273"/>
      <c r="Y108" s="9"/>
      <c r="Z108" s="273"/>
      <c r="AA108" s="273"/>
      <c r="AB108" s="9"/>
      <c r="AC108" s="273"/>
      <c r="AD108" s="273"/>
      <c r="AE108" s="9">
        <f>E108*30000</f>
        <v>194499</v>
      </c>
      <c r="AF108" s="273">
        <v>33287</v>
      </c>
      <c r="AG108" s="273">
        <f>AF108/AE108%</f>
        <v>17.114226808364052</v>
      </c>
      <c r="AH108" s="9"/>
      <c r="AI108" s="273"/>
      <c r="AJ108" s="273"/>
      <c r="AK108" s="9"/>
      <c r="AL108" s="273"/>
      <c r="AM108" s="273"/>
      <c r="AN108" s="9"/>
      <c r="AO108" s="273"/>
      <c r="AP108" s="273"/>
      <c r="AQ108" s="9"/>
      <c r="AR108" s="273"/>
      <c r="AS108" s="39"/>
    </row>
    <row r="109" spans="1:45" ht="12.75">
      <c r="A109" s="164">
        <v>44043</v>
      </c>
      <c r="B109" s="15">
        <f>SUMIFS('Egg Tally'!$G:$G,'Egg Tally'!$C:$C,"M",'Egg Tally'!$A:$A,'Egg Collections'!$A109)</f>
        <v>0</v>
      </c>
      <c r="C109" s="15"/>
      <c r="D109" s="15">
        <f>SUMIFS('Egg Tally'!$G:$G,'Egg Tally'!$C:$C,D$1,'Egg Tally'!$A:$A,'Egg Collections'!$A109)</f>
        <v>0</v>
      </c>
      <c r="E109" s="15">
        <f>SUMIFS('Egg Tally'!$G:$G,'Egg Tally'!$C:$C,E$1,'Egg Tally'!$A:$A,'Egg Collections'!$A109)</f>
        <v>0</v>
      </c>
      <c r="F109" s="15">
        <f>SUMIFS('Egg Tally'!$G:$G,'Egg Tally'!$C:$C,F$1,'Egg Tally'!$A:$A,'Egg Collections'!$A109)</f>
        <v>0</v>
      </c>
      <c r="G109" s="15">
        <f>SUMIFS('Egg Tally'!$G:$G,'Egg Tally'!$C:$C,G$1,'Egg Tally'!$A:$A,'Egg Collections'!$A109)</f>
        <v>0</v>
      </c>
      <c r="H109" s="15">
        <f>SUMIFS('Egg Tally'!$G:$G,'Egg Tally'!$C:$C,H$1,'Egg Tally'!$A:$A,'Egg Collections'!$A109)</f>
        <v>0</v>
      </c>
      <c r="I109" s="2">
        <f t="shared" si="32"/>
        <v>0</v>
      </c>
      <c r="J109" s="17"/>
      <c r="K109" s="10"/>
      <c r="L109" s="10"/>
      <c r="M109" s="10"/>
      <c r="N109" s="10"/>
      <c r="O109" s="10"/>
      <c r="P109" s="10"/>
      <c r="Q109" s="10"/>
      <c r="R109" s="2"/>
      <c r="S109" s="273"/>
      <c r="T109" s="273"/>
      <c r="U109" s="273"/>
      <c r="V109" s="9"/>
      <c r="W109" s="273"/>
      <c r="X109" s="273"/>
      <c r="Y109" s="9"/>
      <c r="Z109" s="273"/>
      <c r="AA109" s="273"/>
      <c r="AB109" s="9"/>
      <c r="AC109" s="273"/>
      <c r="AD109" s="273"/>
      <c r="AE109" s="9"/>
      <c r="AF109" s="273"/>
      <c r="AG109" s="273"/>
      <c r="AH109" s="9"/>
      <c r="AI109" s="273"/>
      <c r="AJ109" s="273"/>
      <c r="AK109" s="9"/>
      <c r="AL109" s="273"/>
      <c r="AM109" s="273"/>
      <c r="AN109" s="9"/>
      <c r="AO109" s="273"/>
      <c r="AP109" s="273"/>
      <c r="AQ109" s="9"/>
      <c r="AR109" s="273"/>
      <c r="AS109" s="39"/>
    </row>
    <row r="110" spans="1:45" ht="12.75">
      <c r="A110" s="164">
        <v>44044</v>
      </c>
      <c r="B110" s="15">
        <f>SUMIFS('Egg Tally'!$G:$G,'Egg Tally'!$C:$C,"M",'Egg Tally'!$A:$A,'Egg Collections'!$A110)</f>
        <v>0</v>
      </c>
      <c r="C110" s="15"/>
      <c r="D110" s="15">
        <f>SUMIFS('Egg Tally'!$G:$G,'Egg Tally'!$C:$C,D$1,'Egg Tally'!$A:$A,'Egg Collections'!$A110)</f>
        <v>0</v>
      </c>
      <c r="E110" s="15">
        <f>SUMIFS('Egg Tally'!$G:$G,'Egg Tally'!$C:$C,E$1,'Egg Tally'!$A:$A,'Egg Collections'!$A110)</f>
        <v>0</v>
      </c>
      <c r="F110" s="15">
        <f>SUMIFS('Egg Tally'!$G:$G,'Egg Tally'!$C:$C,F$1,'Egg Tally'!$A:$A,'Egg Collections'!$A110)</f>
        <v>0</v>
      </c>
      <c r="G110" s="15">
        <f>SUMIFS('Egg Tally'!$G:$G,'Egg Tally'!$C:$C,G$1,'Egg Tally'!$A:$A,'Egg Collections'!$A110)</f>
        <v>0</v>
      </c>
      <c r="H110" s="15">
        <f>SUMIFS('Egg Tally'!$G:$G,'Egg Tally'!$C:$C,H$1,'Egg Tally'!$A:$A,'Egg Collections'!$A110)</f>
        <v>0</v>
      </c>
      <c r="I110" s="2">
        <f t="shared" si="32"/>
        <v>0</v>
      </c>
      <c r="J110" s="17"/>
      <c r="K110" s="10"/>
      <c r="L110" s="10"/>
      <c r="M110" s="10"/>
      <c r="N110" s="10"/>
      <c r="O110" s="10"/>
      <c r="P110" s="10"/>
      <c r="Q110" s="10"/>
      <c r="R110" s="2"/>
      <c r="S110" s="273"/>
      <c r="T110" s="273"/>
      <c r="U110" s="273"/>
      <c r="V110" s="9"/>
      <c r="W110" s="273"/>
      <c r="X110" s="273"/>
      <c r="Y110" s="9"/>
      <c r="Z110" s="273"/>
      <c r="AA110" s="273"/>
      <c r="AB110" s="9"/>
      <c r="AC110" s="273"/>
      <c r="AD110" s="273"/>
      <c r="AE110" s="9"/>
      <c r="AF110" s="273"/>
      <c r="AG110" s="273"/>
      <c r="AH110" s="9"/>
      <c r="AI110" s="273"/>
      <c r="AJ110" s="273"/>
      <c r="AK110" s="9"/>
      <c r="AL110" s="273"/>
      <c r="AM110" s="273"/>
      <c r="AN110" s="9"/>
      <c r="AO110" s="273"/>
      <c r="AP110" s="273"/>
      <c r="AQ110" s="9"/>
      <c r="AR110" s="273"/>
      <c r="AS110" s="39"/>
    </row>
    <row r="111" spans="1:45" ht="12.75">
      <c r="A111" s="164">
        <v>44045</v>
      </c>
      <c r="B111" s="15">
        <f>SUMIFS('Egg Tally'!$G:$G,'Egg Tally'!$C:$C,"M",'Egg Tally'!$A:$A,'Egg Collections'!$A111)</f>
        <v>0</v>
      </c>
      <c r="C111" s="15"/>
      <c r="D111" s="15">
        <f>SUMIFS('Egg Tally'!$G:$G,'Egg Tally'!$C:$C,D$1,'Egg Tally'!$A:$A,'Egg Collections'!$A111)</f>
        <v>0</v>
      </c>
      <c r="E111" s="15">
        <f>SUMIFS('Egg Tally'!$G:$G,'Egg Tally'!$C:$C,E$1,'Egg Tally'!$A:$A,'Egg Collections'!$A111)</f>
        <v>0</v>
      </c>
      <c r="F111" s="15">
        <f>SUMIFS('Egg Tally'!$G:$G,'Egg Tally'!$C:$C,F$1,'Egg Tally'!$A:$A,'Egg Collections'!$A111)</f>
        <v>0</v>
      </c>
      <c r="G111" s="15">
        <f>SUMIFS('Egg Tally'!$G:$G,'Egg Tally'!$C:$C,G$1,'Egg Tally'!$A:$A,'Egg Collections'!$A111)</f>
        <v>0</v>
      </c>
      <c r="H111" s="15">
        <f>SUMIFS('Egg Tally'!$G:$G,'Egg Tally'!$C:$C,H$1,'Egg Tally'!$A:$A,'Egg Collections'!$A111)</f>
        <v>0</v>
      </c>
      <c r="I111" s="2">
        <f t="shared" si="32"/>
        <v>0</v>
      </c>
      <c r="J111" s="17"/>
      <c r="K111" s="10"/>
      <c r="L111" s="10"/>
      <c r="M111" s="10"/>
      <c r="N111" s="10"/>
      <c r="O111" s="10"/>
      <c r="P111" s="10"/>
      <c r="Q111" s="10"/>
      <c r="R111" s="2"/>
      <c r="S111" s="273"/>
      <c r="T111" s="273"/>
      <c r="U111" s="273"/>
      <c r="V111" s="9"/>
      <c r="W111" s="273"/>
      <c r="X111" s="273"/>
      <c r="Y111" s="9"/>
      <c r="Z111" s="273"/>
      <c r="AA111" s="273"/>
      <c r="AB111" s="9"/>
      <c r="AC111" s="273"/>
      <c r="AD111" s="273"/>
      <c r="AE111" s="9"/>
      <c r="AF111" s="273"/>
      <c r="AG111" s="273"/>
      <c r="AH111" s="9"/>
      <c r="AI111" s="273"/>
      <c r="AJ111" s="273"/>
      <c r="AK111" s="9"/>
      <c r="AL111" s="273"/>
      <c r="AM111" s="273"/>
      <c r="AN111" s="9"/>
      <c r="AO111" s="273"/>
      <c r="AP111" s="273"/>
      <c r="AQ111" s="9"/>
      <c r="AR111" s="273"/>
      <c r="AS111" s="39"/>
    </row>
    <row r="112" spans="1:45" ht="12.75">
      <c r="A112" s="164">
        <v>44046</v>
      </c>
      <c r="B112" s="15">
        <f>SUMIFS('Egg Tally'!$G:$G,'Egg Tally'!$C:$C,"M",'Egg Tally'!$A:$A,'Egg Collections'!$A112)</f>
        <v>0</v>
      </c>
      <c r="C112" s="15"/>
      <c r="D112" s="15">
        <f>SUMIFS('Egg Tally'!$G:$G,'Egg Tally'!$C:$C,D$1,'Egg Tally'!$A:$A,'Egg Collections'!$A112)</f>
        <v>0</v>
      </c>
      <c r="E112" s="15">
        <f>SUMIFS('Egg Tally'!$G:$G,'Egg Tally'!$C:$C,E$1,'Egg Tally'!$A:$A,'Egg Collections'!$A112)</f>
        <v>4.6382999999999992</v>
      </c>
      <c r="F112" s="15">
        <f>SUMIFS('Egg Tally'!$G:$G,'Egg Tally'!$C:$C,F$1,'Egg Tally'!$A:$A,'Egg Collections'!$A112)</f>
        <v>0</v>
      </c>
      <c r="G112" s="15">
        <f>SUMIFS('Egg Tally'!$G:$G,'Egg Tally'!$C:$C,G$1,'Egg Tally'!$A:$A,'Egg Collections'!$A112)</f>
        <v>0</v>
      </c>
      <c r="H112" s="15">
        <f>SUMIFS('Egg Tally'!$G:$G,'Egg Tally'!$C:$C,H$1,'Egg Tally'!$A:$A,'Egg Collections'!$A112)</f>
        <v>0</v>
      </c>
      <c r="I112" s="2">
        <f t="shared" si="32"/>
        <v>4.6382999999999992</v>
      </c>
      <c r="J112" s="17"/>
      <c r="K112" s="10"/>
      <c r="L112" s="10"/>
      <c r="M112" s="10"/>
      <c r="N112" s="10"/>
      <c r="O112" s="10"/>
      <c r="P112" s="10"/>
      <c r="Q112" s="10"/>
      <c r="R112" s="2"/>
      <c r="S112" s="273"/>
      <c r="T112" s="273"/>
      <c r="U112" s="273"/>
      <c r="V112" s="9"/>
      <c r="W112" s="273"/>
      <c r="X112" s="273"/>
      <c r="Y112" s="9"/>
      <c r="Z112" s="273"/>
      <c r="AA112" s="273"/>
      <c r="AB112" s="9"/>
      <c r="AC112" s="273"/>
      <c r="AD112" s="273"/>
      <c r="AE112" s="9"/>
      <c r="AF112" s="273"/>
      <c r="AG112" s="273"/>
      <c r="AH112" s="9"/>
      <c r="AI112" s="273"/>
      <c r="AJ112" s="273"/>
      <c r="AK112" s="9"/>
      <c r="AL112" s="273"/>
      <c r="AM112" s="273"/>
      <c r="AN112" s="9"/>
      <c r="AO112" s="273"/>
      <c r="AP112" s="273"/>
      <c r="AQ112" s="9"/>
      <c r="AR112" s="273"/>
      <c r="AS112" s="39"/>
    </row>
    <row r="113" spans="1:45" ht="12.75">
      <c r="A113" s="164">
        <v>44047</v>
      </c>
      <c r="B113" s="15">
        <f>SUMIFS('Egg Tally'!$G:$G,'Egg Tally'!$C:$C,"M",'Egg Tally'!$A:$A,'Egg Collections'!$A113)</f>
        <v>0</v>
      </c>
      <c r="C113" s="15"/>
      <c r="D113" s="15">
        <f>SUMIFS('Egg Tally'!$G:$G,'Egg Tally'!$C:$C,D$1,'Egg Tally'!$A:$A,'Egg Collections'!$A113)</f>
        <v>0</v>
      </c>
      <c r="E113" s="15">
        <f>SUMIFS('Egg Tally'!$G:$G,'Egg Tally'!$C:$C,E$1,'Egg Tally'!$A:$A,'Egg Collections'!$A113)</f>
        <v>0</v>
      </c>
      <c r="F113" s="15">
        <f>SUMIFS('Egg Tally'!$G:$G,'Egg Tally'!$C:$C,F$1,'Egg Tally'!$A:$A,'Egg Collections'!$A113)</f>
        <v>0</v>
      </c>
      <c r="G113" s="15">
        <f>SUMIFS('Egg Tally'!$G:$G,'Egg Tally'!$C:$C,G$1,'Egg Tally'!$A:$A,'Egg Collections'!$A113)</f>
        <v>0</v>
      </c>
      <c r="H113" s="15">
        <f>SUMIFS('Egg Tally'!$G:$G,'Egg Tally'!$C:$C,H$1,'Egg Tally'!$A:$A,'Egg Collections'!$A113)</f>
        <v>0</v>
      </c>
      <c r="I113" s="2">
        <f t="shared" si="32"/>
        <v>0</v>
      </c>
      <c r="J113" s="17"/>
      <c r="K113" s="10"/>
      <c r="L113" s="10"/>
      <c r="M113" s="10"/>
      <c r="N113" s="10"/>
      <c r="O113" s="10"/>
      <c r="P113" s="10"/>
      <c r="Q113" s="10"/>
      <c r="R113" s="2"/>
      <c r="S113" s="273"/>
      <c r="T113" s="273"/>
      <c r="U113" s="273"/>
      <c r="V113" s="9"/>
      <c r="W113" s="273"/>
      <c r="X113" s="273"/>
      <c r="Y113" s="9"/>
      <c r="Z113" s="273"/>
      <c r="AA113" s="273"/>
      <c r="AB113" s="9"/>
      <c r="AC113" s="273"/>
      <c r="AD113" s="273"/>
      <c r="AE113" s="9"/>
      <c r="AF113" s="273"/>
      <c r="AG113" s="273"/>
      <c r="AH113" s="9"/>
      <c r="AI113" s="273"/>
      <c r="AJ113" s="273"/>
      <c r="AK113" s="9"/>
      <c r="AL113" s="273"/>
      <c r="AM113" s="273"/>
      <c r="AN113" s="9"/>
      <c r="AO113" s="273"/>
      <c r="AP113" s="273"/>
      <c r="AQ113" s="9"/>
      <c r="AR113" s="273"/>
      <c r="AS113" s="39"/>
    </row>
    <row r="114" spans="1:45" ht="12.75">
      <c r="A114" s="164">
        <v>44048</v>
      </c>
      <c r="B114" s="15">
        <f>SUMIFS('Egg Tally'!$G:$G,'Egg Tally'!$C:$C,"M",'Egg Tally'!$A:$A,'Egg Collections'!$A114)</f>
        <v>0</v>
      </c>
      <c r="C114" s="15"/>
      <c r="D114" s="15">
        <f>SUMIFS('Egg Tally'!$G:$G,'Egg Tally'!$C:$C,D$1,'Egg Tally'!$A:$A,'Egg Collections'!$A114)</f>
        <v>0</v>
      </c>
      <c r="E114" s="15">
        <f>SUMIFS('Egg Tally'!$G:$G,'Egg Tally'!$C:$C,E$1,'Egg Tally'!$A:$A,'Egg Collections'!$A114)</f>
        <v>6.6745999999999999</v>
      </c>
      <c r="F114" s="15">
        <f>SUMIFS('Egg Tally'!$G:$G,'Egg Tally'!$C:$C,F$1,'Egg Tally'!$A:$A,'Egg Collections'!$A114)</f>
        <v>2.048</v>
      </c>
      <c r="G114" s="15">
        <f>SUMIFS('Egg Tally'!$G:$G,'Egg Tally'!$C:$C,G$1,'Egg Tally'!$A:$A,'Egg Collections'!$A114)</f>
        <v>0.93480000000000096</v>
      </c>
      <c r="H114" s="15">
        <f>SUMIFS('Egg Tally'!$G:$G,'Egg Tally'!$C:$C,H$1,'Egg Tally'!$A:$A,'Egg Collections'!$A114)</f>
        <v>0</v>
      </c>
      <c r="I114" s="2">
        <f t="shared" si="32"/>
        <v>9.6574000000000009</v>
      </c>
      <c r="J114" s="17"/>
      <c r="K114" s="10"/>
      <c r="L114" s="10"/>
      <c r="M114" s="10"/>
      <c r="N114" s="10"/>
      <c r="O114" s="10"/>
      <c r="P114" s="10"/>
      <c r="Q114" s="10"/>
      <c r="R114" s="2"/>
      <c r="S114" s="273"/>
      <c r="T114" s="273"/>
      <c r="U114" s="273"/>
      <c r="V114" s="9"/>
      <c r="W114" s="273"/>
      <c r="X114" s="273"/>
      <c r="Y114" s="9"/>
      <c r="Z114" s="273"/>
      <c r="AA114" s="273"/>
      <c r="AB114" s="9">
        <f>D114/$U$1</f>
        <v>0</v>
      </c>
      <c r="AC114" s="273"/>
      <c r="AD114" s="273" t="e">
        <f>AC114/AB114%</f>
        <v>#DIV/0!</v>
      </c>
      <c r="AE114" s="9">
        <f>E114/$U$1</f>
        <v>247207.40740740742</v>
      </c>
      <c r="AF114" s="273">
        <v>38665</v>
      </c>
      <c r="AG114" s="273">
        <f>AF114/AE114%</f>
        <v>15.640712552063043</v>
      </c>
      <c r="AH114" s="9">
        <f>F114/$U$1</f>
        <v>75851.851851851854</v>
      </c>
      <c r="AI114" s="273">
        <v>26510</v>
      </c>
      <c r="AJ114" s="273">
        <f>AI114/AH114%</f>
        <v>34.94970703125</v>
      </c>
      <c r="AK114" s="9">
        <f>G114/$U$1</f>
        <v>34622.222222222263</v>
      </c>
      <c r="AL114" s="273">
        <v>28584</v>
      </c>
      <c r="AM114" s="273">
        <v>100</v>
      </c>
      <c r="AN114" s="9">
        <f>H114/$U$1</f>
        <v>0</v>
      </c>
      <c r="AO114" s="273"/>
      <c r="AP114" s="273" t="e">
        <f>AO114/AN114%</f>
        <v>#DIV/0!</v>
      </c>
      <c r="AQ114" s="9"/>
      <c r="AR114" s="273"/>
      <c r="AS114" s="39"/>
    </row>
    <row r="115" spans="1:45" ht="12.75">
      <c r="A115" s="164">
        <v>44049</v>
      </c>
      <c r="B115" s="273">
        <f>SUMIFS('Egg Tally'!$G:$G,'Egg Tally'!$C:$C,"M",'Egg Tally'!$A:$A,'Egg Collections'!$A115)</f>
        <v>0</v>
      </c>
      <c r="C115" s="273"/>
      <c r="D115" s="273">
        <f>SUMIFS('Egg Tally'!$G:$G,'Egg Tally'!$C:$C,D$1,'Egg Tally'!$A:$A,'Egg Collections'!$A115)</f>
        <v>0</v>
      </c>
      <c r="E115" s="273">
        <f>SUMIFS('Egg Tally'!$G:$G,'Egg Tally'!$C:$C,E$1,'Egg Tally'!$A:$A,'Egg Collections'!$A115)</f>
        <v>0</v>
      </c>
      <c r="F115" s="273">
        <f>SUMIFS('Egg Tally'!$G:$G,'Egg Tally'!$C:$C,F$1,'Egg Tally'!$A:$A,'Egg Collections'!$A115)</f>
        <v>0</v>
      </c>
      <c r="G115" s="273">
        <f>SUMIFS('Egg Tally'!$G:$G,'Egg Tally'!$C:$C,G$1,'Egg Tally'!$A:$A,'Egg Collections'!$A115)</f>
        <v>0</v>
      </c>
      <c r="H115" s="273">
        <f>SUMIFS('Egg Tally'!$G:$G,'Egg Tally'!$C:$C,H$1,'Egg Tally'!$A:$A,'Egg Collections'!$A115)</f>
        <v>0</v>
      </c>
      <c r="I115" s="2">
        <f t="shared" ref="I115:I123" si="55">SUM(B115:H115)</f>
        <v>0</v>
      </c>
      <c r="J115" s="17"/>
      <c r="K115" s="10"/>
      <c r="L115" s="10"/>
      <c r="M115" s="10"/>
      <c r="N115" s="10"/>
      <c r="O115" s="10"/>
      <c r="P115" s="10"/>
      <c r="Q115" s="10"/>
      <c r="R115" s="2"/>
      <c r="S115" s="273"/>
      <c r="T115" s="273"/>
      <c r="U115" s="273"/>
      <c r="V115" s="9"/>
      <c r="W115" s="273"/>
      <c r="X115" s="273"/>
      <c r="Y115" s="9"/>
      <c r="Z115" s="273"/>
      <c r="AA115" s="273"/>
      <c r="AB115" s="9">
        <f t="shared" ref="AB115:AB178" si="56">D115/$U$1</f>
        <v>0</v>
      </c>
      <c r="AC115" s="273"/>
      <c r="AD115" s="273" t="e">
        <f t="shared" ref="AD115:AD178" si="57">AC115/AB115%</f>
        <v>#DIV/0!</v>
      </c>
      <c r="AE115" s="9">
        <f t="shared" ref="AE115:AE178" si="58">E115/$U$1</f>
        <v>0</v>
      </c>
      <c r="AF115" s="273"/>
      <c r="AG115" s="273"/>
      <c r="AH115" s="9">
        <f t="shared" ref="AH115:AH178" si="59">F115/$U$1</f>
        <v>0</v>
      </c>
      <c r="AI115" s="273"/>
      <c r="AJ115" s="273"/>
      <c r="AK115" s="9">
        <f t="shared" ref="AK115:AK178" si="60">G115/$U$1</f>
        <v>0</v>
      </c>
      <c r="AL115" s="273"/>
      <c r="AM115" s="273"/>
      <c r="AN115" s="9">
        <f t="shared" ref="AN115:AN178" si="61">H115/$U$1</f>
        <v>0</v>
      </c>
      <c r="AO115" s="273"/>
      <c r="AP115" s="273" t="e">
        <f t="shared" ref="AP115:AP178" si="62">AO115/AN115%</f>
        <v>#DIV/0!</v>
      </c>
      <c r="AQ115" s="9"/>
      <c r="AR115" s="273"/>
      <c r="AS115" s="39"/>
    </row>
    <row r="116" spans="1:45" ht="12.75">
      <c r="A116" s="164">
        <v>44050</v>
      </c>
      <c r="B116" s="273">
        <f>SUMIFS('Egg Tally'!$G:$G,'Egg Tally'!$C:$C,"M",'Egg Tally'!$A:$A,'Egg Collections'!$A116)</f>
        <v>0</v>
      </c>
      <c r="C116" s="273"/>
      <c r="D116" s="273">
        <f>SUMIFS('Egg Tally'!$G:$G,'Egg Tally'!$C:$C,D$1,'Egg Tally'!$A:$A,'Egg Collections'!$A116)</f>
        <v>0</v>
      </c>
      <c r="E116" s="273">
        <f>SUMIFS('Egg Tally'!$G:$G,'Egg Tally'!$C:$C,E$1,'Egg Tally'!$A:$A,'Egg Collections'!$A116)</f>
        <v>3.4995000000000012</v>
      </c>
      <c r="F116" s="273">
        <f>SUMIFS('Egg Tally'!$G:$G,'Egg Tally'!$C:$C,F$1,'Egg Tally'!$A:$A,'Egg Collections'!$A116)</f>
        <v>2.3200000000000003</v>
      </c>
      <c r="G116" s="273">
        <f>SUMIFS('Egg Tally'!$G:$G,'Egg Tally'!$C:$C,G$1,'Egg Tally'!$A:$A,'Egg Collections'!$A116)</f>
        <v>1.3394999999999992</v>
      </c>
      <c r="H116" s="273">
        <f>SUMIFS('Egg Tally'!$G:$G,'Egg Tally'!$C:$C,H$1,'Egg Tally'!$A:$A,'Egg Collections'!$A116)</f>
        <v>0</v>
      </c>
      <c r="I116" s="2">
        <f t="shared" si="55"/>
        <v>7.1590000000000007</v>
      </c>
      <c r="J116" s="17"/>
      <c r="K116" s="10"/>
      <c r="L116" s="10"/>
      <c r="M116" s="10"/>
      <c r="N116" s="10"/>
      <c r="O116" s="10"/>
      <c r="P116" s="10"/>
      <c r="Q116" s="10"/>
      <c r="R116" s="2"/>
      <c r="S116" s="273"/>
      <c r="T116" s="273"/>
      <c r="U116" s="273"/>
      <c r="V116" s="9"/>
      <c r="W116" s="273"/>
      <c r="X116" s="273"/>
      <c r="Y116" s="9"/>
      <c r="Z116" s="273"/>
      <c r="AA116" s="273"/>
      <c r="AB116" s="9">
        <f t="shared" si="56"/>
        <v>0</v>
      </c>
      <c r="AC116" s="273"/>
      <c r="AD116" s="273" t="e">
        <f t="shared" si="57"/>
        <v>#DIV/0!</v>
      </c>
      <c r="AE116" s="9">
        <f t="shared" si="58"/>
        <v>129611.11111111115</v>
      </c>
      <c r="AF116" s="273">
        <v>47503</v>
      </c>
      <c r="AG116" s="273">
        <f t="shared" ref="AG116:AG179" si="63">AF116/AE116%</f>
        <v>36.650407201028706</v>
      </c>
      <c r="AH116" s="9">
        <f t="shared" si="59"/>
        <v>85925.925925925942</v>
      </c>
      <c r="AI116" s="273">
        <v>45558</v>
      </c>
      <c r="AJ116" s="273">
        <f>AI116/AH116%</f>
        <v>53.020086206896536</v>
      </c>
      <c r="AK116" s="9">
        <f t="shared" si="60"/>
        <v>49611.111111111088</v>
      </c>
      <c r="AL116" s="273">
        <v>29956</v>
      </c>
      <c r="AM116" s="273">
        <f>AL116/AK116%</f>
        <v>60.381634938409888</v>
      </c>
      <c r="AN116" s="9">
        <f t="shared" si="61"/>
        <v>0</v>
      </c>
      <c r="AO116" s="273"/>
      <c r="AP116" s="273" t="e">
        <f t="shared" si="62"/>
        <v>#DIV/0!</v>
      </c>
      <c r="AQ116" s="9"/>
      <c r="AR116" s="273"/>
      <c r="AS116" s="39"/>
    </row>
    <row r="117" spans="1:45" ht="12.75">
      <c r="A117" s="164">
        <v>44051</v>
      </c>
      <c r="B117" s="273">
        <f>SUMIFS('Egg Tally'!$G:$G,'Egg Tally'!$C:$C,"M",'Egg Tally'!$A:$A,'Egg Collections'!$A117)</f>
        <v>0</v>
      </c>
      <c r="C117" s="273"/>
      <c r="D117" s="273">
        <f>SUMIFS('Egg Tally'!$G:$G,'Egg Tally'!$C:$C,D$1,'Egg Tally'!$A:$A,'Egg Collections'!$A117)</f>
        <v>0</v>
      </c>
      <c r="E117" s="273">
        <f>SUMIFS('Egg Tally'!$G:$G,'Egg Tally'!$C:$C,E$1,'Egg Tally'!$A:$A,'Egg Collections'!$A117)</f>
        <v>0</v>
      </c>
      <c r="F117" s="273">
        <f>SUMIFS('Egg Tally'!$G:$G,'Egg Tally'!$C:$C,F$1,'Egg Tally'!$A:$A,'Egg Collections'!$A117)</f>
        <v>0</v>
      </c>
      <c r="G117" s="273">
        <f>SUMIFS('Egg Tally'!$G:$G,'Egg Tally'!$C:$C,G$1,'Egg Tally'!$A:$A,'Egg Collections'!$A117)</f>
        <v>0</v>
      </c>
      <c r="H117" s="273">
        <f>SUMIFS('Egg Tally'!$G:$G,'Egg Tally'!$C:$C,H$1,'Egg Tally'!$A:$A,'Egg Collections'!$A117)</f>
        <v>0</v>
      </c>
      <c r="I117" s="2">
        <f t="shared" si="55"/>
        <v>0</v>
      </c>
      <c r="J117" s="17"/>
      <c r="K117" s="10"/>
      <c r="L117" s="10"/>
      <c r="M117" s="10"/>
      <c r="N117" s="10"/>
      <c r="O117" s="10"/>
      <c r="P117" s="10"/>
      <c r="Q117" s="10"/>
      <c r="R117" s="2"/>
      <c r="S117" s="273"/>
      <c r="T117" s="273"/>
      <c r="U117" s="273"/>
      <c r="V117" s="9"/>
      <c r="W117" s="273"/>
      <c r="X117" s="273"/>
      <c r="Y117" s="9"/>
      <c r="Z117" s="273"/>
      <c r="AA117" s="273"/>
      <c r="AB117" s="9">
        <f t="shared" si="56"/>
        <v>0</v>
      </c>
      <c r="AC117" s="273"/>
      <c r="AD117" s="273" t="e">
        <f t="shared" si="57"/>
        <v>#DIV/0!</v>
      </c>
      <c r="AE117" s="9">
        <f t="shared" si="58"/>
        <v>0</v>
      </c>
      <c r="AF117" s="273"/>
      <c r="AG117" s="273"/>
      <c r="AH117" s="9">
        <f t="shared" si="59"/>
        <v>0</v>
      </c>
      <c r="AI117" s="273"/>
      <c r="AJ117" s="273"/>
      <c r="AK117" s="9">
        <f t="shared" si="60"/>
        <v>0</v>
      </c>
      <c r="AL117" s="273"/>
      <c r="AM117" s="273"/>
      <c r="AN117" s="9">
        <f t="shared" si="61"/>
        <v>0</v>
      </c>
      <c r="AO117" s="273"/>
      <c r="AP117" s="273" t="e">
        <f t="shared" si="62"/>
        <v>#DIV/0!</v>
      </c>
      <c r="AQ117" s="9"/>
      <c r="AR117" s="273"/>
      <c r="AS117" s="39"/>
    </row>
    <row r="118" spans="1:45" ht="12.75">
      <c r="A118" s="164">
        <v>44052</v>
      </c>
      <c r="B118" s="273">
        <f>SUMIFS('Egg Tally'!$G:$G,'Egg Tally'!$C:$C,"M",'Egg Tally'!$A:$A,'Egg Collections'!$A118)</f>
        <v>0</v>
      </c>
      <c r="C118" s="273"/>
      <c r="D118" s="273">
        <f>SUMIFS('Egg Tally'!$G:$G,'Egg Tally'!$C:$C,D$1,'Egg Tally'!$A:$A,'Egg Collections'!$A118)</f>
        <v>0</v>
      </c>
      <c r="E118" s="273">
        <f>SUMIFS('Egg Tally'!$G:$G,'Egg Tally'!$C:$C,E$1,'Egg Tally'!$A:$A,'Egg Collections'!$A118)</f>
        <v>0</v>
      </c>
      <c r="F118" s="273">
        <f>SUMIFS('Egg Tally'!$G:$G,'Egg Tally'!$C:$C,F$1,'Egg Tally'!$A:$A,'Egg Collections'!$A118)</f>
        <v>0</v>
      </c>
      <c r="G118" s="273">
        <f>SUMIFS('Egg Tally'!$G:$G,'Egg Tally'!$C:$C,G$1,'Egg Tally'!$A:$A,'Egg Collections'!$A118)</f>
        <v>0</v>
      </c>
      <c r="H118" s="273">
        <f>SUMIFS('Egg Tally'!$G:$G,'Egg Tally'!$C:$C,H$1,'Egg Tally'!$A:$A,'Egg Collections'!$A118)</f>
        <v>0</v>
      </c>
      <c r="I118" s="2">
        <f t="shared" si="55"/>
        <v>0</v>
      </c>
      <c r="J118" s="17"/>
      <c r="K118" s="10"/>
      <c r="L118" s="10"/>
      <c r="M118" s="10"/>
      <c r="N118" s="10"/>
      <c r="O118" s="10"/>
      <c r="P118" s="10"/>
      <c r="Q118" s="10"/>
      <c r="R118" s="2"/>
      <c r="S118" s="273"/>
      <c r="T118" s="273"/>
      <c r="U118" s="273"/>
      <c r="V118" s="9"/>
      <c r="W118" s="273"/>
      <c r="X118" s="273"/>
      <c r="Y118" s="9"/>
      <c r="Z118" s="273"/>
      <c r="AA118" s="273"/>
      <c r="AB118" s="9">
        <f t="shared" si="56"/>
        <v>0</v>
      </c>
      <c r="AC118" s="273"/>
      <c r="AD118" s="273" t="e">
        <f t="shared" si="57"/>
        <v>#DIV/0!</v>
      </c>
      <c r="AE118" s="9">
        <f t="shared" si="58"/>
        <v>0</v>
      </c>
      <c r="AF118" s="273"/>
      <c r="AG118" s="273"/>
      <c r="AH118" s="9">
        <f t="shared" si="59"/>
        <v>0</v>
      </c>
      <c r="AI118" s="273"/>
      <c r="AJ118" s="273"/>
      <c r="AK118" s="9">
        <f t="shared" si="60"/>
        <v>0</v>
      </c>
      <c r="AL118" s="273"/>
      <c r="AM118" s="273"/>
      <c r="AN118" s="9">
        <f t="shared" si="61"/>
        <v>0</v>
      </c>
      <c r="AO118" s="273"/>
      <c r="AP118" s="273" t="e">
        <f t="shared" si="62"/>
        <v>#DIV/0!</v>
      </c>
      <c r="AQ118" s="9"/>
      <c r="AR118" s="273"/>
      <c r="AS118" s="39"/>
    </row>
    <row r="119" spans="1:45" ht="12.75">
      <c r="A119" s="164">
        <v>44053</v>
      </c>
      <c r="B119" s="273">
        <f>SUMIFS('Egg Tally'!$G:$G,'Egg Tally'!$C:$C,"M",'Egg Tally'!$A:$A,'Egg Collections'!$A119)</f>
        <v>0</v>
      </c>
      <c r="C119" s="273"/>
      <c r="D119" s="273">
        <f>SUMIFS('Egg Tally'!$G:$G,'Egg Tally'!$C:$C,D$1,'Egg Tally'!$A:$A,'Egg Collections'!$A119)</f>
        <v>0</v>
      </c>
      <c r="E119" s="273">
        <f>SUMIFS('Egg Tally'!$G:$G,'Egg Tally'!$C:$C,E$1,'Egg Tally'!$A:$A,'Egg Collections'!$A119)</f>
        <v>0</v>
      </c>
      <c r="F119" s="273">
        <f>SUMIFS('Egg Tally'!$G:$G,'Egg Tally'!$C:$C,F$1,'Egg Tally'!$A:$A,'Egg Collections'!$A119)</f>
        <v>0</v>
      </c>
      <c r="G119" s="273">
        <f>SUMIFS('Egg Tally'!$G:$G,'Egg Tally'!$C:$C,G$1,'Egg Tally'!$A:$A,'Egg Collections'!$A119)</f>
        <v>0</v>
      </c>
      <c r="H119" s="273">
        <f>SUMIFS('Egg Tally'!$G:$G,'Egg Tally'!$C:$C,H$1,'Egg Tally'!$A:$A,'Egg Collections'!$A119)</f>
        <v>0</v>
      </c>
      <c r="I119" s="2">
        <f t="shared" si="55"/>
        <v>0</v>
      </c>
      <c r="J119" s="17"/>
      <c r="K119" s="10"/>
      <c r="L119" s="10"/>
      <c r="M119" s="10"/>
      <c r="N119" s="10"/>
      <c r="O119" s="10"/>
      <c r="P119" s="10"/>
      <c r="Q119" s="10"/>
      <c r="R119" s="2"/>
      <c r="S119" s="273"/>
      <c r="T119" s="273"/>
      <c r="U119" s="273"/>
      <c r="V119" s="9"/>
      <c r="W119" s="273"/>
      <c r="X119" s="273"/>
      <c r="Y119" s="9"/>
      <c r="Z119" s="273"/>
      <c r="AA119" s="273"/>
      <c r="AB119" s="9">
        <f t="shared" si="56"/>
        <v>0</v>
      </c>
      <c r="AC119" s="273"/>
      <c r="AD119" s="273" t="e">
        <f t="shared" si="57"/>
        <v>#DIV/0!</v>
      </c>
      <c r="AE119" s="9">
        <f t="shared" si="58"/>
        <v>0</v>
      </c>
      <c r="AF119" s="273"/>
      <c r="AG119" s="273"/>
      <c r="AH119" s="9">
        <f t="shared" si="59"/>
        <v>0</v>
      </c>
      <c r="AI119" s="273"/>
      <c r="AJ119" s="273"/>
      <c r="AK119" s="9">
        <f t="shared" si="60"/>
        <v>0</v>
      </c>
      <c r="AL119" s="273"/>
      <c r="AM119" s="273"/>
      <c r="AN119" s="9">
        <f t="shared" si="61"/>
        <v>0</v>
      </c>
      <c r="AO119" s="273"/>
      <c r="AP119" s="273" t="e">
        <f t="shared" si="62"/>
        <v>#DIV/0!</v>
      </c>
      <c r="AQ119" s="9"/>
      <c r="AR119" s="273"/>
      <c r="AS119" s="39"/>
    </row>
    <row r="120" spans="1:45" ht="12.75">
      <c r="A120" s="164">
        <v>44054</v>
      </c>
      <c r="B120" s="273">
        <f>SUMIFS('Egg Tally'!$G:$G,'Egg Tally'!$C:$C,"M",'Egg Tally'!$A:$A,'Egg Collections'!$A120)</f>
        <v>0.2372999999999994</v>
      </c>
      <c r="C120" s="273"/>
      <c r="D120" s="273">
        <f>SUMIFS('Egg Tally'!$G:$G,'Egg Tally'!$C:$C,D$1,'Egg Tally'!$A:$A,'Egg Collections'!$A120)</f>
        <v>0</v>
      </c>
      <c r="E120" s="273">
        <f>SUMIFS('Egg Tally'!$G:$G,'Egg Tally'!$C:$C,E$1,'Egg Tally'!$A:$A,'Egg Collections'!$A120)</f>
        <v>0.80920000000000059</v>
      </c>
      <c r="F120" s="273">
        <f>SUMIFS('Egg Tally'!$G:$G,'Egg Tally'!$C:$C,F$1,'Egg Tally'!$A:$A,'Egg Collections'!$A120)</f>
        <v>0</v>
      </c>
      <c r="G120" s="273">
        <f>SUMIFS('Egg Tally'!$G:$G,'Egg Tally'!$C:$C,G$1,'Egg Tally'!$A:$A,'Egg Collections'!$A120)</f>
        <v>0</v>
      </c>
      <c r="H120" s="273">
        <f>SUMIFS('Egg Tally'!$G:$G,'Egg Tally'!$C:$C,H$1,'Egg Tally'!$A:$A,'Egg Collections'!$A120)</f>
        <v>0</v>
      </c>
      <c r="I120" s="2">
        <f t="shared" si="55"/>
        <v>1.0465</v>
      </c>
      <c r="J120" s="17"/>
      <c r="K120" s="10"/>
      <c r="L120" s="10"/>
      <c r="M120" s="10"/>
      <c r="N120" s="10"/>
      <c r="O120" s="10"/>
      <c r="P120" s="10"/>
      <c r="Q120" s="10"/>
      <c r="R120" s="2"/>
      <c r="S120" s="273"/>
      <c r="T120" s="273"/>
      <c r="U120" s="273"/>
      <c r="V120" s="9"/>
      <c r="W120" s="273"/>
      <c r="X120" s="273"/>
      <c r="Y120" s="9"/>
      <c r="Z120" s="273"/>
      <c r="AA120" s="273"/>
      <c r="AB120" s="9">
        <f t="shared" si="56"/>
        <v>0</v>
      </c>
      <c r="AC120" s="273"/>
      <c r="AD120" s="273" t="e">
        <f t="shared" si="57"/>
        <v>#DIV/0!</v>
      </c>
      <c r="AE120" s="9">
        <f t="shared" si="58"/>
        <v>29970.370370370394</v>
      </c>
      <c r="AF120" s="273">
        <v>12913</v>
      </c>
      <c r="AG120" s="273">
        <f t="shared" si="63"/>
        <v>43.085887296094874</v>
      </c>
      <c r="AH120" s="9">
        <f t="shared" si="59"/>
        <v>0</v>
      </c>
      <c r="AI120" s="273"/>
      <c r="AJ120" s="273"/>
      <c r="AK120" s="9">
        <f t="shared" si="60"/>
        <v>0</v>
      </c>
      <c r="AL120" s="273"/>
      <c r="AM120" s="273"/>
      <c r="AN120" s="9">
        <f t="shared" si="61"/>
        <v>0</v>
      </c>
      <c r="AO120" s="273"/>
      <c r="AP120" s="273" t="e">
        <f t="shared" si="62"/>
        <v>#DIV/0!</v>
      </c>
      <c r="AQ120" s="9"/>
      <c r="AR120" s="273"/>
      <c r="AS120" s="39"/>
    </row>
    <row r="121" spans="1:45" ht="12.75">
      <c r="A121" s="164">
        <v>44055</v>
      </c>
      <c r="B121" s="273">
        <f>SUMIFS('Egg Tally'!$G:$G,'Egg Tally'!$C:$C,"M",'Egg Tally'!$A:$A,'Egg Collections'!$A121)</f>
        <v>0</v>
      </c>
      <c r="C121" s="273"/>
      <c r="D121" s="273">
        <f>SUMIFS('Egg Tally'!$G:$G,'Egg Tally'!$C:$C,D$1,'Egg Tally'!$A:$A,'Egg Collections'!$A121)</f>
        <v>0</v>
      </c>
      <c r="E121" s="273">
        <f>SUMIFS('Egg Tally'!$G:$G,'Egg Tally'!$C:$C,E$1,'Egg Tally'!$A:$A,'Egg Collections'!$A121)</f>
        <v>0.76250000000000284</v>
      </c>
      <c r="F121" s="273">
        <f>SUMIFS('Egg Tally'!$G:$G,'Egg Tally'!$C:$C,F$1,'Egg Tally'!$A:$A,'Egg Collections'!$A121)</f>
        <v>0.84379999999999988</v>
      </c>
      <c r="G121" s="273">
        <f>SUMIFS('Egg Tally'!$G:$G,'Egg Tally'!$C:$C,G$1,'Egg Tally'!$A:$A,'Egg Collections'!$A121)</f>
        <v>0</v>
      </c>
      <c r="H121" s="273">
        <f>SUMIFS('Egg Tally'!$G:$G,'Egg Tally'!$C:$C,H$1,'Egg Tally'!$A:$A,'Egg Collections'!$A121)</f>
        <v>0</v>
      </c>
      <c r="I121" s="2">
        <f t="shared" si="55"/>
        <v>1.6063000000000027</v>
      </c>
      <c r="J121" s="17"/>
      <c r="K121" s="10"/>
      <c r="L121" s="10"/>
      <c r="M121" s="10"/>
      <c r="N121" s="10"/>
      <c r="O121" s="10"/>
      <c r="P121" s="10"/>
      <c r="Q121" s="10"/>
      <c r="R121" s="2"/>
      <c r="S121" s="273"/>
      <c r="T121" s="273"/>
      <c r="U121" s="273"/>
      <c r="V121" s="9"/>
      <c r="W121" s="273"/>
      <c r="X121" s="273"/>
      <c r="Y121" s="9"/>
      <c r="Z121" s="273"/>
      <c r="AA121" s="273"/>
      <c r="AB121" s="9">
        <f t="shared" si="56"/>
        <v>0</v>
      </c>
      <c r="AC121" s="273"/>
      <c r="AD121" s="273" t="e">
        <f t="shared" si="57"/>
        <v>#DIV/0!</v>
      </c>
      <c r="AE121" s="9">
        <f t="shared" si="58"/>
        <v>28240.740740740846</v>
      </c>
      <c r="AF121" s="273">
        <v>14364</v>
      </c>
      <c r="AG121" s="273">
        <f t="shared" si="63"/>
        <v>50.86268852458997</v>
      </c>
      <c r="AH121" s="9">
        <f t="shared" si="59"/>
        <v>31251.85185185185</v>
      </c>
      <c r="AI121" s="273">
        <v>23710</v>
      </c>
      <c r="AJ121" s="273">
        <f>AI121/AH121%</f>
        <v>75.867504147902352</v>
      </c>
      <c r="AK121" s="9">
        <f t="shared" si="60"/>
        <v>0</v>
      </c>
      <c r="AL121" s="273"/>
      <c r="AM121" s="273"/>
      <c r="AN121" s="9">
        <f t="shared" si="61"/>
        <v>0</v>
      </c>
      <c r="AO121" s="273"/>
      <c r="AP121" s="273" t="e">
        <f t="shared" si="62"/>
        <v>#DIV/0!</v>
      </c>
      <c r="AQ121" s="9"/>
      <c r="AR121" s="273"/>
      <c r="AS121" s="39"/>
    </row>
    <row r="122" spans="1:45" ht="12.75">
      <c r="A122" s="164">
        <v>44056</v>
      </c>
      <c r="B122" s="273">
        <f>SUMIFS('Egg Tally'!$G:$G,'Egg Tally'!$C:$C,"M",'Egg Tally'!$A:$A,'Egg Collections'!$A122)</f>
        <v>0</v>
      </c>
      <c r="C122" s="273"/>
      <c r="D122" s="273">
        <f>SUMIFS('Egg Tally'!$G:$G,'Egg Tally'!$C:$C,D$1,'Egg Tally'!$A:$A,'Egg Collections'!$A122)</f>
        <v>0</v>
      </c>
      <c r="E122" s="273">
        <f>SUMIFS('Egg Tally'!$G:$G,'Egg Tally'!$C:$C,E$1,'Egg Tally'!$A:$A,'Egg Collections'!$A122)</f>
        <v>0</v>
      </c>
      <c r="F122" s="273">
        <f>SUMIFS('Egg Tally'!$G:$G,'Egg Tally'!$C:$C,F$1,'Egg Tally'!$A:$A,'Egg Collections'!$A122)</f>
        <v>0</v>
      </c>
      <c r="G122" s="273">
        <f>SUMIFS('Egg Tally'!$G:$G,'Egg Tally'!$C:$C,G$1,'Egg Tally'!$A:$A,'Egg Collections'!$A122)</f>
        <v>0</v>
      </c>
      <c r="H122" s="273">
        <f>SUMIFS('Egg Tally'!$G:$G,'Egg Tally'!$C:$C,H$1,'Egg Tally'!$A:$A,'Egg Collections'!$A122)</f>
        <v>0</v>
      </c>
      <c r="I122" s="2">
        <f t="shared" si="55"/>
        <v>0</v>
      </c>
      <c r="J122" s="17"/>
      <c r="K122" s="10"/>
      <c r="L122" s="10"/>
      <c r="M122" s="10"/>
      <c r="N122" s="10"/>
      <c r="O122" s="10"/>
      <c r="P122" s="10"/>
      <c r="Q122" s="10"/>
      <c r="R122" s="2"/>
      <c r="S122" s="273"/>
      <c r="T122" s="273"/>
      <c r="U122" s="273"/>
      <c r="V122" s="9"/>
      <c r="W122" s="273"/>
      <c r="X122" s="273"/>
      <c r="Y122" s="9"/>
      <c r="Z122" s="273"/>
      <c r="AA122" s="273"/>
      <c r="AB122" s="9">
        <f t="shared" si="56"/>
        <v>0</v>
      </c>
      <c r="AC122" s="273"/>
      <c r="AD122" s="273" t="e">
        <f t="shared" si="57"/>
        <v>#DIV/0!</v>
      </c>
      <c r="AE122" s="9">
        <f t="shared" si="58"/>
        <v>0</v>
      </c>
      <c r="AF122" s="273"/>
      <c r="AG122" s="273" t="e">
        <f t="shared" si="63"/>
        <v>#DIV/0!</v>
      </c>
      <c r="AH122" s="9">
        <f t="shared" si="59"/>
        <v>0</v>
      </c>
      <c r="AI122" s="273"/>
      <c r="AJ122" s="273"/>
      <c r="AK122" s="9">
        <f t="shared" si="60"/>
        <v>0</v>
      </c>
      <c r="AL122" s="273"/>
      <c r="AM122" s="273"/>
      <c r="AN122" s="9">
        <f t="shared" si="61"/>
        <v>0</v>
      </c>
      <c r="AO122" s="273"/>
      <c r="AP122" s="273" t="e">
        <f t="shared" si="62"/>
        <v>#DIV/0!</v>
      </c>
      <c r="AQ122" s="9"/>
      <c r="AR122" s="273"/>
      <c r="AS122" s="39"/>
    </row>
    <row r="123" spans="1:45" ht="12.75">
      <c r="A123" s="164">
        <v>44057</v>
      </c>
      <c r="B123" s="273">
        <f>SUMIFS('Egg Tally'!$G:$G,'Egg Tally'!$C:$C,"M",'Egg Tally'!$A:$A,'Egg Collections'!$A123)</f>
        <v>0</v>
      </c>
      <c r="C123" s="273"/>
      <c r="D123" s="273">
        <f>SUMIFS('Egg Tally'!$G:$G,'Egg Tally'!$C:$C,D$1,'Egg Tally'!$A:$A,'Egg Collections'!$A123)</f>
        <v>0</v>
      </c>
      <c r="E123" s="273">
        <f>SUMIFS('Egg Tally'!$G:$G,'Egg Tally'!$C:$C,E$1,'Egg Tally'!$A:$A,'Egg Collections'!$A123)</f>
        <v>0</v>
      </c>
      <c r="F123" s="273">
        <f>SUMIFS('Egg Tally'!$G:$G,'Egg Tally'!$C:$C,F$1,'Egg Tally'!$A:$A,'Egg Collections'!$A123)</f>
        <v>0</v>
      </c>
      <c r="G123" s="273">
        <f>SUMIFS('Egg Tally'!$G:$G,'Egg Tally'!$C:$C,G$1,'Egg Tally'!$A:$A,'Egg Collections'!$A123)</f>
        <v>1.6284999999999998</v>
      </c>
      <c r="H123" s="273">
        <f>SUMIFS('Egg Tally'!$G:$G,'Egg Tally'!$C:$C,H$1,'Egg Tally'!$A:$A,'Egg Collections'!$A123)</f>
        <v>0</v>
      </c>
      <c r="I123" s="2">
        <f t="shared" si="55"/>
        <v>1.6284999999999998</v>
      </c>
      <c r="J123" s="17"/>
      <c r="K123" s="10"/>
      <c r="L123" s="10"/>
      <c r="M123" s="10"/>
      <c r="N123" s="10"/>
      <c r="O123" s="10"/>
      <c r="P123" s="10"/>
      <c r="Q123" s="10"/>
      <c r="R123" s="2"/>
      <c r="S123" s="273"/>
      <c r="T123" s="273"/>
      <c r="U123" s="273"/>
      <c r="V123" s="9"/>
      <c r="W123" s="273"/>
      <c r="X123" s="273"/>
      <c r="Y123" s="9"/>
      <c r="Z123" s="273"/>
      <c r="AA123" s="273"/>
      <c r="AB123" s="9">
        <f t="shared" si="56"/>
        <v>0</v>
      </c>
      <c r="AC123" s="273"/>
      <c r="AD123" s="273" t="e">
        <f t="shared" si="57"/>
        <v>#DIV/0!</v>
      </c>
      <c r="AE123" s="9">
        <f t="shared" si="58"/>
        <v>0</v>
      </c>
      <c r="AF123" s="273"/>
      <c r="AG123" s="273" t="e">
        <f t="shared" si="63"/>
        <v>#DIV/0!</v>
      </c>
      <c r="AH123" s="9">
        <f t="shared" si="59"/>
        <v>0</v>
      </c>
      <c r="AI123" s="273"/>
      <c r="AJ123" s="273"/>
      <c r="AK123" s="9">
        <f t="shared" si="60"/>
        <v>60314.81481481481</v>
      </c>
      <c r="AL123" s="273">
        <v>33591</v>
      </c>
      <c r="AM123" s="273">
        <f>AL123/AK123%</f>
        <v>55.692784771261898</v>
      </c>
      <c r="AN123" s="9">
        <f t="shared" si="61"/>
        <v>0</v>
      </c>
      <c r="AO123" s="273"/>
      <c r="AP123" s="273" t="e">
        <f t="shared" si="62"/>
        <v>#DIV/0!</v>
      </c>
      <c r="AQ123" s="9"/>
      <c r="AR123" s="273"/>
      <c r="AS123" s="39"/>
    </row>
    <row r="124" spans="1:45" ht="12.75">
      <c r="A124" s="164">
        <v>44058</v>
      </c>
      <c r="B124" s="273">
        <f>SUMIFS('Egg Tally'!$G:$G,'Egg Tally'!$C:$C,"M",'Egg Tally'!$A:$A,'Egg Collections'!$A124)</f>
        <v>0</v>
      </c>
      <c r="C124" s="273"/>
      <c r="D124" s="273">
        <f>SUMIFS('Egg Tally'!$G:$G,'Egg Tally'!$C:$C,D$1,'Egg Tally'!$A:$A,'Egg Collections'!$A124)</f>
        <v>0</v>
      </c>
      <c r="E124" s="273">
        <f>SUMIFS('Egg Tally'!$G:$G,'Egg Tally'!$C:$C,E$1,'Egg Tally'!$A:$A,'Egg Collections'!$A124)</f>
        <v>0</v>
      </c>
      <c r="F124" s="273">
        <f>SUMIFS('Egg Tally'!$G:$G,'Egg Tally'!$C:$C,F$1,'Egg Tally'!$A:$A,'Egg Collections'!$A124)</f>
        <v>0</v>
      </c>
      <c r="G124" s="273">
        <f>SUMIFS('Egg Tally'!$G:$G,'Egg Tally'!$C:$C,G$1,'Egg Tally'!$A:$A,'Egg Collections'!$A124)</f>
        <v>0</v>
      </c>
      <c r="H124" s="273">
        <f>SUMIFS('Egg Tally'!$G:$G,'Egg Tally'!$C:$C,H$1,'Egg Tally'!$A:$A,'Egg Collections'!$A124)</f>
        <v>0</v>
      </c>
      <c r="I124" s="2">
        <f t="shared" ref="I124:I129" si="64">SUM(B124:H124)</f>
        <v>0</v>
      </c>
      <c r="J124" s="17"/>
      <c r="K124" s="10"/>
      <c r="L124" s="10"/>
      <c r="M124" s="10"/>
      <c r="N124" s="10"/>
      <c r="O124" s="10"/>
      <c r="P124" s="10"/>
      <c r="Q124" s="10"/>
      <c r="R124" s="2"/>
      <c r="S124" s="273"/>
      <c r="T124" s="273"/>
      <c r="U124" s="273"/>
      <c r="V124" s="9"/>
      <c r="W124" s="273"/>
      <c r="X124" s="273"/>
      <c r="Y124" s="9"/>
      <c r="Z124" s="273"/>
      <c r="AA124" s="273"/>
      <c r="AB124" s="9">
        <f t="shared" si="56"/>
        <v>0</v>
      </c>
      <c r="AC124" s="273"/>
      <c r="AD124" s="273" t="e">
        <f t="shared" si="57"/>
        <v>#DIV/0!</v>
      </c>
      <c r="AE124" s="9">
        <f t="shared" si="58"/>
        <v>0</v>
      </c>
      <c r="AF124" s="273"/>
      <c r="AG124" s="273" t="e">
        <f t="shared" si="63"/>
        <v>#DIV/0!</v>
      </c>
      <c r="AH124" s="9">
        <f t="shared" si="59"/>
        <v>0</v>
      </c>
      <c r="AI124" s="273"/>
      <c r="AJ124" s="273"/>
      <c r="AK124" s="9">
        <f t="shared" si="60"/>
        <v>0</v>
      </c>
      <c r="AL124" s="273"/>
      <c r="AM124" s="273"/>
      <c r="AN124" s="9">
        <f t="shared" si="61"/>
        <v>0</v>
      </c>
      <c r="AO124" s="273"/>
      <c r="AP124" s="273" t="e">
        <f t="shared" si="62"/>
        <v>#DIV/0!</v>
      </c>
      <c r="AQ124" s="9"/>
      <c r="AR124" s="273"/>
      <c r="AS124" s="39"/>
    </row>
    <row r="125" spans="1:45" ht="12.75">
      <c r="A125" s="164">
        <v>44059</v>
      </c>
      <c r="B125" s="273">
        <f>SUMIFS('Egg Tally'!$G:$G,'Egg Tally'!$C:$C,"M",'Egg Tally'!$A:$A,'Egg Collections'!$A125)</f>
        <v>0</v>
      </c>
      <c r="C125" s="273"/>
      <c r="D125" s="273">
        <f>SUMIFS('Egg Tally'!$G:$G,'Egg Tally'!$C:$C,D$1,'Egg Tally'!$A:$A,'Egg Collections'!$A125)</f>
        <v>0</v>
      </c>
      <c r="E125" s="273">
        <f>SUMIFS('Egg Tally'!$G:$G,'Egg Tally'!$C:$C,E$1,'Egg Tally'!$A:$A,'Egg Collections'!$A125)</f>
        <v>0</v>
      </c>
      <c r="F125" s="273">
        <f>SUMIFS('Egg Tally'!$G:$G,'Egg Tally'!$C:$C,F$1,'Egg Tally'!$A:$A,'Egg Collections'!$A125)</f>
        <v>0</v>
      </c>
      <c r="G125" s="273">
        <f>SUMIFS('Egg Tally'!$G:$G,'Egg Tally'!$C:$C,G$1,'Egg Tally'!$A:$A,'Egg Collections'!$A125)</f>
        <v>0</v>
      </c>
      <c r="H125" s="273">
        <f>SUMIFS('Egg Tally'!$G:$G,'Egg Tally'!$C:$C,H$1,'Egg Tally'!$A:$A,'Egg Collections'!$A125)</f>
        <v>0</v>
      </c>
      <c r="I125" s="2">
        <f t="shared" si="64"/>
        <v>0</v>
      </c>
      <c r="J125" s="17"/>
      <c r="K125" s="10"/>
      <c r="L125" s="10"/>
      <c r="M125" s="10"/>
      <c r="N125" s="10"/>
      <c r="O125" s="10"/>
      <c r="P125" s="10"/>
      <c r="Q125" s="10"/>
      <c r="R125" s="2"/>
      <c r="S125" s="273"/>
      <c r="T125" s="273"/>
      <c r="U125" s="273"/>
      <c r="V125" s="9"/>
      <c r="W125" s="273"/>
      <c r="X125" s="273"/>
      <c r="Y125" s="9"/>
      <c r="Z125" s="273"/>
      <c r="AA125" s="273"/>
      <c r="AB125" s="9">
        <f t="shared" si="56"/>
        <v>0</v>
      </c>
      <c r="AC125" s="273"/>
      <c r="AD125" s="273" t="e">
        <f t="shared" si="57"/>
        <v>#DIV/0!</v>
      </c>
      <c r="AE125" s="9">
        <f t="shared" si="58"/>
        <v>0</v>
      </c>
      <c r="AF125" s="273"/>
      <c r="AG125" s="273" t="e">
        <f t="shared" si="63"/>
        <v>#DIV/0!</v>
      </c>
      <c r="AH125" s="9">
        <f t="shared" si="59"/>
        <v>0</v>
      </c>
      <c r="AI125" s="273"/>
      <c r="AJ125" s="273"/>
      <c r="AK125" s="9">
        <f t="shared" si="60"/>
        <v>0</v>
      </c>
      <c r="AL125" s="273"/>
      <c r="AM125" s="273"/>
      <c r="AN125" s="9">
        <f t="shared" si="61"/>
        <v>0</v>
      </c>
      <c r="AO125" s="273"/>
      <c r="AP125" s="273" t="e">
        <f t="shared" si="62"/>
        <v>#DIV/0!</v>
      </c>
      <c r="AQ125" s="9"/>
      <c r="AR125" s="273"/>
      <c r="AS125" s="39"/>
    </row>
    <row r="126" spans="1:45" ht="12.75">
      <c r="A126" s="164">
        <v>44060</v>
      </c>
      <c r="B126" s="273">
        <f>SUMIFS('Egg Tally'!$G:$G,'Egg Tally'!$C:$C,"M",'Egg Tally'!$A:$A,'Egg Collections'!$A126)</f>
        <v>0</v>
      </c>
      <c r="C126" s="273"/>
      <c r="D126" s="273">
        <f>SUMIFS('Egg Tally'!$G:$G,'Egg Tally'!$C:$C,D$1,'Egg Tally'!$A:$A,'Egg Collections'!$A126)</f>
        <v>0</v>
      </c>
      <c r="E126" s="273">
        <f>SUMIFS('Egg Tally'!$G:$G,'Egg Tally'!$C:$C,E$1,'Egg Tally'!$A:$A,'Egg Collections'!$A126)</f>
        <v>0</v>
      </c>
      <c r="F126" s="273">
        <f>SUMIFS('Egg Tally'!$G:$G,'Egg Tally'!$C:$C,F$1,'Egg Tally'!$A:$A,'Egg Collections'!$A126)</f>
        <v>1.7105999999999995</v>
      </c>
      <c r="G126" s="273">
        <f>SUMIFS('Egg Tally'!$G:$G,'Egg Tally'!$C:$C,G$1,'Egg Tally'!$A:$A,'Egg Collections'!$A126)</f>
        <v>1.9541999999999993</v>
      </c>
      <c r="H126" s="273">
        <f>SUMIFS('Egg Tally'!$G:$G,'Egg Tally'!$C:$C,H$1,'Egg Tally'!$A:$A,'Egg Collections'!$A126)</f>
        <v>0</v>
      </c>
      <c r="I126" s="2">
        <f t="shared" si="64"/>
        <v>3.6647999999999987</v>
      </c>
      <c r="J126" s="17"/>
      <c r="K126" s="10"/>
      <c r="L126" s="10"/>
      <c r="M126" s="10"/>
      <c r="N126" s="10"/>
      <c r="O126" s="10"/>
      <c r="P126" s="10"/>
      <c r="Q126" s="10"/>
      <c r="R126" s="2"/>
      <c r="S126" s="273"/>
      <c r="T126" s="273"/>
      <c r="U126" s="273"/>
      <c r="V126" s="9"/>
      <c r="W126" s="273"/>
      <c r="X126" s="273"/>
      <c r="Y126" s="9"/>
      <c r="Z126" s="273"/>
      <c r="AA126" s="273"/>
      <c r="AB126" s="9">
        <f t="shared" si="56"/>
        <v>0</v>
      </c>
      <c r="AC126" s="273"/>
      <c r="AD126" s="273" t="e">
        <f t="shared" si="57"/>
        <v>#DIV/0!</v>
      </c>
      <c r="AE126" s="9">
        <f t="shared" si="58"/>
        <v>0</v>
      </c>
      <c r="AF126" s="273"/>
      <c r="AG126" s="273" t="e">
        <f t="shared" si="63"/>
        <v>#DIV/0!</v>
      </c>
      <c r="AH126" s="9">
        <f t="shared" si="59"/>
        <v>63355.55555555554</v>
      </c>
      <c r="AI126" s="273">
        <v>48065</v>
      </c>
      <c r="AJ126" s="273">
        <f>AI126/AH126%</f>
        <v>75.865485794458095</v>
      </c>
      <c r="AK126" s="9">
        <f t="shared" si="60"/>
        <v>72377.777777777752</v>
      </c>
      <c r="AL126" s="273">
        <f>36910+4158</f>
        <v>41068</v>
      </c>
      <c r="AM126" s="273">
        <f t="shared" ref="AM126:AM180" si="65">AL126/AK126%</f>
        <v>56.741172858458725</v>
      </c>
      <c r="AN126" s="9">
        <f t="shared" si="61"/>
        <v>0</v>
      </c>
      <c r="AO126" s="273"/>
      <c r="AP126" s="273" t="e">
        <f t="shared" si="62"/>
        <v>#DIV/0!</v>
      </c>
      <c r="AQ126" s="9"/>
      <c r="AR126" s="273"/>
      <c r="AS126" s="39"/>
    </row>
    <row r="127" spans="1:45" ht="12.75">
      <c r="A127" s="164">
        <v>44061</v>
      </c>
      <c r="B127" s="273">
        <f>SUMIFS('Egg Tally'!$G:$G,'Egg Tally'!$C:$C,"M",'Egg Tally'!$A:$A,'Egg Collections'!$A127)</f>
        <v>0</v>
      </c>
      <c r="C127" s="273"/>
      <c r="D127" s="273">
        <f>SUMIFS('Egg Tally'!$G:$G,'Egg Tally'!$C:$C,D$1,'Egg Tally'!$A:$A,'Egg Collections'!$A127)</f>
        <v>0</v>
      </c>
      <c r="E127" s="273">
        <f>SUMIFS('Egg Tally'!$G:$G,'Egg Tally'!$C:$C,E$1,'Egg Tally'!$A:$A,'Egg Collections'!$A127)</f>
        <v>0</v>
      </c>
      <c r="F127" s="273">
        <f>SUMIFS('Egg Tally'!$G:$G,'Egg Tally'!$C:$C,F$1,'Egg Tally'!$A:$A,'Egg Collections'!$A127)</f>
        <v>0</v>
      </c>
      <c r="G127" s="273">
        <f>SUMIFS('Egg Tally'!$G:$G,'Egg Tally'!$C:$C,G$1,'Egg Tally'!$A:$A,'Egg Collections'!$A127)</f>
        <v>0</v>
      </c>
      <c r="H127" s="273">
        <f>SUMIFS('Egg Tally'!$G:$G,'Egg Tally'!$C:$C,H$1,'Egg Tally'!$A:$A,'Egg Collections'!$A127)</f>
        <v>0</v>
      </c>
      <c r="I127" s="2">
        <f t="shared" si="64"/>
        <v>0</v>
      </c>
      <c r="J127" s="17"/>
      <c r="K127" s="10"/>
      <c r="L127" s="10"/>
      <c r="M127" s="10"/>
      <c r="N127" s="10"/>
      <c r="O127" s="10"/>
      <c r="P127" s="10"/>
      <c r="Q127" s="10"/>
      <c r="R127" s="2"/>
      <c r="S127" s="273"/>
      <c r="T127" s="273"/>
      <c r="U127" s="273"/>
      <c r="V127" s="9"/>
      <c r="W127" s="273"/>
      <c r="X127" s="273"/>
      <c r="Y127" s="9"/>
      <c r="Z127" s="273"/>
      <c r="AA127" s="273"/>
      <c r="AB127" s="9">
        <f t="shared" si="56"/>
        <v>0</v>
      </c>
      <c r="AC127" s="273"/>
      <c r="AD127" s="273" t="e">
        <f t="shared" si="57"/>
        <v>#DIV/0!</v>
      </c>
      <c r="AE127" s="9">
        <f t="shared" si="58"/>
        <v>0</v>
      </c>
      <c r="AF127" s="273"/>
      <c r="AG127" s="273" t="e">
        <f t="shared" si="63"/>
        <v>#DIV/0!</v>
      </c>
      <c r="AH127" s="9">
        <f t="shared" si="59"/>
        <v>0</v>
      </c>
      <c r="AI127" s="273"/>
      <c r="AJ127" s="273"/>
      <c r="AK127" s="9">
        <f t="shared" si="60"/>
        <v>0</v>
      </c>
      <c r="AL127" s="273"/>
      <c r="AM127" s="273"/>
      <c r="AN127" s="9">
        <f t="shared" si="61"/>
        <v>0</v>
      </c>
      <c r="AO127" s="273"/>
      <c r="AP127" s="273" t="e">
        <f t="shared" si="62"/>
        <v>#DIV/0!</v>
      </c>
      <c r="AQ127" s="9"/>
      <c r="AR127" s="273"/>
      <c r="AS127" s="39"/>
    </row>
    <row r="128" spans="1:45" ht="12.75">
      <c r="A128" s="164">
        <v>44062</v>
      </c>
      <c r="B128" s="273">
        <f>SUMIFS('Egg Tally'!$G:$G,'Egg Tally'!$C:$C,"M",'Egg Tally'!$A:$A,'Egg Collections'!$A128)</f>
        <v>0</v>
      </c>
      <c r="C128" s="273"/>
      <c r="D128" s="273">
        <f>SUMIFS('Egg Tally'!$G:$G,'Egg Tally'!$C:$C,D$1,'Egg Tally'!$A:$A,'Egg Collections'!$A128)</f>
        <v>0</v>
      </c>
      <c r="E128" s="273">
        <f>SUMIFS('Egg Tally'!$G:$G,'Egg Tally'!$C:$C,E$1,'Egg Tally'!$A:$A,'Egg Collections'!$A128)</f>
        <v>0</v>
      </c>
      <c r="F128" s="273">
        <f>SUMIFS('Egg Tally'!$G:$G,'Egg Tally'!$C:$C,F$1,'Egg Tally'!$A:$A,'Egg Collections'!$A128)</f>
        <v>5.0276999999999994</v>
      </c>
      <c r="G128" s="273">
        <f>SUMIFS('Egg Tally'!$G:$G,'Egg Tally'!$C:$C,G$1,'Egg Tally'!$A:$A,'Egg Collections'!$A128)</f>
        <v>9.559099999999999</v>
      </c>
      <c r="H128" s="273">
        <f>SUMIFS('Egg Tally'!$G:$G,'Egg Tally'!$C:$C,H$1,'Egg Tally'!$A:$A,'Egg Collections'!$A128)</f>
        <v>0</v>
      </c>
      <c r="I128" s="2">
        <f t="shared" si="64"/>
        <v>14.586799999999998</v>
      </c>
      <c r="J128" s="17" t="s">
        <v>51</v>
      </c>
      <c r="K128" s="10"/>
      <c r="L128" s="10"/>
      <c r="M128" s="10"/>
      <c r="N128" s="10"/>
      <c r="O128" s="10"/>
      <c r="P128" s="10"/>
      <c r="Q128" s="10"/>
      <c r="R128" s="2"/>
      <c r="S128" s="273"/>
      <c r="T128" s="273"/>
      <c r="U128" s="273"/>
      <c r="V128" s="9"/>
      <c r="W128" s="273"/>
      <c r="X128" s="273"/>
      <c r="Y128" s="9"/>
      <c r="Z128" s="273"/>
      <c r="AA128" s="273"/>
      <c r="AB128" s="9">
        <f t="shared" si="56"/>
        <v>0</v>
      </c>
      <c r="AC128" s="273"/>
      <c r="AD128" s="273" t="e">
        <f t="shared" si="57"/>
        <v>#DIV/0!</v>
      </c>
      <c r="AE128" s="9">
        <f t="shared" si="58"/>
        <v>0</v>
      </c>
      <c r="AF128" s="273"/>
      <c r="AG128" s="273" t="e">
        <f t="shared" si="63"/>
        <v>#DIV/0!</v>
      </c>
      <c r="AH128" s="9">
        <f t="shared" si="59"/>
        <v>186211.11111111109</v>
      </c>
      <c r="AI128" s="273">
        <v>62005</v>
      </c>
      <c r="AJ128" s="273">
        <f t="shared" ref="AJ128:AJ133" si="66">AI128/AH128%</f>
        <v>33.2982278178889</v>
      </c>
      <c r="AK128" s="9">
        <f t="shared" si="60"/>
        <v>354040.74074074073</v>
      </c>
      <c r="AL128" s="273">
        <v>64679</v>
      </c>
      <c r="AM128" s="273">
        <f t="shared" si="65"/>
        <v>18.268801456204034</v>
      </c>
      <c r="AN128" s="9">
        <f t="shared" si="61"/>
        <v>0</v>
      </c>
      <c r="AO128" s="273"/>
      <c r="AP128" s="273" t="e">
        <f t="shared" si="62"/>
        <v>#DIV/0!</v>
      </c>
      <c r="AQ128" s="9"/>
      <c r="AR128" s="273"/>
      <c r="AS128" s="39"/>
    </row>
    <row r="129" spans="1:45" ht="12.75">
      <c r="A129" s="164">
        <v>44063</v>
      </c>
      <c r="B129" s="273">
        <f>SUMIFS('Egg Tally'!$G:$G,'Egg Tally'!$C:$C,"M",'Egg Tally'!$A:$A,'Egg Collections'!$A129)</f>
        <v>0</v>
      </c>
      <c r="C129" s="273"/>
      <c r="D129" s="273">
        <f>SUMIFS('Egg Tally'!$G:$G,'Egg Tally'!$C:$C,D$1,'Egg Tally'!$A:$A,'Egg Collections'!$A129)</f>
        <v>0</v>
      </c>
      <c r="E129" s="273">
        <f>SUMIFS('Egg Tally'!$G:$G,'Egg Tally'!$C:$C,E$1,'Egg Tally'!$A:$A,'Egg Collections'!$A129)</f>
        <v>0</v>
      </c>
      <c r="F129" s="273">
        <f>SUMIFS('Egg Tally'!$G:$G,'Egg Tally'!$C:$C,F$1,'Egg Tally'!$A:$A,'Egg Collections'!$A129)</f>
        <v>0</v>
      </c>
      <c r="G129" s="273">
        <f>SUMIFS('Egg Tally'!$G:$G,'Egg Tally'!$C:$C,G$1,'Egg Tally'!$A:$A,'Egg Collections'!$A129)</f>
        <v>0</v>
      </c>
      <c r="H129" s="273">
        <f>SUMIFS('Egg Tally'!$G:$G,'Egg Tally'!$C:$C,H$1,'Egg Tally'!$A:$A,'Egg Collections'!$A129)</f>
        <v>0</v>
      </c>
      <c r="I129" s="2">
        <f t="shared" si="64"/>
        <v>0</v>
      </c>
      <c r="J129" s="17"/>
      <c r="K129" s="10"/>
      <c r="L129" s="10"/>
      <c r="M129" s="10"/>
      <c r="N129" s="10"/>
      <c r="O129" s="10"/>
      <c r="P129" s="10"/>
      <c r="Q129" s="10"/>
      <c r="R129" s="2"/>
      <c r="S129" s="273"/>
      <c r="T129" s="273"/>
      <c r="U129" s="273"/>
      <c r="V129" s="9"/>
      <c r="W129" s="273"/>
      <c r="X129" s="273"/>
      <c r="Y129" s="9"/>
      <c r="Z129" s="273"/>
      <c r="AA129" s="273"/>
      <c r="AB129" s="9">
        <f t="shared" si="56"/>
        <v>0</v>
      </c>
      <c r="AC129" s="273"/>
      <c r="AD129" s="273" t="e">
        <f t="shared" si="57"/>
        <v>#DIV/0!</v>
      </c>
      <c r="AE129" s="9">
        <f t="shared" si="58"/>
        <v>0</v>
      </c>
      <c r="AF129" s="273"/>
      <c r="AG129" s="273" t="e">
        <f t="shared" si="63"/>
        <v>#DIV/0!</v>
      </c>
      <c r="AH129" s="9">
        <f t="shared" si="59"/>
        <v>0</v>
      </c>
      <c r="AI129" s="273"/>
      <c r="AJ129" s="273"/>
      <c r="AK129" s="9">
        <f t="shared" si="60"/>
        <v>0</v>
      </c>
      <c r="AL129" s="273"/>
      <c r="AM129" s="273"/>
      <c r="AN129" s="9">
        <f t="shared" si="61"/>
        <v>0</v>
      </c>
      <c r="AO129" s="273"/>
      <c r="AP129" s="273" t="e">
        <f t="shared" si="62"/>
        <v>#DIV/0!</v>
      </c>
      <c r="AQ129" s="9"/>
      <c r="AR129" s="273"/>
      <c r="AS129" s="39"/>
    </row>
    <row r="130" spans="1:45" ht="12.75">
      <c r="A130" s="164">
        <v>44064</v>
      </c>
      <c r="B130" s="273">
        <f>SUMIFS('Egg Tally'!$G:$G,'Egg Tally'!$C:$C,"M",'Egg Tally'!$A:$A,'Egg Collections'!$A130)</f>
        <v>0</v>
      </c>
      <c r="C130" s="273"/>
      <c r="D130" s="273">
        <f>SUMIFS('Egg Tally'!$G:$G,'Egg Tally'!$C:$C,D$1,'Egg Tally'!$A:$A,'Egg Collections'!$A130)</f>
        <v>0</v>
      </c>
      <c r="E130" s="273">
        <f>SUMIFS('Egg Tally'!$G:$G,'Egg Tally'!$C:$C,E$1,'Egg Tally'!$A:$A,'Egg Collections'!$A130)</f>
        <v>0</v>
      </c>
      <c r="F130" s="273">
        <f>SUMIFS('Egg Tally'!$G:$G,'Egg Tally'!$C:$C,F$1,'Egg Tally'!$A:$A,'Egg Collections'!$A130)</f>
        <v>2.1599999999999984</v>
      </c>
      <c r="G130" s="273">
        <f>SUMIFS('Egg Tally'!$G:$G,'Egg Tally'!$C:$C,G$1,'Egg Tally'!$A:$A,'Egg Collections'!$A130)</f>
        <v>19.332999999999998</v>
      </c>
      <c r="H130" s="273">
        <f>SUMIFS('Egg Tally'!$G:$G,'Egg Tally'!$C:$C,H$1,'Egg Tally'!$A:$A,'Egg Collections'!$A130)</f>
        <v>0</v>
      </c>
      <c r="I130" s="2">
        <f t="shared" ref="I130" si="67">SUM(B130:H130)</f>
        <v>21.492999999999995</v>
      </c>
      <c r="J130" s="17" t="s">
        <v>52</v>
      </c>
      <c r="K130" s="10"/>
      <c r="L130" s="10"/>
      <c r="M130" s="10"/>
      <c r="N130" s="10"/>
      <c r="O130" s="10"/>
      <c r="P130" s="10"/>
      <c r="Q130" s="10"/>
      <c r="R130" s="2"/>
      <c r="S130" s="273"/>
      <c r="T130" s="273"/>
      <c r="U130" s="273"/>
      <c r="V130" s="9"/>
      <c r="W130" s="273"/>
      <c r="X130" s="273"/>
      <c r="Y130" s="9"/>
      <c r="Z130" s="273"/>
      <c r="AA130" s="273"/>
      <c r="AB130" s="9">
        <f t="shared" si="56"/>
        <v>0</v>
      </c>
      <c r="AC130" s="273"/>
      <c r="AD130" s="273" t="e">
        <f t="shared" si="57"/>
        <v>#DIV/0!</v>
      </c>
      <c r="AE130" s="9">
        <f t="shared" si="58"/>
        <v>0</v>
      </c>
      <c r="AF130" s="273"/>
      <c r="AG130" s="273" t="e">
        <f t="shared" si="63"/>
        <v>#DIV/0!</v>
      </c>
      <c r="AH130" s="9">
        <f t="shared" si="59"/>
        <v>79999.999999999942</v>
      </c>
      <c r="AI130" s="273">
        <v>55011</v>
      </c>
      <c r="AJ130" s="273">
        <f t="shared" si="66"/>
        <v>68.763750000000044</v>
      </c>
      <c r="AK130" s="9">
        <f t="shared" si="60"/>
        <v>716037.03703703696</v>
      </c>
      <c r="AL130" s="273">
        <f>68398+62248</f>
        <v>130646</v>
      </c>
      <c r="AM130" s="273">
        <f t="shared" si="65"/>
        <v>18.245704236279938</v>
      </c>
      <c r="AN130" s="9">
        <f t="shared" si="61"/>
        <v>0</v>
      </c>
      <c r="AO130" s="273"/>
      <c r="AP130" s="273" t="e">
        <f t="shared" si="62"/>
        <v>#DIV/0!</v>
      </c>
      <c r="AQ130" s="9"/>
      <c r="AR130" s="273"/>
      <c r="AS130" s="39"/>
    </row>
    <row r="131" spans="1:45" ht="12.75">
      <c r="A131" s="164">
        <v>44065</v>
      </c>
      <c r="B131" s="273">
        <f>SUMIFS('Egg Tally'!$G:$G,'Egg Tally'!$C:$C,"M",'Egg Tally'!$A:$A,'Egg Collections'!$A131)</f>
        <v>0</v>
      </c>
      <c r="C131" s="273"/>
      <c r="D131" s="273">
        <f>SUMIFS('Egg Tally'!$G:$G,'Egg Tally'!$C:$C,D$1,'Egg Tally'!$A:$A,'Egg Collections'!$A131)</f>
        <v>0</v>
      </c>
      <c r="E131" s="273">
        <f>SUMIFS('Egg Tally'!$G:$G,'Egg Tally'!$C:$C,E$1,'Egg Tally'!$A:$A,'Egg Collections'!$A131)</f>
        <v>0</v>
      </c>
      <c r="F131" s="273">
        <f>SUMIFS('Egg Tally'!$G:$G,'Egg Tally'!$C:$C,F$1,'Egg Tally'!$A:$A,'Egg Collections'!$A131)</f>
        <v>0</v>
      </c>
      <c r="G131" s="273">
        <f>SUMIFS('Egg Tally'!$G:$G,'Egg Tally'!$C:$C,G$1,'Egg Tally'!$A:$A,'Egg Collections'!$A131)</f>
        <v>0</v>
      </c>
      <c r="H131" s="273">
        <f>SUMIFS('Egg Tally'!$G:$G,'Egg Tally'!$C:$C,H$1,'Egg Tally'!$A:$A,'Egg Collections'!$A131)</f>
        <v>0</v>
      </c>
      <c r="I131" s="2">
        <f t="shared" ref="I131:I134" si="68">SUM(B131:H131)</f>
        <v>0</v>
      </c>
      <c r="J131" s="17"/>
      <c r="K131" s="10"/>
      <c r="L131" s="10"/>
      <c r="M131" s="10"/>
      <c r="N131" s="10"/>
      <c r="O131" s="10"/>
      <c r="P131" s="10"/>
      <c r="Q131" s="10"/>
      <c r="R131" s="2"/>
      <c r="S131" s="273"/>
      <c r="T131" s="273"/>
      <c r="U131" s="273"/>
      <c r="V131" s="9"/>
      <c r="W131" s="273"/>
      <c r="X131" s="273"/>
      <c r="Y131" s="9"/>
      <c r="Z131" s="273"/>
      <c r="AA131" s="273"/>
      <c r="AB131" s="9">
        <f t="shared" si="56"/>
        <v>0</v>
      </c>
      <c r="AC131" s="273"/>
      <c r="AD131" s="273" t="e">
        <f t="shared" si="57"/>
        <v>#DIV/0!</v>
      </c>
      <c r="AE131" s="9">
        <f t="shared" si="58"/>
        <v>0</v>
      </c>
      <c r="AF131" s="273"/>
      <c r="AG131" s="273" t="e">
        <f t="shared" si="63"/>
        <v>#DIV/0!</v>
      </c>
      <c r="AH131" s="9">
        <f t="shared" si="59"/>
        <v>0</v>
      </c>
      <c r="AI131" s="273"/>
      <c r="AJ131" s="273"/>
      <c r="AK131" s="9">
        <f t="shared" si="60"/>
        <v>0</v>
      </c>
      <c r="AL131" s="273"/>
      <c r="AM131" s="273"/>
      <c r="AN131" s="9">
        <f t="shared" si="61"/>
        <v>0</v>
      </c>
      <c r="AO131" s="273"/>
      <c r="AP131" s="273" t="e">
        <f t="shared" si="62"/>
        <v>#DIV/0!</v>
      </c>
      <c r="AQ131" s="9"/>
      <c r="AR131" s="273"/>
      <c r="AS131" s="39"/>
    </row>
    <row r="132" spans="1:45" ht="12.75">
      <c r="A132" s="164">
        <v>44066</v>
      </c>
      <c r="B132" s="273">
        <f>SUMIFS('Egg Tally'!$G:$G,'Egg Tally'!$C:$C,"M",'Egg Tally'!$A:$A,'Egg Collections'!$A132)</f>
        <v>0</v>
      </c>
      <c r="C132" s="273"/>
      <c r="D132" s="273">
        <f>SUMIFS('Egg Tally'!$G:$G,'Egg Tally'!$C:$C,D$1,'Egg Tally'!$A:$A,'Egg Collections'!$A132)</f>
        <v>0</v>
      </c>
      <c r="E132" s="273">
        <f>SUMIFS('Egg Tally'!$G:$G,'Egg Tally'!$C:$C,E$1,'Egg Tally'!$A:$A,'Egg Collections'!$A132)</f>
        <v>0</v>
      </c>
      <c r="F132" s="273">
        <f>SUMIFS('Egg Tally'!$G:$G,'Egg Tally'!$C:$C,F$1,'Egg Tally'!$A:$A,'Egg Collections'!$A132)</f>
        <v>0</v>
      </c>
      <c r="G132" s="273">
        <f>SUMIFS('Egg Tally'!$G:$G,'Egg Tally'!$C:$C,G$1,'Egg Tally'!$A:$A,'Egg Collections'!$A132)</f>
        <v>0</v>
      </c>
      <c r="H132" s="273">
        <f>SUMIFS('Egg Tally'!$G:$G,'Egg Tally'!$C:$C,H$1,'Egg Tally'!$A:$A,'Egg Collections'!$A132)</f>
        <v>0</v>
      </c>
      <c r="I132" s="2">
        <f t="shared" si="68"/>
        <v>0</v>
      </c>
      <c r="J132" s="17"/>
      <c r="K132" s="10"/>
      <c r="L132" s="10"/>
      <c r="M132" s="10"/>
      <c r="N132" s="10"/>
      <c r="O132" s="10"/>
      <c r="P132" s="10"/>
      <c r="Q132" s="10"/>
      <c r="R132" s="2"/>
      <c r="S132" s="273"/>
      <c r="T132" s="273"/>
      <c r="U132" s="273"/>
      <c r="V132" s="9"/>
      <c r="W132" s="273"/>
      <c r="X132" s="273"/>
      <c r="Y132" s="9"/>
      <c r="Z132" s="273"/>
      <c r="AA132" s="273"/>
      <c r="AB132" s="9">
        <f t="shared" si="56"/>
        <v>0</v>
      </c>
      <c r="AC132" s="273"/>
      <c r="AD132" s="273" t="e">
        <f t="shared" si="57"/>
        <v>#DIV/0!</v>
      </c>
      <c r="AE132" s="9">
        <f t="shared" si="58"/>
        <v>0</v>
      </c>
      <c r="AF132" s="273"/>
      <c r="AG132" s="273" t="e">
        <f t="shared" si="63"/>
        <v>#DIV/0!</v>
      </c>
      <c r="AH132" s="9">
        <f t="shared" si="59"/>
        <v>0</v>
      </c>
      <c r="AI132" s="273"/>
      <c r="AJ132" s="273"/>
      <c r="AK132" s="9">
        <f t="shared" si="60"/>
        <v>0</v>
      </c>
      <c r="AL132" s="273"/>
      <c r="AM132" s="273"/>
      <c r="AN132" s="9">
        <f t="shared" si="61"/>
        <v>0</v>
      </c>
      <c r="AO132" s="273"/>
      <c r="AP132" s="273" t="e">
        <f t="shared" si="62"/>
        <v>#DIV/0!</v>
      </c>
      <c r="AQ132" s="9"/>
      <c r="AR132" s="273"/>
      <c r="AS132" s="39"/>
    </row>
    <row r="133" spans="1:45" ht="12.75">
      <c r="A133" s="164">
        <v>44067</v>
      </c>
      <c r="B133" s="273">
        <f>SUMIFS('Egg Tally'!$G:$G,'Egg Tally'!$C:$C,"M",'Egg Tally'!$A:$A,'Egg Collections'!$A133)</f>
        <v>0</v>
      </c>
      <c r="C133" s="273"/>
      <c r="D133" s="273">
        <f>SUMIFS('Egg Tally'!$G:$G,'Egg Tally'!$C:$C,D$1,'Egg Tally'!$A:$A,'Egg Collections'!$A133)</f>
        <v>0</v>
      </c>
      <c r="E133" s="273">
        <f>SUMIFS('Egg Tally'!$G:$G,'Egg Tally'!$C:$C,E$1,'Egg Tally'!$A:$A,'Egg Collections'!$A133)</f>
        <v>0</v>
      </c>
      <c r="F133" s="273">
        <f>SUMIFS('Egg Tally'!$G:$G,'Egg Tally'!$C:$C,F$1,'Egg Tally'!$A:$A,'Egg Collections'!$A133)</f>
        <v>2.1968999999999994</v>
      </c>
      <c r="G133" s="273">
        <f>SUMIFS('Egg Tally'!$G:$G,'Egg Tally'!$C:$C,G$1,'Egg Tally'!$A:$A,'Egg Collections'!$A133)</f>
        <v>15.872199999999999</v>
      </c>
      <c r="H133" s="273">
        <f>SUMIFS('Egg Tally'!$G:$G,'Egg Tally'!$C:$C,H$1,'Egg Tally'!$A:$A,'Egg Collections'!$A133)</f>
        <v>0</v>
      </c>
      <c r="I133" s="2">
        <f t="shared" si="68"/>
        <v>18.069099999999999</v>
      </c>
      <c r="J133" s="17"/>
      <c r="K133" s="10"/>
      <c r="L133" s="10"/>
      <c r="M133" s="10"/>
      <c r="N133" s="10"/>
      <c r="O133" s="10"/>
      <c r="P133" s="10"/>
      <c r="Q133" s="10"/>
      <c r="R133" s="2"/>
      <c r="S133" s="273"/>
      <c r="T133" s="273"/>
      <c r="U133" s="273"/>
      <c r="V133" s="9"/>
      <c r="W133" s="273"/>
      <c r="X133" s="273"/>
      <c r="Y133" s="9"/>
      <c r="Z133" s="273"/>
      <c r="AA133" s="273"/>
      <c r="AB133" s="9">
        <f t="shared" si="56"/>
        <v>0</v>
      </c>
      <c r="AC133" s="273"/>
      <c r="AD133" s="273" t="e">
        <f t="shared" si="57"/>
        <v>#DIV/0!</v>
      </c>
      <c r="AE133" s="9">
        <f t="shared" si="58"/>
        <v>0</v>
      </c>
      <c r="AF133" s="273"/>
      <c r="AG133" s="273" t="e">
        <f t="shared" si="63"/>
        <v>#DIV/0!</v>
      </c>
      <c r="AH133" s="9">
        <f t="shared" si="59"/>
        <v>81366.666666666642</v>
      </c>
      <c r="AI133" s="273">
        <v>32156</v>
      </c>
      <c r="AJ133" s="273">
        <f t="shared" si="66"/>
        <v>39.519868906186005</v>
      </c>
      <c r="AK133" s="9">
        <f t="shared" si="60"/>
        <v>587859.25925925921</v>
      </c>
      <c r="AL133" s="273">
        <f>26914+35695</f>
        <v>62609</v>
      </c>
      <c r="AM133" s="273">
        <f t="shared" si="65"/>
        <v>10.650338327390029</v>
      </c>
      <c r="AN133" s="9">
        <f t="shared" si="61"/>
        <v>0</v>
      </c>
      <c r="AO133" s="273"/>
      <c r="AP133" s="273" t="e">
        <f t="shared" si="62"/>
        <v>#DIV/0!</v>
      </c>
      <c r="AQ133" s="9"/>
      <c r="AR133" s="273"/>
      <c r="AS133" s="39"/>
    </row>
    <row r="134" spans="1:45" ht="12.75">
      <c r="A134" s="164">
        <v>44068</v>
      </c>
      <c r="B134" s="273">
        <f>SUMIFS('Egg Tally'!$G:$G,'Egg Tally'!$C:$C,"M",'Egg Tally'!$A:$A,'Egg Collections'!$A134)</f>
        <v>0</v>
      </c>
      <c r="C134" s="273"/>
      <c r="D134" s="273">
        <f>SUMIFS('Egg Tally'!$G:$G,'Egg Tally'!$C:$C,D$1,'Egg Tally'!$A:$A,'Egg Collections'!$A134)</f>
        <v>0</v>
      </c>
      <c r="E134" s="273">
        <f>SUMIFS('Egg Tally'!$G:$G,'Egg Tally'!$C:$C,E$1,'Egg Tally'!$A:$A,'Egg Collections'!$A134)</f>
        <v>0</v>
      </c>
      <c r="F134" s="273">
        <f>SUMIFS('Egg Tally'!$G:$G,'Egg Tally'!$C:$C,F$1,'Egg Tally'!$A:$A,'Egg Collections'!$A134)</f>
        <v>0</v>
      </c>
      <c r="G134" s="273">
        <f>SUMIFS('Egg Tally'!$G:$G,'Egg Tally'!$C:$C,G$1,'Egg Tally'!$A:$A,'Egg Collections'!$A134)</f>
        <v>0</v>
      </c>
      <c r="H134" s="273">
        <f>SUMIFS('Egg Tally'!$G:$G,'Egg Tally'!$C:$C,H$1,'Egg Tally'!$A:$A,'Egg Collections'!$A134)</f>
        <v>0</v>
      </c>
      <c r="I134" s="2">
        <f t="shared" si="68"/>
        <v>0</v>
      </c>
      <c r="J134" s="17"/>
      <c r="K134" s="10"/>
      <c r="L134" s="10"/>
      <c r="M134" s="10"/>
      <c r="N134" s="10"/>
      <c r="O134" s="10"/>
      <c r="P134" s="10"/>
      <c r="Q134" s="10"/>
      <c r="R134" s="2"/>
      <c r="S134" s="273"/>
      <c r="T134" s="273"/>
      <c r="U134" s="273"/>
      <c r="V134" s="9"/>
      <c r="W134" s="273"/>
      <c r="X134" s="273"/>
      <c r="Y134" s="9"/>
      <c r="Z134" s="273"/>
      <c r="AA134" s="273"/>
      <c r="AB134" s="9">
        <f t="shared" si="56"/>
        <v>0</v>
      </c>
      <c r="AC134" s="273"/>
      <c r="AD134" s="273" t="e">
        <f t="shared" si="57"/>
        <v>#DIV/0!</v>
      </c>
      <c r="AE134" s="9">
        <f t="shared" si="58"/>
        <v>0</v>
      </c>
      <c r="AF134" s="273"/>
      <c r="AG134" s="273" t="e">
        <f t="shared" si="63"/>
        <v>#DIV/0!</v>
      </c>
      <c r="AH134" s="9">
        <f t="shared" si="59"/>
        <v>0</v>
      </c>
      <c r="AI134" s="273"/>
      <c r="AJ134" s="273"/>
      <c r="AK134" s="9">
        <f t="shared" si="60"/>
        <v>0</v>
      </c>
      <c r="AL134" s="273"/>
      <c r="AM134" s="273"/>
      <c r="AN134" s="9">
        <f t="shared" si="61"/>
        <v>0</v>
      </c>
      <c r="AO134" s="273"/>
      <c r="AP134" s="273" t="e">
        <f t="shared" si="62"/>
        <v>#DIV/0!</v>
      </c>
      <c r="AQ134" s="9"/>
      <c r="AR134" s="273"/>
      <c r="AS134" s="39"/>
    </row>
    <row r="135" spans="1:45" ht="12.75">
      <c r="A135" s="164">
        <v>44069</v>
      </c>
      <c r="B135" s="273">
        <f>SUMIFS('Egg Tally'!$G:$G,'Egg Tally'!$C:$C,"M",'Egg Tally'!$A:$A,'Egg Collections'!$A135)</f>
        <v>0</v>
      </c>
      <c r="C135" s="273"/>
      <c r="D135" s="273">
        <f>SUMIFS('Egg Tally'!$G:$G,'Egg Tally'!$C:$C,D$1,'Egg Tally'!$A:$A,'Egg Collections'!$A135)</f>
        <v>0</v>
      </c>
      <c r="E135" s="273">
        <f>SUMIFS('Egg Tally'!$G:$G,'Egg Tally'!$C:$C,E$1,'Egg Tally'!$A:$A,'Egg Collections'!$A135)</f>
        <v>0</v>
      </c>
      <c r="F135" s="273">
        <f>SUMIFS('Egg Tally'!$G:$G,'Egg Tally'!$C:$C,F$1,'Egg Tally'!$A:$A,'Egg Collections'!$A135)</f>
        <v>5.7599000000000009</v>
      </c>
      <c r="G135" s="273">
        <f>SUMIFS('Egg Tally'!$G:$G,'Egg Tally'!$C:$C,G$1,'Egg Tally'!$A:$A,'Egg Collections'!$A135)</f>
        <v>13.951299999999998</v>
      </c>
      <c r="H135" s="273">
        <f>SUMIFS('Egg Tally'!$G:$G,'Egg Tally'!$C:$C,H$1,'Egg Tally'!$A:$A,'Egg Collections'!$A135)</f>
        <v>0</v>
      </c>
      <c r="I135" s="2">
        <f t="shared" ref="I135:I137" si="69">SUM(B135:H135)</f>
        <v>19.711199999999998</v>
      </c>
      <c r="J135" s="17"/>
      <c r="K135" s="10"/>
      <c r="L135" s="10"/>
      <c r="M135" s="10"/>
      <c r="N135" s="10"/>
      <c r="O135" s="10"/>
      <c r="P135" s="10"/>
      <c r="Q135" s="10"/>
      <c r="R135" s="2"/>
      <c r="S135" s="273"/>
      <c r="T135" s="273"/>
      <c r="U135" s="273"/>
      <c r="V135" s="9"/>
      <c r="W135" s="273"/>
      <c r="X135" s="273"/>
      <c r="Y135" s="9"/>
      <c r="Z135" s="273"/>
      <c r="AA135" s="273"/>
      <c r="AB135" s="9">
        <f t="shared" si="56"/>
        <v>0</v>
      </c>
      <c r="AC135" s="273"/>
      <c r="AD135" s="273" t="e">
        <f t="shared" si="57"/>
        <v>#DIV/0!</v>
      </c>
      <c r="AE135" s="9">
        <f t="shared" si="58"/>
        <v>0</v>
      </c>
      <c r="AF135" s="273"/>
      <c r="AG135" s="273" t="e">
        <f t="shared" si="63"/>
        <v>#DIV/0!</v>
      </c>
      <c r="AH135" s="9">
        <f t="shared" si="59"/>
        <v>213329.62962962966</v>
      </c>
      <c r="AI135" s="273">
        <v>0</v>
      </c>
      <c r="AJ135" s="273">
        <f>AI135/AH135%</f>
        <v>0</v>
      </c>
      <c r="AK135" s="9">
        <f t="shared" si="60"/>
        <v>516714.81481481477</v>
      </c>
      <c r="AL135" s="273">
        <f>57853+62740</f>
        <v>120593</v>
      </c>
      <c r="AM135" s="273">
        <f t="shared" si="65"/>
        <v>23.338405739966888</v>
      </c>
      <c r="AN135" s="9">
        <f t="shared" si="61"/>
        <v>0</v>
      </c>
      <c r="AO135" s="273"/>
      <c r="AP135" s="273" t="e">
        <f t="shared" si="62"/>
        <v>#DIV/0!</v>
      </c>
      <c r="AQ135" s="9"/>
      <c r="AR135" s="273"/>
      <c r="AS135" s="39"/>
    </row>
    <row r="136" spans="1:45" ht="12.75">
      <c r="A136" s="164">
        <v>44070</v>
      </c>
      <c r="B136" s="273">
        <f>SUMIFS('Egg Tally'!$G:$G,'Egg Tally'!$C:$C,"M",'Egg Tally'!$A:$A,'Egg Collections'!$A136)</f>
        <v>0</v>
      </c>
      <c r="C136" s="273"/>
      <c r="D136" s="273">
        <f>SUMIFS('Egg Tally'!$G:$G,'Egg Tally'!$C:$C,D$1,'Egg Tally'!$A:$A,'Egg Collections'!$A136)</f>
        <v>0</v>
      </c>
      <c r="E136" s="273">
        <f>SUMIFS('Egg Tally'!$G:$G,'Egg Tally'!$C:$C,E$1,'Egg Tally'!$A:$A,'Egg Collections'!$A136)</f>
        <v>0</v>
      </c>
      <c r="F136" s="273">
        <f>SUMIFS('Egg Tally'!$G:$G,'Egg Tally'!$C:$C,F$1,'Egg Tally'!$A:$A,'Egg Collections'!$A136)</f>
        <v>0</v>
      </c>
      <c r="G136" s="273">
        <f>SUMIFS('Egg Tally'!$G:$G,'Egg Tally'!$C:$C,G$1,'Egg Tally'!$A:$A,'Egg Collections'!$A136)</f>
        <v>0</v>
      </c>
      <c r="H136" s="273">
        <f>SUMIFS('Egg Tally'!$G:$G,'Egg Tally'!$C:$C,H$1,'Egg Tally'!$A:$A,'Egg Collections'!$A136)</f>
        <v>0</v>
      </c>
      <c r="I136" s="2">
        <f t="shared" si="69"/>
        <v>0</v>
      </c>
      <c r="J136" s="17"/>
      <c r="K136" s="10"/>
      <c r="L136" s="10"/>
      <c r="M136" s="10"/>
      <c r="N136" s="10"/>
      <c r="O136" s="10"/>
      <c r="P136" s="10"/>
      <c r="Q136" s="10"/>
      <c r="R136" s="2"/>
      <c r="S136" s="273"/>
      <c r="T136" s="273"/>
      <c r="U136" s="273"/>
      <c r="V136" s="9"/>
      <c r="W136" s="273"/>
      <c r="X136" s="273"/>
      <c r="Y136" s="9"/>
      <c r="Z136" s="273"/>
      <c r="AA136" s="273"/>
      <c r="AB136" s="9">
        <f t="shared" si="56"/>
        <v>0</v>
      </c>
      <c r="AC136" s="273"/>
      <c r="AD136" s="273" t="e">
        <f t="shared" si="57"/>
        <v>#DIV/0!</v>
      </c>
      <c r="AE136" s="9">
        <f t="shared" si="58"/>
        <v>0</v>
      </c>
      <c r="AF136" s="273"/>
      <c r="AG136" s="273" t="e">
        <f t="shared" si="63"/>
        <v>#DIV/0!</v>
      </c>
      <c r="AH136" s="9">
        <f t="shared" si="59"/>
        <v>0</v>
      </c>
      <c r="AI136" s="273"/>
      <c r="AJ136" s="273"/>
      <c r="AK136" s="9">
        <f t="shared" si="60"/>
        <v>0</v>
      </c>
      <c r="AL136" s="273"/>
      <c r="AM136" s="273"/>
      <c r="AN136" s="9">
        <f t="shared" si="61"/>
        <v>0</v>
      </c>
      <c r="AO136" s="273"/>
      <c r="AP136" s="273" t="e">
        <f t="shared" si="62"/>
        <v>#DIV/0!</v>
      </c>
      <c r="AQ136" s="9"/>
      <c r="AR136" s="273"/>
      <c r="AS136" s="39"/>
    </row>
    <row r="137" spans="1:45" ht="12.75">
      <c r="A137" s="164">
        <v>44071</v>
      </c>
      <c r="B137" s="273">
        <f>SUMIFS('Egg Tally'!$G:$G,'Egg Tally'!$C:$C,"M",'Egg Tally'!$A:$A,'Egg Collections'!$A137)</f>
        <v>0</v>
      </c>
      <c r="C137" s="273"/>
      <c r="D137" s="273">
        <f>SUMIFS('Egg Tally'!$G:$G,'Egg Tally'!$C:$C,D$1,'Egg Tally'!$A:$A,'Egg Collections'!$A137)</f>
        <v>0</v>
      </c>
      <c r="E137" s="273">
        <f>SUMIFS('Egg Tally'!$G:$G,'Egg Tally'!$C:$C,E$1,'Egg Tally'!$A:$A,'Egg Collections'!$A137)</f>
        <v>0</v>
      </c>
      <c r="F137" s="273">
        <f>SUMIFS('Egg Tally'!$G:$G,'Egg Tally'!$C:$C,F$1,'Egg Tally'!$A:$A,'Egg Collections'!$A137)</f>
        <v>7.015699999999998</v>
      </c>
      <c r="G137" s="273">
        <f>SUMIFS('Egg Tally'!$G:$G,'Egg Tally'!$C:$C,G$1,'Egg Tally'!$A:$A,'Egg Collections'!$A137)</f>
        <v>16.364999999999998</v>
      </c>
      <c r="H137" s="273">
        <f>SUMIFS('Egg Tally'!$G:$G,'Egg Tally'!$C:$C,H$1,'Egg Tally'!$A:$A,'Egg Collections'!$A137)</f>
        <v>0</v>
      </c>
      <c r="I137" s="2">
        <f t="shared" si="69"/>
        <v>23.380699999999997</v>
      </c>
      <c r="J137" s="17" t="s">
        <v>53</v>
      </c>
      <c r="K137" s="10"/>
      <c r="L137" s="10"/>
      <c r="M137" s="10"/>
      <c r="N137" s="10"/>
      <c r="O137" s="10"/>
      <c r="P137" s="10"/>
      <c r="Q137" s="10"/>
      <c r="R137" s="2"/>
      <c r="S137" s="273"/>
      <c r="T137" s="273"/>
      <c r="U137" s="273"/>
      <c r="V137" s="9"/>
      <c r="W137" s="273"/>
      <c r="X137" s="273"/>
      <c r="Y137" s="9"/>
      <c r="Z137" s="273"/>
      <c r="AA137" s="273"/>
      <c r="AB137" s="9">
        <f t="shared" si="56"/>
        <v>0</v>
      </c>
      <c r="AC137" s="273"/>
      <c r="AD137" s="273" t="e">
        <f t="shared" si="57"/>
        <v>#DIV/0!</v>
      </c>
      <c r="AE137" s="9">
        <f t="shared" si="58"/>
        <v>0</v>
      </c>
      <c r="AF137" s="273"/>
      <c r="AG137" s="273" t="e">
        <f t="shared" si="63"/>
        <v>#DIV/0!</v>
      </c>
      <c r="AH137" s="9">
        <f t="shared" si="59"/>
        <v>259840.74074074067</v>
      </c>
      <c r="AI137" s="273">
        <v>54812</v>
      </c>
      <c r="AJ137" s="273">
        <f>AI137/AH137%</f>
        <v>21.094459569251825</v>
      </c>
      <c r="AK137" s="9">
        <f t="shared" si="60"/>
        <v>606111.11111111112</v>
      </c>
      <c r="AL137" s="273">
        <f>52752+42374</f>
        <v>95126</v>
      </c>
      <c r="AM137" s="273">
        <f t="shared" si="65"/>
        <v>15.694482126489458</v>
      </c>
      <c r="AN137" s="9">
        <f t="shared" si="61"/>
        <v>0</v>
      </c>
      <c r="AO137" s="273"/>
      <c r="AP137" s="273" t="e">
        <f t="shared" si="62"/>
        <v>#DIV/0!</v>
      </c>
      <c r="AQ137" s="9"/>
      <c r="AR137" s="273"/>
      <c r="AS137" s="39"/>
    </row>
    <row r="138" spans="1:45" ht="12.75">
      <c r="A138" s="164">
        <v>44072</v>
      </c>
      <c r="B138" s="273">
        <f>SUMIFS('Egg Tally'!$G:$G,'Egg Tally'!$C:$C,"M",'Egg Tally'!$A:$A,'Egg Collections'!$A138)</f>
        <v>0</v>
      </c>
      <c r="C138" s="273"/>
      <c r="D138" s="273">
        <f>SUMIFS('Egg Tally'!$G:$G,'Egg Tally'!$C:$C,D$1,'Egg Tally'!$A:$A,'Egg Collections'!$A138)</f>
        <v>0</v>
      </c>
      <c r="E138" s="273">
        <f>SUMIFS('Egg Tally'!$G:$G,'Egg Tally'!$C:$C,E$1,'Egg Tally'!$A:$A,'Egg Collections'!$A138)</f>
        <v>0</v>
      </c>
      <c r="F138" s="273">
        <f>SUMIFS('Egg Tally'!$G:$G,'Egg Tally'!$C:$C,F$1,'Egg Tally'!$A:$A,'Egg Collections'!$A138)</f>
        <v>0</v>
      </c>
      <c r="G138" s="273">
        <f>SUMIFS('Egg Tally'!$G:$G,'Egg Tally'!$C:$C,G$1,'Egg Tally'!$A:$A,'Egg Collections'!$A138)</f>
        <v>0</v>
      </c>
      <c r="H138" s="273">
        <f>SUMIFS('Egg Tally'!$G:$G,'Egg Tally'!$C:$C,H$1,'Egg Tally'!$A:$A,'Egg Collections'!$A138)</f>
        <v>0</v>
      </c>
      <c r="I138" s="14">
        <f t="shared" ref="I138:I180" si="70">SUM(B138:H138)</f>
        <v>0</v>
      </c>
      <c r="J138" s="17"/>
      <c r="K138" s="10"/>
      <c r="L138" s="10"/>
      <c r="M138" s="10"/>
      <c r="N138" s="10"/>
      <c r="O138" s="10"/>
      <c r="P138" s="10"/>
      <c r="Q138" s="10"/>
      <c r="R138" s="2"/>
      <c r="S138" s="273"/>
      <c r="T138" s="273"/>
      <c r="U138" s="273"/>
      <c r="V138" s="9"/>
      <c r="W138" s="273"/>
      <c r="X138" s="273"/>
      <c r="Y138" s="9"/>
      <c r="Z138" s="273"/>
      <c r="AA138" s="273"/>
      <c r="AB138" s="9">
        <f t="shared" si="56"/>
        <v>0</v>
      </c>
      <c r="AC138" s="273"/>
      <c r="AD138" s="273" t="e">
        <f t="shared" si="57"/>
        <v>#DIV/0!</v>
      </c>
      <c r="AE138" s="9">
        <f t="shared" si="58"/>
        <v>0</v>
      </c>
      <c r="AF138" s="273"/>
      <c r="AG138" s="273" t="e">
        <f t="shared" si="63"/>
        <v>#DIV/0!</v>
      </c>
      <c r="AH138" s="9">
        <f t="shared" si="59"/>
        <v>0</v>
      </c>
      <c r="AI138" s="273"/>
      <c r="AJ138" s="273"/>
      <c r="AK138" s="9">
        <f t="shared" si="60"/>
        <v>0</v>
      </c>
      <c r="AL138" s="273"/>
      <c r="AM138" s="273"/>
      <c r="AN138" s="9">
        <f t="shared" si="61"/>
        <v>0</v>
      </c>
      <c r="AO138" s="273"/>
      <c r="AP138" s="273" t="e">
        <f t="shared" si="62"/>
        <v>#DIV/0!</v>
      </c>
      <c r="AQ138" s="9"/>
      <c r="AR138" s="273"/>
      <c r="AS138" s="39"/>
    </row>
    <row r="139" spans="1:45" ht="12.75">
      <c r="A139" s="164">
        <v>44073</v>
      </c>
      <c r="B139" s="273">
        <f>SUMIFS('Egg Tally'!$G:$G,'Egg Tally'!$C:$C,"M",'Egg Tally'!$A:$A,'Egg Collections'!$A139)</f>
        <v>0</v>
      </c>
      <c r="C139" s="273"/>
      <c r="D139" s="273">
        <f>SUMIFS('Egg Tally'!$G:$G,'Egg Tally'!$C:$C,D$1,'Egg Tally'!$A:$A,'Egg Collections'!$A139)</f>
        <v>0</v>
      </c>
      <c r="E139" s="273">
        <f>SUMIFS('Egg Tally'!$G:$G,'Egg Tally'!$C:$C,E$1,'Egg Tally'!$A:$A,'Egg Collections'!$A139)</f>
        <v>0</v>
      </c>
      <c r="F139" s="273">
        <f>SUMIFS('Egg Tally'!$G:$G,'Egg Tally'!$C:$C,F$1,'Egg Tally'!$A:$A,'Egg Collections'!$A139)</f>
        <v>0</v>
      </c>
      <c r="G139" s="273">
        <f>SUMIFS('Egg Tally'!$G:$G,'Egg Tally'!$C:$C,G$1,'Egg Tally'!$A:$A,'Egg Collections'!$A139)</f>
        <v>0</v>
      </c>
      <c r="H139" s="273">
        <f>SUMIFS('Egg Tally'!$G:$G,'Egg Tally'!$C:$C,H$1,'Egg Tally'!$A:$A,'Egg Collections'!$A139)</f>
        <v>0</v>
      </c>
      <c r="I139" s="14">
        <f t="shared" si="70"/>
        <v>0</v>
      </c>
      <c r="J139" s="17"/>
      <c r="K139" s="10"/>
      <c r="L139" s="10"/>
      <c r="M139" s="10"/>
      <c r="N139" s="10"/>
      <c r="O139" s="10"/>
      <c r="P139" s="10"/>
      <c r="Q139" s="10"/>
      <c r="R139" s="2"/>
      <c r="S139" s="273"/>
      <c r="T139" s="273"/>
      <c r="U139" s="273"/>
      <c r="V139" s="9"/>
      <c r="W139" s="273"/>
      <c r="X139" s="273"/>
      <c r="Y139" s="9"/>
      <c r="Z139" s="273"/>
      <c r="AA139" s="273"/>
      <c r="AB139" s="9">
        <f t="shared" si="56"/>
        <v>0</v>
      </c>
      <c r="AC139" s="273"/>
      <c r="AD139" s="273" t="e">
        <f t="shared" si="57"/>
        <v>#DIV/0!</v>
      </c>
      <c r="AE139" s="9">
        <f t="shared" si="58"/>
        <v>0</v>
      </c>
      <c r="AF139" s="273"/>
      <c r="AG139" s="273" t="e">
        <f t="shared" si="63"/>
        <v>#DIV/0!</v>
      </c>
      <c r="AH139" s="9">
        <f t="shared" si="59"/>
        <v>0</v>
      </c>
      <c r="AI139" s="273"/>
      <c r="AJ139" s="273"/>
      <c r="AK139" s="9">
        <f t="shared" si="60"/>
        <v>0</v>
      </c>
      <c r="AL139" s="273"/>
      <c r="AM139" s="273"/>
      <c r="AN139" s="9">
        <f t="shared" si="61"/>
        <v>0</v>
      </c>
      <c r="AO139" s="273"/>
      <c r="AP139" s="273" t="e">
        <f t="shared" si="62"/>
        <v>#DIV/0!</v>
      </c>
      <c r="AQ139" s="9"/>
      <c r="AR139" s="273"/>
      <c r="AS139" s="39"/>
    </row>
    <row r="140" spans="1:45" ht="12.75">
      <c r="A140" s="164">
        <v>44074</v>
      </c>
      <c r="B140" s="273">
        <f>SUMIFS('Egg Tally'!$G:$G,'Egg Tally'!$C:$C,"M",'Egg Tally'!$A:$A,'Egg Collections'!$A140)</f>
        <v>0</v>
      </c>
      <c r="C140" s="273"/>
      <c r="D140" s="273">
        <f>SUMIFS('Egg Tally'!$G:$G,'Egg Tally'!$C:$C,D$1,'Egg Tally'!$A:$A,'Egg Collections'!$A140)</f>
        <v>0</v>
      </c>
      <c r="E140" s="273">
        <f>SUMIFS('Egg Tally'!$G:$G,'Egg Tally'!$C:$C,E$1,'Egg Tally'!$A:$A,'Egg Collections'!$A140)</f>
        <v>0</v>
      </c>
      <c r="F140" s="273">
        <f>SUMIFS('Egg Tally'!$G:$G,'Egg Tally'!$C:$C,F$1,'Egg Tally'!$A:$A,'Egg Collections'!$A140)</f>
        <v>3.6674000000000007</v>
      </c>
      <c r="G140" s="273">
        <f>SUMIFS('Egg Tally'!$G:$G,'Egg Tally'!$C:$C,G$1,'Egg Tally'!$A:$A,'Egg Collections'!$A140)</f>
        <v>11.194100000000001</v>
      </c>
      <c r="H140" s="273">
        <f>SUMIFS('Egg Tally'!$G:$G,'Egg Tally'!$C:$C,H$1,'Egg Tally'!$A:$A,'Egg Collections'!$A140)</f>
        <v>0</v>
      </c>
      <c r="I140" s="14">
        <f t="shared" si="70"/>
        <v>14.861500000000001</v>
      </c>
      <c r="J140" s="17"/>
      <c r="K140" s="10"/>
      <c r="L140" s="10"/>
      <c r="M140" s="10"/>
      <c r="N140" s="10"/>
      <c r="O140" s="10"/>
      <c r="P140" s="10"/>
      <c r="Q140" s="10"/>
      <c r="R140" s="2"/>
      <c r="S140" s="273"/>
      <c r="T140" s="273"/>
      <c r="U140" s="273"/>
      <c r="V140" s="9"/>
      <c r="W140" s="273"/>
      <c r="X140" s="273"/>
      <c r="Y140" s="9"/>
      <c r="Z140" s="273"/>
      <c r="AA140" s="273"/>
      <c r="AB140" s="9">
        <f t="shared" si="56"/>
        <v>0</v>
      </c>
      <c r="AC140" s="273"/>
      <c r="AD140" s="273" t="e">
        <f t="shared" si="57"/>
        <v>#DIV/0!</v>
      </c>
      <c r="AE140" s="9">
        <f t="shared" si="58"/>
        <v>0</v>
      </c>
      <c r="AF140" s="273"/>
      <c r="AG140" s="273" t="e">
        <f t="shared" si="63"/>
        <v>#DIV/0!</v>
      </c>
      <c r="AH140" s="9">
        <f t="shared" si="59"/>
        <v>135829.62962962966</v>
      </c>
      <c r="AI140" s="273">
        <v>81722</v>
      </c>
      <c r="AJ140" s="273">
        <f>AI140/AH140%</f>
        <v>60.165076075693939</v>
      </c>
      <c r="AK140" s="9">
        <f t="shared" si="60"/>
        <v>414596.29629629635</v>
      </c>
      <c r="AL140" s="273">
        <v>34296</v>
      </c>
      <c r="AM140" s="273">
        <f t="shared" si="65"/>
        <v>8.2721433612349351</v>
      </c>
      <c r="AN140" s="9">
        <f t="shared" si="61"/>
        <v>0</v>
      </c>
      <c r="AO140" s="273"/>
      <c r="AP140" s="273" t="e">
        <f t="shared" si="62"/>
        <v>#DIV/0!</v>
      </c>
      <c r="AQ140" s="9"/>
      <c r="AR140" s="273"/>
      <c r="AS140" s="39"/>
    </row>
    <row r="141" spans="1:45" ht="12.75">
      <c r="A141" s="164">
        <v>44075</v>
      </c>
      <c r="B141" s="273">
        <f>SUMIFS('Egg Tally'!$G:$G,'Egg Tally'!$C:$C,"M",'Egg Tally'!$A:$A,'Egg Collections'!$A141)</f>
        <v>0</v>
      </c>
      <c r="C141" s="273"/>
      <c r="D141" s="273">
        <f>SUMIFS('Egg Tally'!$G:$G,'Egg Tally'!$C:$C,D$1,'Egg Tally'!$A:$A,'Egg Collections'!$A141)</f>
        <v>0</v>
      </c>
      <c r="E141" s="273">
        <f>SUMIFS('Egg Tally'!$G:$G,'Egg Tally'!$C:$C,E$1,'Egg Tally'!$A:$A,'Egg Collections'!$A141)</f>
        <v>0</v>
      </c>
      <c r="F141" s="273">
        <f>SUMIFS('Egg Tally'!$G:$G,'Egg Tally'!$C:$C,F$1,'Egg Tally'!$A:$A,'Egg Collections'!$A141)</f>
        <v>0</v>
      </c>
      <c r="G141" s="273">
        <f>SUMIFS('Egg Tally'!$G:$G,'Egg Tally'!$C:$C,G$1,'Egg Tally'!$A:$A,'Egg Collections'!$A141)</f>
        <v>0</v>
      </c>
      <c r="H141" s="273">
        <f>SUMIFS('Egg Tally'!$G:$G,'Egg Tally'!$C:$C,H$1,'Egg Tally'!$A:$A,'Egg Collections'!$A141)</f>
        <v>0</v>
      </c>
      <c r="I141" s="14">
        <f t="shared" si="70"/>
        <v>0</v>
      </c>
      <c r="J141" s="17"/>
      <c r="K141" s="10"/>
      <c r="L141" s="10"/>
      <c r="M141" s="10"/>
      <c r="N141" s="10"/>
      <c r="O141" s="10"/>
      <c r="P141" s="10"/>
      <c r="Q141" s="10"/>
      <c r="R141" s="2"/>
      <c r="S141" s="273"/>
      <c r="T141" s="273"/>
      <c r="U141" s="273"/>
      <c r="V141" s="9"/>
      <c r="W141" s="273"/>
      <c r="X141" s="273"/>
      <c r="Y141" s="9"/>
      <c r="Z141" s="273"/>
      <c r="AA141" s="273"/>
      <c r="AB141" s="9">
        <f t="shared" si="56"/>
        <v>0</v>
      </c>
      <c r="AC141" s="273"/>
      <c r="AD141" s="273" t="e">
        <f t="shared" si="57"/>
        <v>#DIV/0!</v>
      </c>
      <c r="AE141" s="9">
        <f t="shared" si="58"/>
        <v>0</v>
      </c>
      <c r="AF141" s="273"/>
      <c r="AG141" s="273" t="e">
        <f t="shared" si="63"/>
        <v>#DIV/0!</v>
      </c>
      <c r="AH141" s="9">
        <f t="shared" si="59"/>
        <v>0</v>
      </c>
      <c r="AI141" s="273"/>
      <c r="AJ141" s="273"/>
      <c r="AK141" s="9">
        <f t="shared" si="60"/>
        <v>0</v>
      </c>
      <c r="AL141" s="273"/>
      <c r="AM141" s="273"/>
      <c r="AN141" s="9">
        <f t="shared" si="61"/>
        <v>0</v>
      </c>
      <c r="AO141" s="273"/>
      <c r="AP141" s="273" t="e">
        <f t="shared" si="62"/>
        <v>#DIV/0!</v>
      </c>
      <c r="AQ141" s="9"/>
      <c r="AR141" s="273"/>
      <c r="AS141" s="39"/>
    </row>
    <row r="142" spans="1:45" ht="12.75">
      <c r="A142" s="164">
        <v>44076</v>
      </c>
      <c r="B142" s="273">
        <f>SUMIFS('Egg Tally'!$G:$G,'Egg Tally'!$C:$C,"M",'Egg Tally'!$A:$A,'Egg Collections'!$A142)</f>
        <v>1.5931000000000006</v>
      </c>
      <c r="C142" s="273"/>
      <c r="D142" s="273">
        <f>SUMIFS('Egg Tally'!$G:$G,'Egg Tally'!$C:$C,D$1,'Egg Tally'!$A:$A,'Egg Collections'!$A142)</f>
        <v>0</v>
      </c>
      <c r="E142" s="273">
        <f>SUMIFS('Egg Tally'!$G:$G,'Egg Tally'!$C:$C,E$1,'Egg Tally'!$A:$A,'Egg Collections'!$A142)</f>
        <v>0</v>
      </c>
      <c r="F142" s="273">
        <f>SUMIFS('Egg Tally'!$G:$G,'Egg Tally'!$C:$C,F$1,'Egg Tally'!$A:$A,'Egg Collections'!$A142)</f>
        <v>0.40009999999999923</v>
      </c>
      <c r="G142" s="273">
        <f>SUMIFS('Egg Tally'!$G:$G,'Egg Tally'!$C:$C,G$1,'Egg Tally'!$A:$A,'Egg Collections'!$A142)</f>
        <v>3.4205999999999985</v>
      </c>
      <c r="H142" s="273">
        <f>SUMIFS('Egg Tally'!$G:$G,'Egg Tally'!$C:$C,H$1,'Egg Tally'!$A:$A,'Egg Collections'!$A142)</f>
        <v>0</v>
      </c>
      <c r="I142" s="14">
        <f t="shared" si="70"/>
        <v>5.4137999999999984</v>
      </c>
      <c r="J142" s="17"/>
      <c r="K142" s="10"/>
      <c r="L142" s="10"/>
      <c r="M142" s="10"/>
      <c r="N142" s="10"/>
      <c r="O142" s="10"/>
      <c r="P142" s="10"/>
      <c r="Q142" s="10"/>
      <c r="R142" s="2"/>
      <c r="S142" s="273"/>
      <c r="T142" s="273"/>
      <c r="U142" s="273"/>
      <c r="V142" s="9"/>
      <c r="W142" s="273"/>
      <c r="X142" s="273"/>
      <c r="Y142" s="9"/>
      <c r="Z142" s="273"/>
      <c r="AA142" s="273"/>
      <c r="AB142" s="9">
        <f t="shared" si="56"/>
        <v>0</v>
      </c>
      <c r="AC142" s="273"/>
      <c r="AD142" s="273" t="e">
        <f t="shared" si="57"/>
        <v>#DIV/0!</v>
      </c>
      <c r="AE142" s="9">
        <f t="shared" si="58"/>
        <v>0</v>
      </c>
      <c r="AF142" s="273"/>
      <c r="AG142" s="273" t="e">
        <f t="shared" si="63"/>
        <v>#DIV/0!</v>
      </c>
      <c r="AH142" s="9">
        <f t="shared" si="59"/>
        <v>14818.518518518491</v>
      </c>
      <c r="AI142" s="273"/>
      <c r="AJ142" s="273">
        <f t="shared" ref="AJ142:AJ180" si="71">AI142/AH142%</f>
        <v>0</v>
      </c>
      <c r="AK142" s="9">
        <f t="shared" si="60"/>
        <v>126688.88888888883</v>
      </c>
      <c r="AL142" s="273"/>
      <c r="AM142" s="273">
        <f t="shared" si="65"/>
        <v>0</v>
      </c>
      <c r="AN142" s="9">
        <f t="shared" si="61"/>
        <v>0</v>
      </c>
      <c r="AO142" s="273"/>
      <c r="AP142" s="273" t="e">
        <f t="shared" si="62"/>
        <v>#DIV/0!</v>
      </c>
      <c r="AQ142" s="9"/>
      <c r="AR142" s="273"/>
      <c r="AS142" s="39"/>
    </row>
    <row r="143" spans="1:45" ht="12.75">
      <c r="A143" s="164">
        <v>44077</v>
      </c>
      <c r="B143" s="273">
        <f>SUMIFS('Egg Tally'!$G:$G,'Egg Tally'!$C:$C,"M",'Egg Tally'!$A:$A,'Egg Collections'!$A143)</f>
        <v>0</v>
      </c>
      <c r="C143" s="273"/>
      <c r="D143" s="273">
        <f>SUMIFS('Egg Tally'!$G:$G,'Egg Tally'!$C:$C,D$1,'Egg Tally'!$A:$A,'Egg Collections'!$A143)</f>
        <v>0</v>
      </c>
      <c r="E143" s="273">
        <f>SUMIFS('Egg Tally'!$G:$G,'Egg Tally'!$C:$C,E$1,'Egg Tally'!$A:$A,'Egg Collections'!$A143)</f>
        <v>0</v>
      </c>
      <c r="F143" s="273">
        <v>1.3</v>
      </c>
      <c r="G143" s="273">
        <f>SUMIFS('Egg Tally'!$G:$G,'Egg Tally'!$C:$C,G$1,'Egg Tally'!$A:$A,'Egg Collections'!$A143)</f>
        <v>0</v>
      </c>
      <c r="H143" s="273">
        <f>SUMIFS('Egg Tally'!$G:$G,'Egg Tally'!$C:$C,H$1,'Egg Tally'!$A:$A,'Egg Collections'!$A143)</f>
        <v>0</v>
      </c>
      <c r="I143" s="14">
        <f t="shared" si="70"/>
        <v>1.3</v>
      </c>
      <c r="J143" s="17"/>
      <c r="K143" s="10"/>
      <c r="L143" s="10"/>
      <c r="M143" s="10"/>
      <c r="N143" s="10"/>
      <c r="O143" s="10"/>
      <c r="P143" s="10"/>
      <c r="Q143" s="10"/>
      <c r="R143" s="2"/>
      <c r="S143" s="273"/>
      <c r="T143" s="273"/>
      <c r="U143" s="273"/>
      <c r="V143" s="9"/>
      <c r="W143" s="273"/>
      <c r="X143" s="273"/>
      <c r="Y143" s="9"/>
      <c r="Z143" s="273"/>
      <c r="AA143" s="273"/>
      <c r="AB143" s="9">
        <f t="shared" si="56"/>
        <v>0</v>
      </c>
      <c r="AC143" s="273"/>
      <c r="AD143" s="273" t="e">
        <f t="shared" si="57"/>
        <v>#DIV/0!</v>
      </c>
      <c r="AE143" s="9">
        <f t="shared" si="58"/>
        <v>0</v>
      </c>
      <c r="AF143" s="273"/>
      <c r="AG143" s="273" t="e">
        <f t="shared" si="63"/>
        <v>#DIV/0!</v>
      </c>
      <c r="AH143" s="9">
        <f t="shared" si="59"/>
        <v>48148.148148148153</v>
      </c>
      <c r="AI143" s="273">
        <v>36689</v>
      </c>
      <c r="AJ143" s="273">
        <f t="shared" si="71"/>
        <v>76.200230769230757</v>
      </c>
      <c r="AK143" s="9">
        <f t="shared" si="60"/>
        <v>0</v>
      </c>
      <c r="AL143" s="273"/>
      <c r="AM143" s="273"/>
      <c r="AN143" s="9">
        <f t="shared" si="61"/>
        <v>0</v>
      </c>
      <c r="AO143" s="273"/>
      <c r="AP143" s="273" t="e">
        <f t="shared" si="62"/>
        <v>#DIV/0!</v>
      </c>
      <c r="AQ143" s="9"/>
      <c r="AR143" s="273"/>
      <c r="AS143" s="39"/>
    </row>
    <row r="144" spans="1:45" ht="12.75">
      <c r="A144" s="164">
        <v>44078</v>
      </c>
      <c r="B144" s="273">
        <f>SUMIFS('Egg Tally'!$G:$G,'Egg Tally'!$C:$C,"M",'Egg Tally'!$A:$A,'Egg Collections'!$A144)</f>
        <v>0</v>
      </c>
      <c r="C144" s="273"/>
      <c r="D144" s="273">
        <f>SUMIFS('Egg Tally'!$G:$G,'Egg Tally'!$C:$C,D$1,'Egg Tally'!$A:$A,'Egg Collections'!$A144)</f>
        <v>0</v>
      </c>
      <c r="E144" s="273">
        <f>SUMIFS('Egg Tally'!$G:$G,'Egg Tally'!$C:$C,E$1,'Egg Tally'!$A:$A,'Egg Collections'!$A144)</f>
        <v>0</v>
      </c>
      <c r="F144" s="273">
        <f>SUMIFS('Egg Tally'!$G:$G,'Egg Tally'!$C:$C,F$1,'Egg Tally'!$A:$A,'Egg Collections'!$A144)</f>
        <v>5.0883000000000003</v>
      </c>
      <c r="G144" s="273">
        <f>SUMIFS('Egg Tally'!$G:$G,'Egg Tally'!$C:$C,G$1,'Egg Tally'!$A:$A,'Egg Collections'!$A144)</f>
        <v>2.6813600000000006</v>
      </c>
      <c r="H144" s="273">
        <f>SUMIFS('Egg Tally'!$G:$G,'Egg Tally'!$C:$C,H$1,'Egg Tally'!$A:$A,'Egg Collections'!$A144)</f>
        <v>0</v>
      </c>
      <c r="I144" s="14">
        <f t="shared" si="70"/>
        <v>7.7696600000000009</v>
      </c>
      <c r="J144" s="17"/>
      <c r="K144" s="10"/>
      <c r="L144" s="10"/>
      <c r="M144" s="10"/>
      <c r="N144" s="10"/>
      <c r="O144" s="10"/>
      <c r="P144" s="10"/>
      <c r="Q144" s="10"/>
      <c r="R144" s="2"/>
      <c r="S144" s="273"/>
      <c r="T144" s="273"/>
      <c r="U144" s="273"/>
      <c r="V144" s="9"/>
      <c r="W144" s="273"/>
      <c r="X144" s="273"/>
      <c r="Y144" s="9"/>
      <c r="Z144" s="273"/>
      <c r="AA144" s="273"/>
      <c r="AB144" s="9">
        <f t="shared" si="56"/>
        <v>0</v>
      </c>
      <c r="AC144" s="273"/>
      <c r="AD144" s="273" t="e">
        <f t="shared" si="57"/>
        <v>#DIV/0!</v>
      </c>
      <c r="AE144" s="9">
        <f t="shared" si="58"/>
        <v>0</v>
      </c>
      <c r="AF144" s="273"/>
      <c r="AG144" s="273" t="e">
        <f t="shared" si="63"/>
        <v>#DIV/0!</v>
      </c>
      <c r="AH144" s="9">
        <f t="shared" si="59"/>
        <v>188455.55555555556</v>
      </c>
      <c r="AI144" s="273"/>
      <c r="AJ144" s="273">
        <f t="shared" si="71"/>
        <v>0</v>
      </c>
      <c r="AK144" s="9">
        <f t="shared" si="60"/>
        <v>99309.62962962965</v>
      </c>
      <c r="AL144" s="273">
        <v>81546</v>
      </c>
      <c r="AM144" s="273">
        <f t="shared" si="65"/>
        <v>82.112883014589599</v>
      </c>
      <c r="AN144" s="9">
        <f t="shared" si="61"/>
        <v>0</v>
      </c>
      <c r="AO144" s="273"/>
      <c r="AP144" s="273" t="e">
        <f t="shared" si="62"/>
        <v>#DIV/0!</v>
      </c>
      <c r="AQ144" s="9"/>
      <c r="AR144" s="273"/>
      <c r="AS144" s="39"/>
    </row>
    <row r="145" spans="1:45" ht="12.75">
      <c r="A145" s="163">
        <v>44079</v>
      </c>
      <c r="B145" s="273">
        <f>SUMIFS('Egg Tally'!$G:$G,'Egg Tally'!$C:$C,"M",'Egg Tally'!$A:$A,'Egg Collections'!$A145)</f>
        <v>0</v>
      </c>
      <c r="C145" s="273"/>
      <c r="D145" s="273">
        <f>SUMIFS('Egg Tally'!$G:$G,'Egg Tally'!$C:$C,D$1,'Egg Tally'!$A:$A,'Egg Collections'!$A145)</f>
        <v>0</v>
      </c>
      <c r="E145" s="273">
        <f>SUMIFS('Egg Tally'!$G:$G,'Egg Tally'!$C:$C,E$1,'Egg Tally'!$A:$A,'Egg Collections'!$A145)</f>
        <v>0</v>
      </c>
      <c r="F145" s="273">
        <f>SUMIFS('Egg Tally'!$G:$G,'Egg Tally'!$C:$C,F$1,'Egg Tally'!$A:$A,'Egg Collections'!$A145)</f>
        <v>0</v>
      </c>
      <c r="G145" s="273">
        <f>SUMIFS('Egg Tally'!$G:$G,'Egg Tally'!$C:$C,G$1,'Egg Tally'!$A:$A,'Egg Collections'!$A145)</f>
        <v>0</v>
      </c>
      <c r="H145" s="273">
        <f>SUMIFS('Egg Tally'!$G:$G,'Egg Tally'!$C:$C,H$1,'Egg Tally'!$A:$A,'Egg Collections'!$A145)</f>
        <v>0</v>
      </c>
      <c r="I145" s="14">
        <f t="shared" si="70"/>
        <v>0</v>
      </c>
      <c r="J145" s="17"/>
      <c r="K145" s="10"/>
      <c r="L145" s="10"/>
      <c r="M145" s="10"/>
      <c r="N145" s="10"/>
      <c r="O145" s="10"/>
      <c r="P145" s="10"/>
      <c r="Q145" s="10"/>
      <c r="R145" s="2"/>
      <c r="S145" s="273"/>
      <c r="T145" s="273"/>
      <c r="U145" s="273"/>
      <c r="V145" s="9"/>
      <c r="W145" s="273"/>
      <c r="X145" s="273"/>
      <c r="Y145" s="9"/>
      <c r="Z145" s="273"/>
      <c r="AA145" s="273"/>
      <c r="AB145" s="9">
        <f t="shared" si="56"/>
        <v>0</v>
      </c>
      <c r="AC145" s="273"/>
      <c r="AD145" s="273" t="e">
        <f t="shared" si="57"/>
        <v>#DIV/0!</v>
      </c>
      <c r="AE145" s="9">
        <f t="shared" si="58"/>
        <v>0</v>
      </c>
      <c r="AF145" s="273"/>
      <c r="AG145" s="273" t="e">
        <f t="shared" si="63"/>
        <v>#DIV/0!</v>
      </c>
      <c r="AH145" s="9">
        <f t="shared" si="59"/>
        <v>0</v>
      </c>
      <c r="AI145" s="273"/>
      <c r="AJ145" s="273" t="e">
        <f t="shared" si="71"/>
        <v>#DIV/0!</v>
      </c>
      <c r="AK145" s="9">
        <f t="shared" si="60"/>
        <v>0</v>
      </c>
      <c r="AL145" s="273"/>
      <c r="AM145" s="273" t="e">
        <f t="shared" si="65"/>
        <v>#DIV/0!</v>
      </c>
      <c r="AN145" s="9">
        <f t="shared" si="61"/>
        <v>0</v>
      </c>
      <c r="AO145" s="273"/>
      <c r="AP145" s="273" t="e">
        <f t="shared" si="62"/>
        <v>#DIV/0!</v>
      </c>
      <c r="AQ145" s="9"/>
      <c r="AR145" s="273"/>
      <c r="AS145" s="39"/>
    </row>
    <row r="146" spans="1:45" ht="12.75">
      <c r="A146" s="163">
        <v>44080</v>
      </c>
      <c r="B146" s="273">
        <f>SUMIFS('Egg Tally'!$G:$G,'Egg Tally'!$C:$C,"M",'Egg Tally'!$A:$A,'Egg Collections'!$A146)</f>
        <v>0</v>
      </c>
      <c r="C146" s="273"/>
      <c r="D146" s="273">
        <f>SUMIFS('Egg Tally'!$G:$G,'Egg Tally'!$C:$C,D$1,'Egg Tally'!$A:$A,'Egg Collections'!$A146)</f>
        <v>0</v>
      </c>
      <c r="E146" s="273">
        <f>SUMIFS('Egg Tally'!$G:$G,'Egg Tally'!$C:$C,E$1,'Egg Tally'!$A:$A,'Egg Collections'!$A146)</f>
        <v>0</v>
      </c>
      <c r="F146" s="273">
        <f>SUMIFS('Egg Tally'!$G:$G,'Egg Tally'!$C:$C,F$1,'Egg Tally'!$A:$A,'Egg Collections'!$A146)</f>
        <v>0</v>
      </c>
      <c r="G146" s="273">
        <f>SUMIFS('Egg Tally'!$G:$G,'Egg Tally'!$C:$C,G$1,'Egg Tally'!$A:$A,'Egg Collections'!$A146)</f>
        <v>0</v>
      </c>
      <c r="H146" s="273">
        <f>SUMIFS('Egg Tally'!$G:$G,'Egg Tally'!$C:$C,H$1,'Egg Tally'!$A:$A,'Egg Collections'!$A146)</f>
        <v>0</v>
      </c>
      <c r="I146" s="2">
        <f t="shared" si="70"/>
        <v>0</v>
      </c>
      <c r="J146" s="17"/>
      <c r="K146" s="10"/>
      <c r="L146" s="10"/>
      <c r="M146" s="10"/>
      <c r="N146" s="10"/>
      <c r="O146" s="10"/>
      <c r="P146" s="10"/>
      <c r="Q146" s="10"/>
      <c r="R146" s="2"/>
      <c r="S146" s="273"/>
      <c r="T146" s="273"/>
      <c r="U146" s="273"/>
      <c r="V146" s="9"/>
      <c r="W146" s="273"/>
      <c r="X146" s="273"/>
      <c r="Y146" s="9"/>
      <c r="Z146" s="273"/>
      <c r="AA146" s="273"/>
      <c r="AB146" s="9">
        <f t="shared" si="56"/>
        <v>0</v>
      </c>
      <c r="AC146" s="273"/>
      <c r="AD146" s="273" t="e">
        <f t="shared" si="57"/>
        <v>#DIV/0!</v>
      </c>
      <c r="AE146" s="9">
        <f t="shared" si="58"/>
        <v>0</v>
      </c>
      <c r="AF146" s="273"/>
      <c r="AG146" s="273" t="e">
        <f t="shared" si="63"/>
        <v>#DIV/0!</v>
      </c>
      <c r="AH146" s="9">
        <f t="shared" si="59"/>
        <v>0</v>
      </c>
      <c r="AI146" s="273"/>
      <c r="AJ146" s="273" t="e">
        <f t="shared" si="71"/>
        <v>#DIV/0!</v>
      </c>
      <c r="AK146" s="9">
        <f t="shared" si="60"/>
        <v>0</v>
      </c>
      <c r="AL146" s="273"/>
      <c r="AM146" s="273" t="e">
        <f t="shared" si="65"/>
        <v>#DIV/0!</v>
      </c>
      <c r="AN146" s="9">
        <f t="shared" si="61"/>
        <v>0</v>
      </c>
      <c r="AO146" s="273"/>
      <c r="AP146" s="273" t="e">
        <f t="shared" si="62"/>
        <v>#DIV/0!</v>
      </c>
      <c r="AQ146" s="9"/>
      <c r="AR146" s="273"/>
      <c r="AS146" s="39"/>
    </row>
    <row r="147" spans="1:45" ht="12.75">
      <c r="A147" s="163">
        <v>44081</v>
      </c>
      <c r="B147" s="273">
        <f>SUMIFS('Egg Tally'!$G:$G,'Egg Tally'!$C:$C,"M",'Egg Tally'!$A:$A,'Egg Collections'!$A147)</f>
        <v>0</v>
      </c>
      <c r="C147" s="273"/>
      <c r="D147" s="273">
        <f>SUMIFS('Egg Tally'!$G:$G,'Egg Tally'!$C:$C,D$1,'Egg Tally'!$A:$A,'Egg Collections'!$A147)</f>
        <v>0</v>
      </c>
      <c r="E147" s="273">
        <f>SUMIFS('Egg Tally'!$G:$G,'Egg Tally'!$C:$C,E$1,'Egg Tally'!$A:$A,'Egg Collections'!$A147)</f>
        <v>0</v>
      </c>
      <c r="F147" s="273">
        <f>SUMIFS('Egg Tally'!$G:$G,'Egg Tally'!$C:$C,F$1,'Egg Tally'!$A:$A,'Egg Collections'!$A147)</f>
        <v>4.1145000000000005</v>
      </c>
      <c r="G147" s="273">
        <f>SUMIFS('Egg Tally'!$G:$G,'Egg Tally'!$C:$C,G$1,'Egg Tally'!$A:$A,'Egg Collections'!$A147)</f>
        <v>1.987899999999998</v>
      </c>
      <c r="H147" s="273">
        <f>SUMIFS('Egg Tally'!$G:$G,'Egg Tally'!$C:$C,H$1,'Egg Tally'!$A:$A,'Egg Collections'!$A147)</f>
        <v>0</v>
      </c>
      <c r="I147" s="2">
        <f t="shared" si="70"/>
        <v>6.1023999999999985</v>
      </c>
      <c r="J147" s="17"/>
      <c r="K147" s="10"/>
      <c r="L147" s="10"/>
      <c r="M147" s="10"/>
      <c r="N147" s="10"/>
      <c r="O147" s="10"/>
      <c r="P147" s="10"/>
      <c r="Q147" s="10"/>
      <c r="R147" s="2"/>
      <c r="S147" s="273"/>
      <c r="T147" s="273"/>
      <c r="U147" s="273"/>
      <c r="V147" s="9"/>
      <c r="W147" s="273"/>
      <c r="X147" s="273"/>
      <c r="Y147" s="9"/>
      <c r="Z147" s="273"/>
      <c r="AA147" s="273"/>
      <c r="AB147" s="9">
        <f t="shared" si="56"/>
        <v>0</v>
      </c>
      <c r="AC147" s="273"/>
      <c r="AD147" s="273" t="e">
        <f t="shared" si="57"/>
        <v>#DIV/0!</v>
      </c>
      <c r="AE147" s="9">
        <f t="shared" si="58"/>
        <v>0</v>
      </c>
      <c r="AF147" s="273"/>
      <c r="AG147" s="273" t="e">
        <f t="shared" si="63"/>
        <v>#DIV/0!</v>
      </c>
      <c r="AH147" s="9">
        <f t="shared" si="59"/>
        <v>152388.88888888891</v>
      </c>
      <c r="AI147" s="273"/>
      <c r="AJ147" s="273">
        <f t="shared" si="71"/>
        <v>0</v>
      </c>
      <c r="AK147" s="9">
        <f t="shared" si="60"/>
        <v>73625.925925925854</v>
      </c>
      <c r="AL147" s="273"/>
      <c r="AM147" s="273">
        <f t="shared" si="65"/>
        <v>0</v>
      </c>
      <c r="AN147" s="9">
        <f t="shared" si="61"/>
        <v>0</v>
      </c>
      <c r="AO147" s="273"/>
      <c r="AP147" s="273" t="e">
        <f t="shared" si="62"/>
        <v>#DIV/0!</v>
      </c>
      <c r="AQ147" s="9"/>
      <c r="AR147" s="273"/>
      <c r="AS147" s="39"/>
    </row>
    <row r="148" spans="1:45" ht="12.75">
      <c r="A148" s="163">
        <v>44082</v>
      </c>
      <c r="B148" s="273">
        <f>SUMIFS('Egg Tally'!$G:$G,'Egg Tally'!$C:$C,"M",'Egg Tally'!$A:$A,'Egg Collections'!$A148)</f>
        <v>0</v>
      </c>
      <c r="C148" s="273"/>
      <c r="D148" s="273">
        <f>SUMIFS('Egg Tally'!$G:$G,'Egg Tally'!$C:$C,D$1,'Egg Tally'!$A:$A,'Egg Collections'!$A148)</f>
        <v>0</v>
      </c>
      <c r="E148" s="273">
        <f>SUMIFS('Egg Tally'!$G:$G,'Egg Tally'!$C:$C,E$1,'Egg Tally'!$A:$A,'Egg Collections'!$A148)</f>
        <v>0</v>
      </c>
      <c r="F148" s="273">
        <f>SUMIFS('Egg Tally'!$G:$G,'Egg Tally'!$C:$C,F$1,'Egg Tally'!$A:$A,'Egg Collections'!$A148)</f>
        <v>0</v>
      </c>
      <c r="G148" s="273">
        <f>SUMIFS('Egg Tally'!$G:$G,'Egg Tally'!$C:$C,G$1,'Egg Tally'!$A:$A,'Egg Collections'!$A148)</f>
        <v>0</v>
      </c>
      <c r="H148" s="273">
        <f>SUMIFS('Egg Tally'!$G:$G,'Egg Tally'!$C:$C,H$1,'Egg Tally'!$A:$A,'Egg Collections'!$A148)</f>
        <v>0</v>
      </c>
      <c r="I148" s="2">
        <f t="shared" si="70"/>
        <v>0</v>
      </c>
      <c r="J148" s="17"/>
      <c r="K148" s="10"/>
      <c r="L148" s="10"/>
      <c r="M148" s="10"/>
      <c r="N148" s="10"/>
      <c r="O148" s="10"/>
      <c r="P148" s="10"/>
      <c r="Q148" s="10"/>
      <c r="R148" s="2"/>
      <c r="S148" s="273"/>
      <c r="T148" s="273"/>
      <c r="U148" s="273"/>
      <c r="V148" s="9"/>
      <c r="W148" s="273"/>
      <c r="X148" s="273"/>
      <c r="Y148" s="9"/>
      <c r="Z148" s="273"/>
      <c r="AA148" s="273"/>
      <c r="AB148" s="9">
        <f t="shared" si="56"/>
        <v>0</v>
      </c>
      <c r="AC148" s="273"/>
      <c r="AD148" s="273" t="e">
        <f t="shared" si="57"/>
        <v>#DIV/0!</v>
      </c>
      <c r="AE148" s="9">
        <f t="shared" si="58"/>
        <v>0</v>
      </c>
      <c r="AF148" s="273"/>
      <c r="AG148" s="273" t="e">
        <f t="shared" si="63"/>
        <v>#DIV/0!</v>
      </c>
      <c r="AH148" s="9">
        <f t="shared" si="59"/>
        <v>0</v>
      </c>
      <c r="AI148" s="273"/>
      <c r="AJ148" s="273" t="e">
        <f t="shared" si="71"/>
        <v>#DIV/0!</v>
      </c>
      <c r="AK148" s="9">
        <f t="shared" si="60"/>
        <v>0</v>
      </c>
      <c r="AL148" s="273"/>
      <c r="AM148" s="273" t="e">
        <f t="shared" si="65"/>
        <v>#DIV/0!</v>
      </c>
      <c r="AN148" s="9">
        <f t="shared" si="61"/>
        <v>0</v>
      </c>
      <c r="AO148" s="273"/>
      <c r="AP148" s="273" t="e">
        <f t="shared" si="62"/>
        <v>#DIV/0!</v>
      </c>
      <c r="AQ148" s="9"/>
      <c r="AR148" s="273"/>
      <c r="AS148" s="39"/>
    </row>
    <row r="149" spans="1:45" ht="12.75">
      <c r="A149" s="163">
        <v>44083</v>
      </c>
      <c r="B149" s="273">
        <f>SUMIFS('Egg Tally'!$G:$G,'Egg Tally'!$C:$C,"M",'Egg Tally'!$A:$A,'Egg Collections'!$A149)</f>
        <v>0</v>
      </c>
      <c r="C149" s="273"/>
      <c r="D149" s="273">
        <f>SUMIFS('Egg Tally'!$G:$G,'Egg Tally'!$C:$C,D$1,'Egg Tally'!$A:$A,'Egg Collections'!$A149)</f>
        <v>6.4700000000000202E-2</v>
      </c>
      <c r="E149" s="273">
        <f>SUMIFS('Egg Tally'!$G:$G,'Egg Tally'!$C:$C,E$1,'Egg Tally'!$A:$A,'Egg Collections'!$A149)</f>
        <v>0.95650000000000013</v>
      </c>
      <c r="F149" s="273">
        <f>SUMIFS('Egg Tally'!$G:$G,'Egg Tally'!$C:$C,F$1,'Egg Tally'!$A:$A,'Egg Collections'!$A149)</f>
        <v>6.453400000000002</v>
      </c>
      <c r="G149" s="273">
        <f>SUMIFS('Egg Tally'!$G:$G,'Egg Tally'!$C:$C,G$1,'Egg Tally'!$A:$A,'Egg Collections'!$A149)</f>
        <v>4.5592999999999995</v>
      </c>
      <c r="H149" s="273">
        <f>SUMIFS('Egg Tally'!$G:$G,'Egg Tally'!$C:$C,H$1,'Egg Tally'!$A:$A,'Egg Collections'!$A149)</f>
        <v>0</v>
      </c>
      <c r="I149" s="2">
        <f t="shared" si="70"/>
        <v>12.033900000000003</v>
      </c>
      <c r="J149" s="17"/>
      <c r="K149" s="10"/>
      <c r="L149" s="10"/>
      <c r="M149" s="10"/>
      <c r="N149" s="10"/>
      <c r="O149" s="10"/>
      <c r="P149" s="10"/>
      <c r="Q149" s="10"/>
      <c r="R149" s="2"/>
      <c r="S149" s="273"/>
      <c r="T149" s="273"/>
      <c r="U149" s="273"/>
      <c r="V149" s="9"/>
      <c r="W149" s="273"/>
      <c r="X149" s="273"/>
      <c r="Y149" s="9"/>
      <c r="Z149" s="273"/>
      <c r="AA149" s="273"/>
      <c r="AB149" s="9">
        <f t="shared" si="56"/>
        <v>2396.2962962963038</v>
      </c>
      <c r="AC149" s="273"/>
      <c r="AD149" s="273" t="s">
        <v>54</v>
      </c>
      <c r="AE149" s="9">
        <f t="shared" si="58"/>
        <v>35425.925925925934</v>
      </c>
      <c r="AF149" s="273">
        <v>33983</v>
      </c>
      <c r="AG149" s="273">
        <f t="shared" si="63"/>
        <v>95.926921066387848</v>
      </c>
      <c r="AH149" s="9">
        <f t="shared" si="59"/>
        <v>239014.81481481489</v>
      </c>
      <c r="AI149" s="273">
        <v>28434</v>
      </c>
      <c r="AJ149" s="273">
        <f t="shared" si="71"/>
        <v>11.896333715560786</v>
      </c>
      <c r="AK149" s="9">
        <f t="shared" si="60"/>
        <v>168862.96296296295</v>
      </c>
      <c r="AL149" s="273">
        <v>103286</v>
      </c>
      <c r="AM149" s="273">
        <f t="shared" si="65"/>
        <v>61.16557366262365</v>
      </c>
      <c r="AN149" s="9">
        <f t="shared" si="61"/>
        <v>0</v>
      </c>
      <c r="AO149" s="273"/>
      <c r="AP149" s="273" t="e">
        <f t="shared" si="62"/>
        <v>#DIV/0!</v>
      </c>
      <c r="AQ149" s="9"/>
      <c r="AR149" s="273"/>
      <c r="AS149" s="39"/>
    </row>
    <row r="150" spans="1:45" ht="12.75">
      <c r="A150" s="163">
        <v>44084</v>
      </c>
      <c r="B150" s="273">
        <f>SUMIFS('Egg Tally'!$G:$G,'Egg Tally'!$C:$C,"M",'Egg Tally'!$A:$A,'Egg Collections'!$A150)</f>
        <v>0</v>
      </c>
      <c r="C150" s="273"/>
      <c r="D150" s="273">
        <f>SUMIFS('Egg Tally'!$G:$G,'Egg Tally'!$C:$C,D$1,'Egg Tally'!$A:$A,'Egg Collections'!$A150)</f>
        <v>0</v>
      </c>
      <c r="E150" s="273">
        <f>SUMIFS('Egg Tally'!$G:$G,'Egg Tally'!$C:$C,E$1,'Egg Tally'!$A:$A,'Egg Collections'!$A150)</f>
        <v>0</v>
      </c>
      <c r="F150" s="273">
        <f>SUMIFS('Egg Tally'!$G:$G,'Egg Tally'!$C:$C,F$1,'Egg Tally'!$A:$A,'Egg Collections'!$A150)</f>
        <v>0</v>
      </c>
      <c r="G150" s="273">
        <f>SUMIFS('Egg Tally'!$G:$G,'Egg Tally'!$C:$C,G$1,'Egg Tally'!$A:$A,'Egg Collections'!$A150)</f>
        <v>0</v>
      </c>
      <c r="H150" s="273">
        <f>SUMIFS('Egg Tally'!$G:$G,'Egg Tally'!$C:$C,H$1,'Egg Tally'!$A:$A,'Egg Collections'!$A150)</f>
        <v>0</v>
      </c>
      <c r="I150" s="2">
        <f t="shared" si="70"/>
        <v>0</v>
      </c>
      <c r="J150" s="17"/>
      <c r="K150" s="10"/>
      <c r="L150" s="10"/>
      <c r="M150" s="10"/>
      <c r="N150" s="10"/>
      <c r="O150" s="10"/>
      <c r="P150" s="10"/>
      <c r="Q150" s="10"/>
      <c r="R150" s="2"/>
      <c r="S150" s="273"/>
      <c r="T150" s="273"/>
      <c r="U150" s="273"/>
      <c r="V150" s="9"/>
      <c r="W150" s="273"/>
      <c r="X150" s="273"/>
      <c r="Y150" s="9"/>
      <c r="Z150" s="273"/>
      <c r="AA150" s="273"/>
      <c r="AB150" s="9">
        <f t="shared" si="56"/>
        <v>0</v>
      </c>
      <c r="AC150" s="273"/>
      <c r="AD150" s="273" t="e">
        <f t="shared" si="57"/>
        <v>#DIV/0!</v>
      </c>
      <c r="AE150" s="9">
        <f t="shared" si="58"/>
        <v>0</v>
      </c>
      <c r="AF150" s="273"/>
      <c r="AG150" s="273" t="e">
        <f t="shared" si="63"/>
        <v>#DIV/0!</v>
      </c>
      <c r="AH150" s="9">
        <f t="shared" si="59"/>
        <v>0</v>
      </c>
      <c r="AI150" s="273"/>
      <c r="AJ150" s="273" t="e">
        <f t="shared" si="71"/>
        <v>#DIV/0!</v>
      </c>
      <c r="AK150" s="9">
        <f t="shared" si="60"/>
        <v>0</v>
      </c>
      <c r="AL150" s="273"/>
      <c r="AM150" s="273" t="e">
        <f t="shared" si="65"/>
        <v>#DIV/0!</v>
      </c>
      <c r="AN150" s="9">
        <f t="shared" si="61"/>
        <v>0</v>
      </c>
      <c r="AO150" s="273"/>
      <c r="AP150" s="273" t="e">
        <f t="shared" si="62"/>
        <v>#DIV/0!</v>
      </c>
      <c r="AQ150" s="9"/>
      <c r="AR150" s="273"/>
      <c r="AS150" s="39"/>
    </row>
    <row r="151" spans="1:45" ht="12.75">
      <c r="A151" s="163">
        <v>44085</v>
      </c>
      <c r="B151" s="273">
        <f>SUMIFS('Egg Tally'!$G:$G,'Egg Tally'!$C:$C,"M",'Egg Tally'!$A:$A,'Egg Collections'!$A151)</f>
        <v>0</v>
      </c>
      <c r="C151" s="273"/>
      <c r="D151" s="273">
        <f>SUMIFS('Egg Tally'!$G:$G,'Egg Tally'!$C:$C,D$1,'Egg Tally'!$A:$A,'Egg Collections'!$A151)</f>
        <v>3.8569999999999984</v>
      </c>
      <c r="E151" s="273">
        <f>SUMIFS('Egg Tally'!$G:$G,'Egg Tally'!$C:$C,E$1,'Egg Tally'!$A:$A,'Egg Collections'!$A151)</f>
        <v>0.49370000000000047</v>
      </c>
      <c r="F151" s="273">
        <f>SUMIFS('Egg Tally'!$G:$G,'Egg Tally'!$C:$C,F$1,'Egg Tally'!$A:$A,'Egg Collections'!$A151)</f>
        <v>4.9183000000000003</v>
      </c>
      <c r="G151" s="273">
        <f>SUMIFS('Egg Tally'!$G:$G,'Egg Tally'!$C:$C,G$1,'Egg Tally'!$A:$A,'Egg Collections'!$A151)</f>
        <v>3.5127000000000015</v>
      </c>
      <c r="H151" s="273">
        <f>SUMIFS('Egg Tally'!$G:$G,'Egg Tally'!$C:$C,H$1,'Egg Tally'!$A:$A,'Egg Collections'!$A151)</f>
        <v>1.3730000000000002</v>
      </c>
      <c r="I151" s="2">
        <f t="shared" si="70"/>
        <v>14.154700000000002</v>
      </c>
      <c r="J151" s="17"/>
      <c r="K151" s="10"/>
      <c r="L151" s="10"/>
      <c r="M151" s="10"/>
      <c r="N151" s="10"/>
      <c r="O151" s="10"/>
      <c r="P151" s="10"/>
      <c r="Q151" s="10"/>
      <c r="R151" s="2"/>
      <c r="S151" s="273"/>
      <c r="T151" s="273"/>
      <c r="U151" s="273"/>
      <c r="V151" s="9"/>
      <c r="W151" s="273"/>
      <c r="X151" s="273"/>
      <c r="Y151" s="9"/>
      <c r="Z151" s="273"/>
      <c r="AA151" s="273"/>
      <c r="AB151" s="9">
        <f t="shared" si="56"/>
        <v>142851.8518518518</v>
      </c>
      <c r="AC151" s="273">
        <v>69417</v>
      </c>
      <c r="AD151" s="273">
        <f t="shared" si="57"/>
        <v>48.593699766658041</v>
      </c>
      <c r="AE151" s="9">
        <f t="shared" si="58"/>
        <v>18285.185185185204</v>
      </c>
      <c r="AF151" s="273">
        <v>9616</v>
      </c>
      <c r="AG151" s="273">
        <f t="shared" si="63"/>
        <v>52.589021673080765</v>
      </c>
      <c r="AH151" s="9">
        <f t="shared" si="59"/>
        <v>182159.25925925927</v>
      </c>
      <c r="AI151" s="273"/>
      <c r="AJ151" s="273" t="s">
        <v>54</v>
      </c>
      <c r="AK151" s="9">
        <f t="shared" si="60"/>
        <v>130100.00000000006</v>
      </c>
      <c r="AL151" s="273"/>
      <c r="AM151" s="273" t="s">
        <v>54</v>
      </c>
      <c r="AN151" s="9">
        <f t="shared" si="61"/>
        <v>50851.851851851861</v>
      </c>
      <c r="AO151" s="273">
        <v>50941</v>
      </c>
      <c r="AP151" s="273">
        <f>AO151/AN151%</f>
        <v>100.17530954115075</v>
      </c>
      <c r="AQ151" s="9"/>
      <c r="AR151" s="273"/>
      <c r="AS151" s="39"/>
    </row>
    <row r="152" spans="1:45" ht="12.75">
      <c r="A152" s="163">
        <v>44086</v>
      </c>
      <c r="B152" s="273">
        <f>SUMIFS('Egg Tally'!$G:$G,'Egg Tally'!$C:$C,"M",'Egg Tally'!$A:$A,'Egg Collections'!$A152)</f>
        <v>0</v>
      </c>
      <c r="C152" s="273"/>
      <c r="D152" s="273">
        <f>SUMIFS('Egg Tally'!$G:$G,'Egg Tally'!$C:$C,D$1,'Egg Tally'!$A:$A,'Egg Collections'!$A152)</f>
        <v>0</v>
      </c>
      <c r="E152" s="273">
        <f>SUMIFS('Egg Tally'!$G:$G,'Egg Tally'!$C:$C,E$1,'Egg Tally'!$A:$A,'Egg Collections'!$A152)</f>
        <v>0</v>
      </c>
      <c r="F152" s="273">
        <f>SUMIFS('Egg Tally'!$G:$G,'Egg Tally'!$C:$C,F$1,'Egg Tally'!$A:$A,'Egg Collections'!$A152)</f>
        <v>0</v>
      </c>
      <c r="G152" s="273">
        <f>SUMIFS('Egg Tally'!$G:$G,'Egg Tally'!$C:$C,G$1,'Egg Tally'!$A:$A,'Egg Collections'!$A152)</f>
        <v>0</v>
      </c>
      <c r="H152" s="273">
        <f>SUMIFS('Egg Tally'!$G:$G,'Egg Tally'!$C:$C,H$1,'Egg Tally'!$A:$A,'Egg Collections'!$A152)</f>
        <v>0</v>
      </c>
      <c r="I152" s="2">
        <f t="shared" si="70"/>
        <v>0</v>
      </c>
      <c r="J152" s="17"/>
      <c r="K152" s="10"/>
      <c r="L152" s="10"/>
      <c r="M152" s="10"/>
      <c r="N152" s="10"/>
      <c r="O152" s="10"/>
      <c r="P152" s="10"/>
      <c r="Q152" s="10"/>
      <c r="R152" s="2"/>
      <c r="S152" s="273"/>
      <c r="T152" s="273"/>
      <c r="U152" s="273"/>
      <c r="V152" s="9"/>
      <c r="W152" s="273"/>
      <c r="X152" s="273"/>
      <c r="Y152" s="9"/>
      <c r="Z152" s="273"/>
      <c r="AA152" s="273"/>
      <c r="AB152" s="9">
        <f t="shared" si="56"/>
        <v>0</v>
      </c>
      <c r="AC152" s="273"/>
      <c r="AD152" s="273" t="e">
        <f t="shared" si="57"/>
        <v>#DIV/0!</v>
      </c>
      <c r="AE152" s="9">
        <f t="shared" si="58"/>
        <v>0</v>
      </c>
      <c r="AF152" s="273"/>
      <c r="AG152" s="273" t="e">
        <f t="shared" si="63"/>
        <v>#DIV/0!</v>
      </c>
      <c r="AH152" s="9">
        <f t="shared" si="59"/>
        <v>0</v>
      </c>
      <c r="AI152" s="273"/>
      <c r="AJ152" s="273" t="e">
        <f t="shared" si="71"/>
        <v>#DIV/0!</v>
      </c>
      <c r="AK152" s="9">
        <f t="shared" si="60"/>
        <v>0</v>
      </c>
      <c r="AL152" s="273"/>
      <c r="AM152" s="273" t="e">
        <f t="shared" si="65"/>
        <v>#DIV/0!</v>
      </c>
      <c r="AN152" s="9">
        <f t="shared" si="61"/>
        <v>0</v>
      </c>
      <c r="AO152" s="273"/>
      <c r="AP152" s="273" t="e">
        <f t="shared" si="62"/>
        <v>#DIV/0!</v>
      </c>
      <c r="AQ152" s="9"/>
      <c r="AR152" s="273"/>
      <c r="AS152" s="39"/>
    </row>
    <row r="153" spans="1:45" ht="12.75">
      <c r="A153" s="163">
        <v>44087</v>
      </c>
      <c r="B153" s="273">
        <f>SUMIFS('Egg Tally'!$G:$G,'Egg Tally'!$C:$C,"M",'Egg Tally'!$A:$A,'Egg Collections'!$A153)</f>
        <v>0</v>
      </c>
      <c r="C153" s="273"/>
      <c r="D153" s="273">
        <f>SUMIFS('Egg Tally'!$G:$G,'Egg Tally'!$C:$C,D$1,'Egg Tally'!$A:$A,'Egg Collections'!$A153)</f>
        <v>0</v>
      </c>
      <c r="E153" s="273">
        <f>SUMIFS('Egg Tally'!$G:$G,'Egg Tally'!$C:$C,E$1,'Egg Tally'!$A:$A,'Egg Collections'!$A153)</f>
        <v>0</v>
      </c>
      <c r="F153" s="273">
        <f>SUMIFS('Egg Tally'!$G:$G,'Egg Tally'!$C:$C,F$1,'Egg Tally'!$A:$A,'Egg Collections'!$A153)</f>
        <v>0</v>
      </c>
      <c r="G153" s="273">
        <f>SUMIFS('Egg Tally'!$G:$G,'Egg Tally'!$C:$C,G$1,'Egg Tally'!$A:$A,'Egg Collections'!$A153)</f>
        <v>0</v>
      </c>
      <c r="H153" s="273">
        <f>SUMIFS('Egg Tally'!$G:$G,'Egg Tally'!$C:$C,H$1,'Egg Tally'!$A:$A,'Egg Collections'!$A153)</f>
        <v>0</v>
      </c>
      <c r="I153" s="2">
        <f t="shared" si="70"/>
        <v>0</v>
      </c>
      <c r="J153" s="17"/>
      <c r="K153" s="10"/>
      <c r="L153" s="10"/>
      <c r="M153" s="10"/>
      <c r="N153" s="10"/>
      <c r="O153" s="10"/>
      <c r="P153" s="10"/>
      <c r="Q153" s="10"/>
      <c r="R153" s="2"/>
      <c r="S153" s="273"/>
      <c r="T153" s="273"/>
      <c r="U153" s="273"/>
      <c r="V153" s="9"/>
      <c r="W153" s="273"/>
      <c r="X153" s="273"/>
      <c r="Y153" s="9"/>
      <c r="Z153" s="273"/>
      <c r="AA153" s="273"/>
      <c r="AB153" s="9">
        <f t="shared" si="56"/>
        <v>0</v>
      </c>
      <c r="AC153" s="273"/>
      <c r="AD153" s="273" t="e">
        <f t="shared" si="57"/>
        <v>#DIV/0!</v>
      </c>
      <c r="AE153" s="9">
        <f t="shared" si="58"/>
        <v>0</v>
      </c>
      <c r="AF153" s="273"/>
      <c r="AG153" s="273" t="e">
        <f t="shared" si="63"/>
        <v>#DIV/0!</v>
      </c>
      <c r="AH153" s="9">
        <f t="shared" si="59"/>
        <v>0</v>
      </c>
      <c r="AI153" s="273"/>
      <c r="AJ153" s="273" t="e">
        <f t="shared" si="71"/>
        <v>#DIV/0!</v>
      </c>
      <c r="AK153" s="9">
        <f t="shared" si="60"/>
        <v>0</v>
      </c>
      <c r="AL153" s="273"/>
      <c r="AM153" s="273" t="e">
        <f t="shared" si="65"/>
        <v>#DIV/0!</v>
      </c>
      <c r="AN153" s="9">
        <f t="shared" si="61"/>
        <v>0</v>
      </c>
      <c r="AO153" s="273"/>
      <c r="AP153" s="273" t="e">
        <f t="shared" si="62"/>
        <v>#DIV/0!</v>
      </c>
      <c r="AQ153" s="9"/>
      <c r="AR153" s="273"/>
      <c r="AS153" s="39"/>
    </row>
    <row r="154" spans="1:45" ht="12.75">
      <c r="A154" s="163">
        <v>44088</v>
      </c>
      <c r="B154" s="273">
        <f>SUMIFS('Egg Tally'!$G:$G,'Egg Tally'!$C:$C,"M",'Egg Tally'!$A:$A,'Egg Collections'!$A154)</f>
        <v>0</v>
      </c>
      <c r="C154" s="273"/>
      <c r="D154" s="273">
        <f>SUMIFS('Egg Tally'!$G:$G,'Egg Tally'!$C:$C,D$1,'Egg Tally'!$A:$A,'Egg Collections'!$A154)</f>
        <v>3.2476000000000003</v>
      </c>
      <c r="E154" s="273">
        <f>SUMIFS('Egg Tally'!$G:$G,'Egg Tally'!$C:$C,E$1,'Egg Tally'!$A:$A,'Egg Collections'!$A154)</f>
        <v>0</v>
      </c>
      <c r="F154" s="273">
        <f>SUMIFS('Egg Tally'!$G:$G,'Egg Tally'!$C:$C,F$1,'Egg Tally'!$A:$A,'Egg Collections'!$A154)</f>
        <v>3.0440999999999994</v>
      </c>
      <c r="G154" s="273">
        <f>SUMIFS('Egg Tally'!$G:$G,'Egg Tally'!$C:$C,G$1,'Egg Tally'!$A:$A,'Egg Collections'!$A154)</f>
        <v>1.8529</v>
      </c>
      <c r="H154" s="273">
        <f>SUMIFS('Egg Tally'!$G:$G,'Egg Tally'!$C:$C,H$1,'Egg Tally'!$A:$A,'Egg Collections'!$A154)</f>
        <v>1.7673000000000005</v>
      </c>
      <c r="I154" s="2">
        <f t="shared" si="70"/>
        <v>9.911900000000001</v>
      </c>
      <c r="J154" s="17"/>
      <c r="K154" s="10"/>
      <c r="L154" s="10"/>
      <c r="M154" s="10"/>
      <c r="N154" s="10"/>
      <c r="O154" s="10"/>
      <c r="P154" s="10"/>
      <c r="Q154" s="10"/>
      <c r="R154" s="2"/>
      <c r="S154" s="273"/>
      <c r="T154" s="273"/>
      <c r="U154" s="273"/>
      <c r="V154" s="9"/>
      <c r="W154" s="273"/>
      <c r="X154" s="273"/>
      <c r="Y154" s="9"/>
      <c r="Z154" s="273"/>
      <c r="AA154" s="273"/>
      <c r="AB154" s="9">
        <f t="shared" si="56"/>
        <v>120281.48148148149</v>
      </c>
      <c r="AC154" s="273">
        <v>40585</v>
      </c>
      <c r="AD154" s="273">
        <f t="shared" si="57"/>
        <v>33.74168616824732</v>
      </c>
      <c r="AE154" s="9">
        <f t="shared" si="58"/>
        <v>0</v>
      </c>
      <c r="AF154" s="273"/>
      <c r="AG154" s="273" t="e">
        <f t="shared" si="63"/>
        <v>#DIV/0!</v>
      </c>
      <c r="AH154" s="9">
        <f t="shared" si="59"/>
        <v>112744.44444444442</v>
      </c>
      <c r="AI154" s="273">
        <v>32407</v>
      </c>
      <c r="AJ154" s="273">
        <f t="shared" si="71"/>
        <v>28.743766630531194</v>
      </c>
      <c r="AK154" s="9">
        <f t="shared" si="60"/>
        <v>68625.925925925927</v>
      </c>
      <c r="AL154" s="273">
        <v>44581</v>
      </c>
      <c r="AM154" s="273">
        <f t="shared" si="65"/>
        <v>64.962329321603974</v>
      </c>
      <c r="AN154" s="9">
        <f t="shared" si="61"/>
        <v>65455.555555555577</v>
      </c>
      <c r="AO154" s="273">
        <v>43415</v>
      </c>
      <c r="AP154" s="273">
        <f t="shared" si="62"/>
        <v>66.327448650483774</v>
      </c>
      <c r="AQ154" s="9"/>
      <c r="AR154" s="273"/>
      <c r="AS154" s="39"/>
    </row>
    <row r="155" spans="1:45" ht="12.75">
      <c r="A155" s="163">
        <v>44089</v>
      </c>
      <c r="B155" s="273">
        <f>SUMIFS('Egg Tally'!$G:$G,'Egg Tally'!$C:$C,"M",'Egg Tally'!$A:$A,'Egg Collections'!$A155)</f>
        <v>0</v>
      </c>
      <c r="C155" s="273"/>
      <c r="D155" s="273">
        <f>SUMIFS('Egg Tally'!$G:$G,'Egg Tally'!$C:$C,D$1,'Egg Tally'!$A:$A,'Egg Collections'!$A155)</f>
        <v>0</v>
      </c>
      <c r="E155" s="273">
        <f>SUMIFS('Egg Tally'!$G:$G,'Egg Tally'!$C:$C,E$1,'Egg Tally'!$A:$A,'Egg Collections'!$A155)</f>
        <v>0.32100000000000062</v>
      </c>
      <c r="F155" s="273">
        <f>SUMIFS('Egg Tally'!$G:$G,'Egg Tally'!$C:$C,F$1,'Egg Tally'!$A:$A,'Egg Collections'!$A155)</f>
        <v>0</v>
      </c>
      <c r="G155" s="273">
        <f>SUMIFS('Egg Tally'!$G:$G,'Egg Tally'!$C:$C,G$1,'Egg Tally'!$A:$A,'Egg Collections'!$A155)</f>
        <v>0</v>
      </c>
      <c r="H155" s="273">
        <f>SUMIFS('Egg Tally'!$G:$G,'Egg Tally'!$C:$C,H$1,'Egg Tally'!$A:$A,'Egg Collections'!$A155)</f>
        <v>0</v>
      </c>
      <c r="I155" s="2">
        <f t="shared" si="70"/>
        <v>0.32100000000000062</v>
      </c>
      <c r="J155" s="17"/>
      <c r="K155" s="10"/>
      <c r="L155" s="10"/>
      <c r="M155" s="10"/>
      <c r="N155" s="10"/>
      <c r="O155" s="10"/>
      <c r="P155" s="10"/>
      <c r="Q155" s="10"/>
      <c r="R155" s="2"/>
      <c r="S155" s="273"/>
      <c r="T155" s="273"/>
      <c r="U155" s="273"/>
      <c r="V155" s="9"/>
      <c r="W155" s="273"/>
      <c r="X155" s="273"/>
      <c r="Y155" s="9"/>
      <c r="Z155" s="273"/>
      <c r="AA155" s="273"/>
      <c r="AB155" s="9">
        <f t="shared" si="56"/>
        <v>0</v>
      </c>
      <c r="AC155" s="273"/>
      <c r="AD155" s="273" t="e">
        <f t="shared" si="57"/>
        <v>#DIV/0!</v>
      </c>
      <c r="AE155" s="9">
        <f t="shared" si="58"/>
        <v>11888.888888888912</v>
      </c>
      <c r="AF155" s="273"/>
      <c r="AG155" s="273" t="s">
        <v>54</v>
      </c>
      <c r="AH155" s="9">
        <f t="shared" si="59"/>
        <v>0</v>
      </c>
      <c r="AI155" s="273"/>
      <c r="AJ155" s="273" t="e">
        <f t="shared" si="71"/>
        <v>#DIV/0!</v>
      </c>
      <c r="AK155" s="9">
        <f t="shared" si="60"/>
        <v>0</v>
      </c>
      <c r="AL155" s="273"/>
      <c r="AM155" s="273" t="e">
        <f t="shared" si="65"/>
        <v>#DIV/0!</v>
      </c>
      <c r="AN155" s="9">
        <f t="shared" si="61"/>
        <v>0</v>
      </c>
      <c r="AO155" s="273"/>
      <c r="AP155" s="273" t="e">
        <f t="shared" si="62"/>
        <v>#DIV/0!</v>
      </c>
      <c r="AQ155" s="9"/>
      <c r="AR155" s="273"/>
      <c r="AS155" s="39"/>
    </row>
    <row r="156" spans="1:45" ht="12.75">
      <c r="A156" s="163">
        <v>44090</v>
      </c>
      <c r="B156" s="273">
        <f>SUMIFS('Egg Tally'!$G:$G,'Egg Tally'!$C:$C,"M",'Egg Tally'!$A:$A,'Egg Collections'!$A156)</f>
        <v>0</v>
      </c>
      <c r="C156" s="273"/>
      <c r="D156" s="273">
        <f>SUMIFS('Egg Tally'!$G:$G,'Egg Tally'!$C:$C,D$1,'Egg Tally'!$A:$A,'Egg Collections'!$A156)</f>
        <v>10.700600000000001</v>
      </c>
      <c r="E156" s="273">
        <f>SUMIFS('Egg Tally'!$G:$G,'Egg Tally'!$C:$C,E$1,'Egg Tally'!$A:$A,'Egg Collections'!$A156)</f>
        <v>0.28350000000000009</v>
      </c>
      <c r="F156" s="273">
        <f>SUMIFS('Egg Tally'!$G:$G,'Egg Tally'!$C:$C,F$1,'Egg Tally'!$A:$A,'Egg Collections'!$A156)</f>
        <v>12.9419</v>
      </c>
      <c r="G156" s="273">
        <f>SUMIFS('Egg Tally'!$G:$G,'Egg Tally'!$C:$C,G$1,'Egg Tally'!$A:$A,'Egg Collections'!$A156)</f>
        <v>7.0782000000000007</v>
      </c>
      <c r="H156" s="273">
        <f>SUMIFS('Egg Tally'!$G:$G,'Egg Tally'!$C:$C,H$1,'Egg Tally'!$A:$A,'Egg Collections'!$A156)</f>
        <v>4.7551999999999985</v>
      </c>
      <c r="I156" s="2">
        <f t="shared" si="70"/>
        <v>35.759399999999999</v>
      </c>
      <c r="J156" s="17"/>
      <c r="K156" s="10"/>
      <c r="L156" s="10"/>
      <c r="M156" s="10"/>
      <c r="N156" s="10"/>
      <c r="O156" s="10"/>
      <c r="P156" s="10"/>
      <c r="Q156" s="10"/>
      <c r="R156" s="2"/>
      <c r="S156" s="273"/>
      <c r="T156" s="273"/>
      <c r="U156" s="273"/>
      <c r="V156" s="9"/>
      <c r="W156" s="273"/>
      <c r="X156" s="273"/>
      <c r="Y156" s="9"/>
      <c r="Z156" s="273"/>
      <c r="AA156" s="273"/>
      <c r="AB156" s="9">
        <f t="shared" si="56"/>
        <v>396318.5185185186</v>
      </c>
      <c r="AC156" s="273">
        <f>75065+82236</f>
        <v>157301</v>
      </c>
      <c r="AD156" s="273">
        <f t="shared" si="57"/>
        <v>39.690550062613305</v>
      </c>
      <c r="AE156" s="9">
        <f>(E156/$U$1)+AE155</f>
        <v>22388.888888888916</v>
      </c>
      <c r="AF156" s="273">
        <v>19944</v>
      </c>
      <c r="AG156" s="273">
        <f t="shared" si="63"/>
        <v>89.079900744416761</v>
      </c>
      <c r="AH156" s="9">
        <f t="shared" si="59"/>
        <v>479329.62962962966</v>
      </c>
      <c r="AI156" s="273">
        <f>(60740+31300)</f>
        <v>92040</v>
      </c>
      <c r="AJ156" s="273">
        <f t="shared" si="71"/>
        <v>19.201817352938903</v>
      </c>
      <c r="AK156" s="9">
        <f t="shared" si="60"/>
        <v>262155.55555555562</v>
      </c>
      <c r="AL156" s="273">
        <f>(44349+38855)</f>
        <v>83204</v>
      </c>
      <c r="AM156" s="273">
        <f t="shared" si="65"/>
        <v>31.738408069848258</v>
      </c>
      <c r="AN156" s="9">
        <f t="shared" si="61"/>
        <v>176118.51851851848</v>
      </c>
      <c r="AO156" s="273">
        <v>50211</v>
      </c>
      <c r="AP156" s="273">
        <f t="shared" si="62"/>
        <v>28.509778768506063</v>
      </c>
      <c r="AQ156" s="9"/>
      <c r="AR156" s="273"/>
      <c r="AS156" s="39"/>
    </row>
    <row r="157" spans="1:45" ht="12.75">
      <c r="A157" s="163">
        <v>44091</v>
      </c>
      <c r="B157" s="273">
        <f>SUMIFS('Egg Tally'!$G:$G,'Egg Tally'!$C:$C,"M",'Egg Tally'!$A:$A,'Egg Collections'!$A157)</f>
        <v>0</v>
      </c>
      <c r="C157" s="273"/>
      <c r="D157" s="273">
        <f>SUMIFS('Egg Tally'!$G:$G,'Egg Tally'!$C:$C,D$1,'Egg Tally'!$A:$A,'Egg Collections'!$A157)</f>
        <v>0</v>
      </c>
      <c r="E157" s="273">
        <f>SUMIFS('Egg Tally'!$G:$G,'Egg Tally'!$C:$C,E$1,'Egg Tally'!$A:$A,'Egg Collections'!$A157)</f>
        <v>0</v>
      </c>
      <c r="F157" s="273">
        <f>SUMIFS('Egg Tally'!$G:$G,'Egg Tally'!$C:$C,F$1,'Egg Tally'!$A:$A,'Egg Collections'!$A157)</f>
        <v>0</v>
      </c>
      <c r="G157" s="273">
        <f>SUMIFS('Egg Tally'!$G:$G,'Egg Tally'!$C:$C,G$1,'Egg Tally'!$A:$A,'Egg Collections'!$A157)</f>
        <v>0</v>
      </c>
      <c r="H157" s="273">
        <f>SUMIFS('Egg Tally'!$G:$G,'Egg Tally'!$C:$C,H$1,'Egg Tally'!$A:$A,'Egg Collections'!$A157)</f>
        <v>0</v>
      </c>
      <c r="I157" s="2">
        <f t="shared" si="70"/>
        <v>0</v>
      </c>
      <c r="J157" s="17"/>
      <c r="K157" s="10"/>
      <c r="L157" s="10"/>
      <c r="M157" s="10"/>
      <c r="N157" s="10"/>
      <c r="O157" s="10"/>
      <c r="P157" s="10"/>
      <c r="Q157" s="10"/>
      <c r="R157" s="2"/>
      <c r="S157" s="273"/>
      <c r="T157" s="273"/>
      <c r="U157" s="273"/>
      <c r="V157" s="9"/>
      <c r="W157" s="273"/>
      <c r="X157" s="273"/>
      <c r="Y157" s="9"/>
      <c r="Z157" s="273"/>
      <c r="AA157" s="273"/>
      <c r="AB157" s="9">
        <f t="shared" si="56"/>
        <v>0</v>
      </c>
      <c r="AC157" s="273"/>
      <c r="AD157" s="273" t="e">
        <f t="shared" si="57"/>
        <v>#DIV/0!</v>
      </c>
      <c r="AE157" s="9">
        <f t="shared" si="58"/>
        <v>0</v>
      </c>
      <c r="AF157" s="273"/>
      <c r="AG157" s="273" t="e">
        <f t="shared" si="63"/>
        <v>#DIV/0!</v>
      </c>
      <c r="AH157" s="9">
        <f t="shared" si="59"/>
        <v>0</v>
      </c>
      <c r="AI157" s="273"/>
      <c r="AJ157" s="273" t="e">
        <f t="shared" si="71"/>
        <v>#DIV/0!</v>
      </c>
      <c r="AK157" s="9">
        <f t="shared" si="60"/>
        <v>0</v>
      </c>
      <c r="AL157" s="273"/>
      <c r="AM157" s="273" t="e">
        <f t="shared" si="65"/>
        <v>#DIV/0!</v>
      </c>
      <c r="AN157" s="9">
        <f t="shared" si="61"/>
        <v>0</v>
      </c>
      <c r="AO157" s="273"/>
      <c r="AP157" s="273" t="e">
        <f t="shared" si="62"/>
        <v>#DIV/0!</v>
      </c>
      <c r="AQ157" s="9"/>
      <c r="AR157" s="273"/>
      <c r="AS157" s="39"/>
    </row>
    <row r="158" spans="1:45" ht="12.75">
      <c r="A158" s="163">
        <v>44092</v>
      </c>
      <c r="B158" s="273">
        <f>SUMIFS('Egg Tally'!$G:$G,'Egg Tally'!$C:$C,"M",'Egg Tally'!$A:$A,'Egg Collections'!$A158)</f>
        <v>0</v>
      </c>
      <c r="C158" s="273"/>
      <c r="D158" s="273">
        <f>SUMIFS('Egg Tally'!$G:$G,'Egg Tally'!$C:$C,D$1,'Egg Tally'!$A:$A,'Egg Collections'!$A158)</f>
        <v>12.9664</v>
      </c>
      <c r="E158" s="273">
        <f>SUMIFS('Egg Tally'!$G:$G,'Egg Tally'!$C:$C,E$1,'Egg Tally'!$A:$A,'Egg Collections'!$A158)</f>
        <v>0.40010000000000012</v>
      </c>
      <c r="F158" s="273">
        <f>SUMIFS('Egg Tally'!$G:$G,'Egg Tally'!$C:$C,F$1,'Egg Tally'!$A:$A,'Egg Collections'!$A158)</f>
        <v>7.1738</v>
      </c>
      <c r="G158" s="273">
        <f>SUMIFS('Egg Tally'!$G:$G,'Egg Tally'!$C:$C,G$1,'Egg Tally'!$A:$A,'Egg Collections'!$A158)</f>
        <v>10.3125</v>
      </c>
      <c r="H158" s="273">
        <f>SUMIFS('Egg Tally'!$G:$G,'Egg Tally'!$C:$C,H$1,'Egg Tally'!$A:$A,'Egg Collections'!$A158)</f>
        <v>5.5495999999999999</v>
      </c>
      <c r="I158" s="2">
        <f t="shared" si="70"/>
        <v>36.4024</v>
      </c>
      <c r="J158" s="17"/>
      <c r="K158" s="10"/>
      <c r="L158" s="10"/>
      <c r="M158" s="10"/>
      <c r="N158" s="10"/>
      <c r="O158" s="10"/>
      <c r="P158" s="10"/>
      <c r="Q158" s="10"/>
      <c r="R158" s="2"/>
      <c r="S158" s="273"/>
      <c r="T158" s="273"/>
      <c r="U158" s="273"/>
      <c r="V158" s="9"/>
      <c r="W158" s="273"/>
      <c r="X158" s="273"/>
      <c r="Y158" s="9"/>
      <c r="Z158" s="273"/>
      <c r="AA158" s="273"/>
      <c r="AB158" s="9">
        <f t="shared" si="56"/>
        <v>480237.03703703708</v>
      </c>
      <c r="AC158" s="273"/>
      <c r="AD158" s="273">
        <f t="shared" si="57"/>
        <v>0</v>
      </c>
      <c r="AE158" s="9">
        <f t="shared" si="58"/>
        <v>14818.518518518524</v>
      </c>
      <c r="AF158" s="273"/>
      <c r="AG158" s="273">
        <f t="shared" si="63"/>
        <v>0</v>
      </c>
      <c r="AH158" s="9">
        <f t="shared" si="59"/>
        <v>265696.29629629629</v>
      </c>
      <c r="AI158" s="273"/>
      <c r="AJ158" s="273" t="s">
        <v>54</v>
      </c>
      <c r="AK158" s="9">
        <f t="shared" si="60"/>
        <v>381944.44444444444</v>
      </c>
      <c r="AL158" s="273"/>
      <c r="AM158" s="273" t="s">
        <v>54</v>
      </c>
      <c r="AN158" s="9">
        <f t="shared" si="61"/>
        <v>205540.74074074073</v>
      </c>
      <c r="AO158" s="273"/>
      <c r="AP158" s="273">
        <f t="shared" si="62"/>
        <v>0</v>
      </c>
      <c r="AQ158" s="9"/>
      <c r="AR158" s="273"/>
      <c r="AS158" s="39"/>
    </row>
    <row r="159" spans="1:45" ht="12.75">
      <c r="A159" s="163">
        <v>44093</v>
      </c>
      <c r="B159" s="273">
        <f>SUMIFS('Egg Tally'!$G:$G,'Egg Tally'!$C:$C,"M",'Egg Tally'!$A:$A,'Egg Collections'!$A159)</f>
        <v>0</v>
      </c>
      <c r="C159" s="273"/>
      <c r="D159" s="273">
        <f>SUMIFS('Egg Tally'!$G:$G,'Egg Tally'!$C:$C,D$1,'Egg Tally'!$A:$A,'Egg Collections'!$A159)</f>
        <v>0</v>
      </c>
      <c r="E159" s="273">
        <f>SUMIFS('Egg Tally'!$G:$G,'Egg Tally'!$C:$C,E$1,'Egg Tally'!$A:$A,'Egg Collections'!$A159)</f>
        <v>0</v>
      </c>
      <c r="F159" s="273">
        <f>SUMIFS('Egg Tally'!$G:$G,'Egg Tally'!$C:$C,F$1,'Egg Tally'!$A:$A,'Egg Collections'!$A159)</f>
        <v>0</v>
      </c>
      <c r="G159" s="273">
        <f>SUMIFS('Egg Tally'!$G:$G,'Egg Tally'!$C:$C,G$1,'Egg Tally'!$A:$A,'Egg Collections'!$A159)</f>
        <v>0</v>
      </c>
      <c r="H159" s="273">
        <f>SUMIFS('Egg Tally'!$G:$G,'Egg Tally'!$C:$C,H$1,'Egg Tally'!$A:$A,'Egg Collections'!$A159)</f>
        <v>0</v>
      </c>
      <c r="I159" s="2">
        <f t="shared" si="70"/>
        <v>0</v>
      </c>
      <c r="J159" s="17"/>
      <c r="K159" s="10"/>
      <c r="L159" s="10"/>
      <c r="M159" s="10"/>
      <c r="N159" s="10"/>
      <c r="O159" s="10"/>
      <c r="P159" s="10"/>
      <c r="Q159" s="10"/>
      <c r="R159" s="2"/>
      <c r="S159" s="273"/>
      <c r="T159" s="273"/>
      <c r="U159" s="273"/>
      <c r="V159" s="9"/>
      <c r="W159" s="273"/>
      <c r="X159" s="273"/>
      <c r="Y159" s="9"/>
      <c r="Z159" s="273"/>
      <c r="AA159" s="273"/>
      <c r="AB159" s="9">
        <f t="shared" si="56"/>
        <v>0</v>
      </c>
      <c r="AC159" s="273"/>
      <c r="AD159" s="273" t="e">
        <f t="shared" si="57"/>
        <v>#DIV/0!</v>
      </c>
      <c r="AE159" s="9">
        <f t="shared" si="58"/>
        <v>0</v>
      </c>
      <c r="AF159" s="273"/>
      <c r="AG159" s="273" t="e">
        <f t="shared" si="63"/>
        <v>#DIV/0!</v>
      </c>
      <c r="AH159" s="9">
        <f t="shared" si="59"/>
        <v>0</v>
      </c>
      <c r="AI159" s="273"/>
      <c r="AJ159" s="273" t="e">
        <f t="shared" si="71"/>
        <v>#DIV/0!</v>
      </c>
      <c r="AK159" s="9">
        <f t="shared" si="60"/>
        <v>0</v>
      </c>
      <c r="AL159" s="273"/>
      <c r="AM159" s="273" t="e">
        <f t="shared" si="65"/>
        <v>#DIV/0!</v>
      </c>
      <c r="AN159" s="9">
        <f t="shared" si="61"/>
        <v>0</v>
      </c>
      <c r="AO159" s="273"/>
      <c r="AP159" s="273" t="e">
        <f t="shared" si="62"/>
        <v>#DIV/0!</v>
      </c>
      <c r="AQ159" s="9"/>
      <c r="AR159" s="273"/>
      <c r="AS159" s="39"/>
    </row>
    <row r="160" spans="1:45" ht="12.75">
      <c r="A160" s="163">
        <v>44094</v>
      </c>
      <c r="B160" s="273">
        <f>SUMIFS('Egg Tally'!$G:$G,'Egg Tally'!$C:$C,"M",'Egg Tally'!$A:$A,'Egg Collections'!$A160)</f>
        <v>0</v>
      </c>
      <c r="C160" s="273"/>
      <c r="D160" s="273">
        <f>SUMIFS('Egg Tally'!$G:$G,'Egg Tally'!$C:$C,D$1,'Egg Tally'!$A:$A,'Egg Collections'!$A160)</f>
        <v>0</v>
      </c>
      <c r="E160" s="273">
        <f>SUMIFS('Egg Tally'!$G:$G,'Egg Tally'!$C:$C,E$1,'Egg Tally'!$A:$A,'Egg Collections'!$A160)</f>
        <v>0</v>
      </c>
      <c r="F160" s="273">
        <f>SUMIFS('Egg Tally'!$G:$G,'Egg Tally'!$C:$C,F$1,'Egg Tally'!$A:$A,'Egg Collections'!$A160)</f>
        <v>0</v>
      </c>
      <c r="G160" s="273">
        <f>SUMIFS('Egg Tally'!$G:$G,'Egg Tally'!$C:$C,G$1,'Egg Tally'!$A:$A,'Egg Collections'!$A160)</f>
        <v>0</v>
      </c>
      <c r="H160" s="273">
        <f>SUMIFS('Egg Tally'!$G:$G,'Egg Tally'!$C:$C,H$1,'Egg Tally'!$A:$A,'Egg Collections'!$A160)</f>
        <v>0</v>
      </c>
      <c r="I160" s="2">
        <f t="shared" si="70"/>
        <v>0</v>
      </c>
      <c r="J160" s="17"/>
      <c r="K160" s="10"/>
      <c r="L160" s="10"/>
      <c r="M160" s="10"/>
      <c r="N160" s="10"/>
      <c r="O160" s="10"/>
      <c r="P160" s="10"/>
      <c r="Q160" s="10"/>
      <c r="R160" s="2"/>
      <c r="S160" s="273"/>
      <c r="T160" s="273"/>
      <c r="U160" s="273"/>
      <c r="V160" s="9"/>
      <c r="W160" s="273"/>
      <c r="X160" s="273"/>
      <c r="Y160" s="9"/>
      <c r="Z160" s="273"/>
      <c r="AA160" s="273"/>
      <c r="AB160" s="9">
        <f t="shared" si="56"/>
        <v>0</v>
      </c>
      <c r="AC160" s="273"/>
      <c r="AD160" s="273" t="e">
        <f t="shared" si="57"/>
        <v>#DIV/0!</v>
      </c>
      <c r="AE160" s="9">
        <f t="shared" si="58"/>
        <v>0</v>
      </c>
      <c r="AF160" s="273"/>
      <c r="AG160" s="273" t="e">
        <f t="shared" si="63"/>
        <v>#DIV/0!</v>
      </c>
      <c r="AH160" s="9">
        <f t="shared" si="59"/>
        <v>0</v>
      </c>
      <c r="AI160" s="273"/>
      <c r="AJ160" s="273" t="e">
        <f t="shared" si="71"/>
        <v>#DIV/0!</v>
      </c>
      <c r="AK160" s="9">
        <f t="shared" si="60"/>
        <v>0</v>
      </c>
      <c r="AL160" s="273"/>
      <c r="AM160" s="273" t="e">
        <f t="shared" si="65"/>
        <v>#DIV/0!</v>
      </c>
      <c r="AN160" s="9">
        <f t="shared" si="61"/>
        <v>0</v>
      </c>
      <c r="AO160" s="273"/>
      <c r="AP160" s="273" t="e">
        <f t="shared" si="62"/>
        <v>#DIV/0!</v>
      </c>
      <c r="AQ160" s="9"/>
      <c r="AR160" s="273"/>
      <c r="AS160" s="39"/>
    </row>
    <row r="161" spans="1:45" ht="12.75">
      <c r="A161" s="163">
        <v>44095</v>
      </c>
      <c r="B161" s="273">
        <f>SUMIFS('Egg Tally'!$G:$G,'Egg Tally'!$C:$C,"M",'Egg Tally'!$A:$A,'Egg Collections'!$A161)</f>
        <v>0</v>
      </c>
      <c r="C161" s="273"/>
      <c r="D161" s="273">
        <f>SUMIFS('Egg Tally'!$G:$G,'Egg Tally'!$C:$C,D$1,'Egg Tally'!$A:$A,'Egg Collections'!$A161)</f>
        <v>9.9793999999999983</v>
      </c>
      <c r="E161" s="273">
        <f>SUMIFS('Egg Tally'!$G:$G,'Egg Tally'!$C:$C,E$1,'Egg Tally'!$A:$A,'Egg Collections'!$A161)</f>
        <v>0.11580000000000013</v>
      </c>
      <c r="F161" s="273">
        <f>SUMIFS('Egg Tally'!$G:$G,'Egg Tally'!$C:$C,F$1,'Egg Tally'!$A:$A,'Egg Collections'!$A161)</f>
        <v>6.1504999999999983</v>
      </c>
      <c r="G161" s="273">
        <f>SUMIFS('Egg Tally'!$G:$G,'Egg Tally'!$C:$C,G$1,'Egg Tally'!$A:$A,'Egg Collections'!$A161)</f>
        <v>4.7925999999999984</v>
      </c>
      <c r="H161" s="273">
        <f>SUMIFS('Egg Tally'!$G:$G,'Egg Tally'!$C:$C,H$1,'Egg Tally'!$A:$A,'Egg Collections'!$A161)</f>
        <v>3.8728000000000016</v>
      </c>
      <c r="I161" s="2">
        <f t="shared" si="70"/>
        <v>24.911099999999994</v>
      </c>
      <c r="J161" s="17"/>
      <c r="K161" s="10"/>
      <c r="L161" s="10"/>
      <c r="M161" s="10"/>
      <c r="N161" s="10"/>
      <c r="O161" s="10"/>
      <c r="P161" s="10"/>
      <c r="Q161" s="10"/>
      <c r="R161" s="2"/>
      <c r="S161" s="273"/>
      <c r="T161" s="273"/>
      <c r="U161" s="273"/>
      <c r="V161" s="9"/>
      <c r="W161" s="273"/>
      <c r="X161" s="273"/>
      <c r="Y161" s="9"/>
      <c r="Z161" s="273"/>
      <c r="AA161" s="273"/>
      <c r="AB161" s="9">
        <f t="shared" si="56"/>
        <v>369607.40740740736</v>
      </c>
      <c r="AC161" s="273"/>
      <c r="AD161" s="273">
        <f t="shared" si="57"/>
        <v>0</v>
      </c>
      <c r="AE161" s="9">
        <f t="shared" si="58"/>
        <v>4288.8888888888932</v>
      </c>
      <c r="AF161" s="273"/>
      <c r="AG161" s="273">
        <f t="shared" si="63"/>
        <v>0</v>
      </c>
      <c r="AH161" s="9">
        <f t="shared" si="59"/>
        <v>227796.29629629623</v>
      </c>
      <c r="AI161" s="273"/>
      <c r="AJ161" s="273">
        <f t="shared" si="71"/>
        <v>0</v>
      </c>
      <c r="AK161" s="9">
        <f t="shared" si="60"/>
        <v>177503.70370370365</v>
      </c>
      <c r="AL161" s="273"/>
      <c r="AM161" s="273">
        <f t="shared" si="65"/>
        <v>0</v>
      </c>
      <c r="AN161" s="9">
        <f t="shared" si="61"/>
        <v>143437.03703703711</v>
      </c>
      <c r="AO161" s="273"/>
      <c r="AP161" s="273">
        <f t="shared" si="62"/>
        <v>0</v>
      </c>
      <c r="AQ161" s="9"/>
      <c r="AR161" s="273"/>
      <c r="AS161" s="39"/>
    </row>
    <row r="162" spans="1:45" ht="12.75">
      <c r="A162" s="163">
        <v>44096</v>
      </c>
      <c r="B162" s="273">
        <f>SUMIFS('Egg Tally'!$G:$G,'Egg Tally'!$C:$C,"M",'Egg Tally'!$A:$A,'Egg Collections'!$A162)</f>
        <v>0</v>
      </c>
      <c r="C162" s="273"/>
      <c r="D162" s="273">
        <f>SUMIFS('Egg Tally'!$G:$G,'Egg Tally'!$C:$C,D$1,'Egg Tally'!$A:$A,'Egg Collections'!$A162)</f>
        <v>0</v>
      </c>
      <c r="E162" s="273">
        <f>SUMIFS('Egg Tally'!$G:$G,'Egg Tally'!$C:$C,E$1,'Egg Tally'!$A:$A,'Egg Collections'!$A162)</f>
        <v>0</v>
      </c>
      <c r="F162" s="273">
        <f>SUMIFS('Egg Tally'!$G:$G,'Egg Tally'!$C:$C,F$1,'Egg Tally'!$A:$A,'Egg Collections'!$A162)</f>
        <v>0</v>
      </c>
      <c r="G162" s="273">
        <f>SUMIFS('Egg Tally'!$G:$G,'Egg Tally'!$C:$C,G$1,'Egg Tally'!$A:$A,'Egg Collections'!$A162)</f>
        <v>0</v>
      </c>
      <c r="H162" s="273">
        <f>SUMIFS('Egg Tally'!$G:$G,'Egg Tally'!$C:$C,H$1,'Egg Tally'!$A:$A,'Egg Collections'!$A162)</f>
        <v>0</v>
      </c>
      <c r="I162" s="2">
        <f t="shared" si="70"/>
        <v>0</v>
      </c>
      <c r="J162" s="17"/>
      <c r="K162" s="10"/>
      <c r="L162" s="10"/>
      <c r="M162" s="10"/>
      <c r="N162" s="10"/>
      <c r="O162" s="10"/>
      <c r="P162" s="10"/>
      <c r="Q162" s="10"/>
      <c r="R162" s="2"/>
      <c r="S162" s="273"/>
      <c r="T162" s="273"/>
      <c r="U162" s="273"/>
      <c r="V162" s="9"/>
      <c r="W162" s="273"/>
      <c r="X162" s="273"/>
      <c r="Y162" s="9"/>
      <c r="Z162" s="273"/>
      <c r="AA162" s="273"/>
      <c r="AB162" s="9">
        <f t="shared" si="56"/>
        <v>0</v>
      </c>
      <c r="AC162" s="273"/>
      <c r="AD162" s="273" t="e">
        <f t="shared" si="57"/>
        <v>#DIV/0!</v>
      </c>
      <c r="AE162" s="9">
        <f t="shared" si="58"/>
        <v>0</v>
      </c>
      <c r="AF162" s="273"/>
      <c r="AG162" s="273" t="e">
        <f t="shared" si="63"/>
        <v>#DIV/0!</v>
      </c>
      <c r="AH162" s="9">
        <f t="shared" si="59"/>
        <v>0</v>
      </c>
      <c r="AI162" s="273"/>
      <c r="AJ162" s="273" t="e">
        <f t="shared" si="71"/>
        <v>#DIV/0!</v>
      </c>
      <c r="AK162" s="9">
        <f t="shared" si="60"/>
        <v>0</v>
      </c>
      <c r="AL162" s="273"/>
      <c r="AM162" s="273" t="e">
        <f t="shared" si="65"/>
        <v>#DIV/0!</v>
      </c>
      <c r="AN162" s="9">
        <f t="shared" si="61"/>
        <v>0</v>
      </c>
      <c r="AO162" s="273"/>
      <c r="AP162" s="273" t="e">
        <f t="shared" si="62"/>
        <v>#DIV/0!</v>
      </c>
      <c r="AQ162" s="9"/>
      <c r="AR162" s="273"/>
      <c r="AS162" s="39"/>
    </row>
    <row r="163" spans="1:45" ht="12.75">
      <c r="A163" s="163">
        <v>44097</v>
      </c>
      <c r="B163" s="273">
        <f>SUMIFS('Egg Tally'!$G:$G,'Egg Tally'!$C:$C,"M",'Egg Tally'!$A:$A,'Egg Collections'!$A163)</f>
        <v>0</v>
      </c>
      <c r="C163" s="273"/>
      <c r="D163" s="273">
        <f>SUMIFS('Egg Tally'!$G:$G,'Egg Tally'!$C:$C,D$1,'Egg Tally'!$A:$A,'Egg Collections'!$A163)</f>
        <v>11.531900000000002</v>
      </c>
      <c r="E163" s="273">
        <f>SUMIFS('Egg Tally'!$G:$G,'Egg Tally'!$C:$C,E$1,'Egg Tally'!$A:$A,'Egg Collections'!$A163)</f>
        <v>5.8910000000000009</v>
      </c>
      <c r="F163" s="273">
        <f>SUMIFS('Egg Tally'!$G:$G,'Egg Tally'!$C:$C,F$1,'Egg Tally'!$A:$A,'Egg Collections'!$A163)</f>
        <v>6.8017999999999983</v>
      </c>
      <c r="G163" s="273">
        <f>SUMIFS('Egg Tally'!$G:$G,'Egg Tally'!$C:$C,G$1,'Egg Tally'!$A:$A,'Egg Collections'!$A163)</f>
        <v>4.677299999999998</v>
      </c>
      <c r="H163" s="273">
        <f>SUMIFS('Egg Tally'!$G:$G,'Egg Tally'!$C:$C,H$1,'Egg Tally'!$A:$A,'Egg Collections'!$A163)</f>
        <v>2.3075000000000001</v>
      </c>
      <c r="I163" s="2">
        <f t="shared" si="70"/>
        <v>31.209499999999998</v>
      </c>
      <c r="J163" s="17"/>
      <c r="K163" s="10"/>
      <c r="L163" s="10"/>
      <c r="M163" s="10"/>
      <c r="N163" s="10"/>
      <c r="O163" s="10"/>
      <c r="P163" s="10"/>
      <c r="Q163" s="10"/>
      <c r="R163" s="2"/>
      <c r="S163" s="273"/>
      <c r="T163" s="273"/>
      <c r="U163" s="273"/>
      <c r="V163" s="9"/>
      <c r="W163" s="273"/>
      <c r="X163" s="273"/>
      <c r="Y163" s="9"/>
      <c r="Z163" s="273"/>
      <c r="AA163" s="273"/>
      <c r="AB163" s="9">
        <f t="shared" si="56"/>
        <v>427107.40740740747</v>
      </c>
      <c r="AC163" s="273"/>
      <c r="AD163" s="273">
        <f t="shared" si="57"/>
        <v>0</v>
      </c>
      <c r="AE163" s="9">
        <f t="shared" si="58"/>
        <v>218185.18518518523</v>
      </c>
      <c r="AF163" s="273"/>
      <c r="AG163" s="273">
        <f t="shared" si="63"/>
        <v>0</v>
      </c>
      <c r="AH163" s="9">
        <f t="shared" si="59"/>
        <v>251918.51851851845</v>
      </c>
      <c r="AI163" s="273"/>
      <c r="AJ163" s="273">
        <f t="shared" si="71"/>
        <v>0</v>
      </c>
      <c r="AK163" s="9">
        <f t="shared" si="60"/>
        <v>173233.33333333326</v>
      </c>
      <c r="AL163" s="273"/>
      <c r="AM163" s="273">
        <f t="shared" si="65"/>
        <v>0</v>
      </c>
      <c r="AN163" s="9">
        <f t="shared" si="61"/>
        <v>85462.962962962964</v>
      </c>
      <c r="AO163" s="273"/>
      <c r="AP163" s="273">
        <f t="shared" si="62"/>
        <v>0</v>
      </c>
      <c r="AQ163" s="9"/>
      <c r="AR163" s="273"/>
      <c r="AS163" s="39"/>
    </row>
    <row r="164" spans="1:45" ht="12.75">
      <c r="A164" s="163">
        <v>44098</v>
      </c>
      <c r="B164" s="273">
        <f>SUMIFS('Egg Tally'!$G:$G,'Egg Tally'!$C:$C,"M",'Egg Tally'!$A:$A,'Egg Collections'!$A164)</f>
        <v>0</v>
      </c>
      <c r="C164" s="273"/>
      <c r="D164" s="273">
        <f>SUMIFS('Egg Tally'!$G:$G,'Egg Tally'!$C:$C,D$1,'Egg Tally'!$A:$A,'Egg Collections'!$A164)</f>
        <v>0</v>
      </c>
      <c r="E164" s="273">
        <f>SUMIFS('Egg Tally'!$G:$G,'Egg Tally'!$C:$C,E$1,'Egg Tally'!$A:$A,'Egg Collections'!$A164)</f>
        <v>0</v>
      </c>
      <c r="F164" s="273">
        <f>SUMIFS('Egg Tally'!$G:$G,'Egg Tally'!$C:$C,F$1,'Egg Tally'!$A:$A,'Egg Collections'!$A164)</f>
        <v>0</v>
      </c>
      <c r="G164" s="273">
        <f>SUMIFS('Egg Tally'!$G:$G,'Egg Tally'!$C:$C,G$1,'Egg Tally'!$A:$A,'Egg Collections'!$A164)</f>
        <v>0</v>
      </c>
      <c r="H164" s="273">
        <f>SUMIFS('Egg Tally'!$G:$G,'Egg Tally'!$C:$C,H$1,'Egg Tally'!$A:$A,'Egg Collections'!$A164)</f>
        <v>0</v>
      </c>
      <c r="I164" s="2">
        <f t="shared" si="70"/>
        <v>0</v>
      </c>
      <c r="J164" s="17"/>
      <c r="K164" s="10"/>
      <c r="L164" s="10"/>
      <c r="M164" s="10"/>
      <c r="N164" s="10"/>
      <c r="O164" s="10"/>
      <c r="P164" s="10"/>
      <c r="Q164" s="10"/>
      <c r="R164" s="2"/>
      <c r="S164" s="273"/>
      <c r="T164" s="273"/>
      <c r="U164" s="273"/>
      <c r="V164" s="9"/>
      <c r="W164" s="273"/>
      <c r="X164" s="273"/>
      <c r="Y164" s="9"/>
      <c r="Z164" s="273"/>
      <c r="AA164" s="273"/>
      <c r="AB164" s="9">
        <f t="shared" si="56"/>
        <v>0</v>
      </c>
      <c r="AC164" s="273"/>
      <c r="AD164" s="273" t="e">
        <f t="shared" si="57"/>
        <v>#DIV/0!</v>
      </c>
      <c r="AE164" s="9">
        <f t="shared" si="58"/>
        <v>0</v>
      </c>
      <c r="AF164" s="273"/>
      <c r="AG164" s="273" t="e">
        <f t="shared" si="63"/>
        <v>#DIV/0!</v>
      </c>
      <c r="AH164" s="9">
        <f t="shared" si="59"/>
        <v>0</v>
      </c>
      <c r="AI164" s="273"/>
      <c r="AJ164" s="273" t="e">
        <f t="shared" si="71"/>
        <v>#DIV/0!</v>
      </c>
      <c r="AK164" s="9">
        <f t="shared" si="60"/>
        <v>0</v>
      </c>
      <c r="AL164" s="273"/>
      <c r="AM164" s="273" t="e">
        <f t="shared" si="65"/>
        <v>#DIV/0!</v>
      </c>
      <c r="AN164" s="9">
        <f t="shared" si="61"/>
        <v>0</v>
      </c>
      <c r="AO164" s="273"/>
      <c r="AP164" s="273" t="e">
        <f t="shared" si="62"/>
        <v>#DIV/0!</v>
      </c>
      <c r="AQ164" s="9"/>
      <c r="AR164" s="273"/>
      <c r="AS164" s="39"/>
    </row>
    <row r="165" spans="1:45" ht="12.75">
      <c r="A165" s="163">
        <v>44099</v>
      </c>
      <c r="B165" s="273">
        <f>SUMIFS('Egg Tally'!$G:$G,'Egg Tally'!$C:$C,"M",'Egg Tally'!$A:$A,'Egg Collections'!$A165)</f>
        <v>0</v>
      </c>
      <c r="C165" s="273"/>
      <c r="D165" s="273">
        <f>SUMIFS('Egg Tally'!$G:$G,'Egg Tally'!$C:$C,D$1,'Egg Tally'!$A:$A,'Egg Collections'!$A165)</f>
        <v>6.603600000000001</v>
      </c>
      <c r="E165" s="273">
        <f>SUMIFS('Egg Tally'!$G:$G,'Egg Tally'!$C:$C,E$1,'Egg Tally'!$A:$A,'Egg Collections'!$A165)</f>
        <v>1.9099000000000004</v>
      </c>
      <c r="F165" s="273">
        <f>SUMIFS('Egg Tally'!$G:$G,'Egg Tally'!$C:$C,F$1,'Egg Tally'!$A:$A,'Egg Collections'!$A165)</f>
        <v>4.1220000000000026</v>
      </c>
      <c r="G165" s="273">
        <f>SUMIFS('Egg Tally'!$G:$G,'Egg Tally'!$C:$C,G$1,'Egg Tally'!$A:$A,'Egg Collections'!$A165)</f>
        <v>1.9281999999999986</v>
      </c>
      <c r="H165" s="273">
        <f>SUMIFS('Egg Tally'!$G:$G,'Egg Tally'!$C:$C,H$1,'Egg Tally'!$A:$A,'Egg Collections'!$A165)</f>
        <v>0.4892000000000003</v>
      </c>
      <c r="I165" s="2">
        <f t="shared" si="70"/>
        <v>15.052900000000003</v>
      </c>
      <c r="J165" s="17" t="s">
        <v>55</v>
      </c>
      <c r="K165" s="10"/>
      <c r="L165" s="10"/>
      <c r="M165" s="10"/>
      <c r="N165" s="10"/>
      <c r="O165" s="10"/>
      <c r="P165" s="10"/>
      <c r="Q165" s="10"/>
      <c r="R165" s="2"/>
      <c r="S165" s="273"/>
      <c r="T165" s="273"/>
      <c r="U165" s="273"/>
      <c r="V165" s="9"/>
      <c r="W165" s="273"/>
      <c r="X165" s="273"/>
      <c r="Y165" s="9"/>
      <c r="Z165" s="273"/>
      <c r="AA165" s="273"/>
      <c r="AB165" s="9">
        <f t="shared" si="56"/>
        <v>244577.77777777784</v>
      </c>
      <c r="AC165" s="273"/>
      <c r="AD165" s="273">
        <f t="shared" si="57"/>
        <v>0</v>
      </c>
      <c r="AE165" s="9">
        <f t="shared" si="58"/>
        <v>70737.037037037051</v>
      </c>
      <c r="AF165" s="273"/>
      <c r="AG165" s="273">
        <f t="shared" si="63"/>
        <v>0</v>
      </c>
      <c r="AH165" s="9">
        <f t="shared" si="59"/>
        <v>152666.66666666677</v>
      </c>
      <c r="AI165" s="273"/>
      <c r="AJ165" s="273">
        <f t="shared" si="71"/>
        <v>0</v>
      </c>
      <c r="AK165" s="9">
        <f t="shared" si="60"/>
        <v>71414.814814814759</v>
      </c>
      <c r="AL165" s="273"/>
      <c r="AM165" s="273">
        <f t="shared" si="65"/>
        <v>0</v>
      </c>
      <c r="AN165" s="9">
        <f t="shared" si="61"/>
        <v>18118.518518518529</v>
      </c>
      <c r="AO165" s="273"/>
      <c r="AP165" s="273">
        <f t="shared" si="62"/>
        <v>0</v>
      </c>
      <c r="AQ165" s="9"/>
      <c r="AR165" s="273"/>
      <c r="AS165" s="39"/>
    </row>
    <row r="166" spans="1:45" ht="12.75">
      <c r="A166" s="163">
        <v>44100</v>
      </c>
      <c r="B166" s="273">
        <f>SUMIFS('Egg Tally'!$G:$G,'Egg Tally'!$C:$C,"M",'Egg Tally'!$A:$A,'Egg Collections'!$A166)</f>
        <v>0</v>
      </c>
      <c r="C166" s="273"/>
      <c r="D166" s="273">
        <f>SUMIFS('Egg Tally'!$G:$G,'Egg Tally'!$C:$C,D$1,'Egg Tally'!$A:$A,'Egg Collections'!$A166)</f>
        <v>0</v>
      </c>
      <c r="E166" s="273">
        <f>SUMIFS('Egg Tally'!$G:$G,'Egg Tally'!$C:$C,E$1,'Egg Tally'!$A:$A,'Egg Collections'!$A166)</f>
        <v>0</v>
      </c>
      <c r="F166" s="273">
        <f>SUMIFS('Egg Tally'!$G:$G,'Egg Tally'!$C:$C,F$1,'Egg Tally'!$A:$A,'Egg Collections'!$A166)</f>
        <v>0</v>
      </c>
      <c r="G166" s="273">
        <f>SUMIFS('Egg Tally'!$G:$G,'Egg Tally'!$C:$C,G$1,'Egg Tally'!$A:$A,'Egg Collections'!$A166)</f>
        <v>0</v>
      </c>
      <c r="H166" s="273">
        <f>SUMIFS('Egg Tally'!$G:$G,'Egg Tally'!$C:$C,H$1,'Egg Tally'!$A:$A,'Egg Collections'!$A166)</f>
        <v>0</v>
      </c>
      <c r="I166" s="2">
        <f t="shared" si="70"/>
        <v>0</v>
      </c>
      <c r="J166" s="17"/>
      <c r="K166" s="10"/>
      <c r="L166" s="10"/>
      <c r="M166" s="10"/>
      <c r="N166" s="10"/>
      <c r="O166" s="10"/>
      <c r="P166" s="10"/>
      <c r="Q166" s="10"/>
      <c r="R166" s="2"/>
      <c r="S166" s="273"/>
      <c r="T166" s="273"/>
      <c r="U166" s="273"/>
      <c r="V166" s="9"/>
      <c r="W166" s="273"/>
      <c r="X166" s="273"/>
      <c r="Y166" s="9"/>
      <c r="Z166" s="273"/>
      <c r="AA166" s="273"/>
      <c r="AB166" s="9">
        <f t="shared" si="56"/>
        <v>0</v>
      </c>
      <c r="AC166" s="273"/>
      <c r="AD166" s="273" t="e">
        <f t="shared" si="57"/>
        <v>#DIV/0!</v>
      </c>
      <c r="AE166" s="9">
        <f t="shared" si="58"/>
        <v>0</v>
      </c>
      <c r="AF166" s="273"/>
      <c r="AG166" s="273" t="e">
        <f t="shared" si="63"/>
        <v>#DIV/0!</v>
      </c>
      <c r="AH166" s="9">
        <f t="shared" si="59"/>
        <v>0</v>
      </c>
      <c r="AI166" s="273"/>
      <c r="AJ166" s="273" t="e">
        <f t="shared" si="71"/>
        <v>#DIV/0!</v>
      </c>
      <c r="AK166" s="9">
        <f t="shared" si="60"/>
        <v>0</v>
      </c>
      <c r="AL166" s="273"/>
      <c r="AM166" s="273" t="e">
        <f t="shared" si="65"/>
        <v>#DIV/0!</v>
      </c>
      <c r="AN166" s="9">
        <f t="shared" si="61"/>
        <v>0</v>
      </c>
      <c r="AO166" s="273"/>
      <c r="AP166" s="273" t="e">
        <f t="shared" si="62"/>
        <v>#DIV/0!</v>
      </c>
      <c r="AQ166" s="9"/>
      <c r="AR166" s="273"/>
      <c r="AS166" s="39"/>
    </row>
    <row r="167" spans="1:45" ht="12.75">
      <c r="A167" s="163">
        <v>44101</v>
      </c>
      <c r="B167" s="273">
        <f>SUMIFS('Egg Tally'!$G:$G,'Egg Tally'!$C:$C,"M",'Egg Tally'!$A:$A,'Egg Collections'!$A167)</f>
        <v>0</v>
      </c>
      <c r="C167" s="273"/>
      <c r="D167" s="273">
        <f>SUMIFS('Egg Tally'!$G:$G,'Egg Tally'!$C:$C,D$1,'Egg Tally'!$A:$A,'Egg Collections'!$A167)</f>
        <v>0</v>
      </c>
      <c r="E167" s="273">
        <f>SUMIFS('Egg Tally'!$G:$G,'Egg Tally'!$C:$C,E$1,'Egg Tally'!$A:$A,'Egg Collections'!$A167)</f>
        <v>0</v>
      </c>
      <c r="F167" s="273">
        <f>SUMIFS('Egg Tally'!$G:$G,'Egg Tally'!$C:$C,F$1,'Egg Tally'!$A:$A,'Egg Collections'!$A167)</f>
        <v>0</v>
      </c>
      <c r="G167" s="273">
        <f>SUMIFS('Egg Tally'!$G:$G,'Egg Tally'!$C:$C,G$1,'Egg Tally'!$A:$A,'Egg Collections'!$A167)</f>
        <v>0</v>
      </c>
      <c r="H167" s="273">
        <f>SUMIFS('Egg Tally'!$G:$G,'Egg Tally'!$C:$C,H$1,'Egg Tally'!$A:$A,'Egg Collections'!$A167)</f>
        <v>0</v>
      </c>
      <c r="I167" s="2">
        <f t="shared" si="70"/>
        <v>0</v>
      </c>
      <c r="J167" s="17"/>
      <c r="K167" s="10"/>
      <c r="L167" s="10"/>
      <c r="M167" s="10"/>
      <c r="N167" s="10"/>
      <c r="O167" s="10"/>
      <c r="P167" s="10"/>
      <c r="Q167" s="10"/>
      <c r="R167" s="2"/>
      <c r="S167" s="273"/>
      <c r="T167" s="273"/>
      <c r="U167" s="273"/>
      <c r="V167" s="9"/>
      <c r="W167" s="273"/>
      <c r="X167" s="273"/>
      <c r="Y167" s="9"/>
      <c r="Z167" s="273"/>
      <c r="AA167" s="273"/>
      <c r="AB167" s="9">
        <f t="shared" si="56"/>
        <v>0</v>
      </c>
      <c r="AC167" s="273"/>
      <c r="AD167" s="273" t="e">
        <f t="shared" si="57"/>
        <v>#DIV/0!</v>
      </c>
      <c r="AE167" s="9">
        <f t="shared" si="58"/>
        <v>0</v>
      </c>
      <c r="AF167" s="273"/>
      <c r="AG167" s="273" t="e">
        <f t="shared" si="63"/>
        <v>#DIV/0!</v>
      </c>
      <c r="AH167" s="9">
        <f t="shared" si="59"/>
        <v>0</v>
      </c>
      <c r="AI167" s="273"/>
      <c r="AJ167" s="273" t="e">
        <f t="shared" si="71"/>
        <v>#DIV/0!</v>
      </c>
      <c r="AK167" s="9">
        <f t="shared" si="60"/>
        <v>0</v>
      </c>
      <c r="AL167" s="273"/>
      <c r="AM167" s="273" t="e">
        <f t="shared" si="65"/>
        <v>#DIV/0!</v>
      </c>
      <c r="AN167" s="9">
        <f t="shared" si="61"/>
        <v>0</v>
      </c>
      <c r="AO167" s="273"/>
      <c r="AP167" s="273" t="e">
        <f t="shared" si="62"/>
        <v>#DIV/0!</v>
      </c>
      <c r="AQ167" s="9"/>
      <c r="AR167" s="273"/>
      <c r="AS167" s="39"/>
    </row>
    <row r="168" spans="1:45" ht="12.75">
      <c r="A168" s="163">
        <v>44102</v>
      </c>
      <c r="B168" s="273">
        <f>SUMIFS('Egg Tally'!$G:$G,'Egg Tally'!$C:$C,"M",'Egg Tally'!$A:$A,'Egg Collections'!$A168)</f>
        <v>0</v>
      </c>
      <c r="C168" s="273"/>
      <c r="D168" s="273">
        <f>SUMIFS('Egg Tally'!$G:$G,'Egg Tally'!$C:$C,D$1,'Egg Tally'!$A:$A,'Egg Collections'!$A168)</f>
        <v>2.7969000000000008</v>
      </c>
      <c r="E168" s="273">
        <f>SUMIFS('Egg Tally'!$G:$G,'Egg Tally'!$C:$C,E$1,'Egg Tally'!$A:$A,'Egg Collections'!$A168)</f>
        <v>1.1127000000000002</v>
      </c>
      <c r="F168" s="273">
        <f>SUMIFS('Egg Tally'!$G:$G,'Egg Tally'!$C:$C,F$1,'Egg Tally'!$A:$A,'Egg Collections'!$A168)</f>
        <v>1.1130999999999975</v>
      </c>
      <c r="G168" s="273">
        <f>SUMIFS('Egg Tally'!$G:$G,'Egg Tally'!$C:$C,G$1,'Egg Tally'!$A:$A,'Egg Collections'!$A168)</f>
        <v>0.36949999999999861</v>
      </c>
      <c r="H168" s="273">
        <f>SUMIFS('Egg Tally'!$G:$G,'Egg Tally'!$C:$C,H$1,'Egg Tally'!$A:$A,'Egg Collections'!$A168)</f>
        <v>8.8999999999999524E-2</v>
      </c>
      <c r="I168" s="2">
        <f t="shared" si="70"/>
        <v>5.4811999999999967</v>
      </c>
      <c r="J168" s="17"/>
      <c r="K168" s="10"/>
      <c r="L168" s="10"/>
      <c r="M168" s="10"/>
      <c r="N168" s="10"/>
      <c r="O168" s="10"/>
      <c r="P168" s="10"/>
      <c r="Q168" s="10"/>
      <c r="R168" s="2"/>
      <c r="S168" s="273"/>
      <c r="T168" s="273"/>
      <c r="U168" s="273"/>
      <c r="V168" s="9"/>
      <c r="W168" s="273"/>
      <c r="X168" s="273"/>
      <c r="Y168" s="9"/>
      <c r="Z168" s="273"/>
      <c r="AA168" s="273"/>
      <c r="AB168" s="9">
        <f t="shared" si="56"/>
        <v>103588.88888888892</v>
      </c>
      <c r="AC168" s="273"/>
      <c r="AD168" s="273">
        <f t="shared" si="57"/>
        <v>0</v>
      </c>
      <c r="AE168" s="9">
        <f t="shared" si="58"/>
        <v>41211.111111111124</v>
      </c>
      <c r="AF168" s="273"/>
      <c r="AG168" s="273">
        <f t="shared" si="63"/>
        <v>0</v>
      </c>
      <c r="AH168" s="9">
        <f t="shared" si="59"/>
        <v>41225.92592592584</v>
      </c>
      <c r="AI168" s="273"/>
      <c r="AJ168" s="273">
        <f t="shared" si="71"/>
        <v>0</v>
      </c>
      <c r="AK168" s="9">
        <f t="shared" si="60"/>
        <v>13685.185185185133</v>
      </c>
      <c r="AL168" s="273"/>
      <c r="AM168" s="273">
        <f t="shared" si="65"/>
        <v>0</v>
      </c>
      <c r="AN168" s="9">
        <f t="shared" si="61"/>
        <v>3296.2962962962788</v>
      </c>
      <c r="AO168" s="273"/>
      <c r="AP168" s="273">
        <f t="shared" si="62"/>
        <v>0</v>
      </c>
      <c r="AQ168" s="9"/>
      <c r="AR168" s="273"/>
      <c r="AS168" s="39"/>
    </row>
    <row r="169" spans="1:45" ht="12.75">
      <c r="A169" s="163">
        <v>44103</v>
      </c>
      <c r="B169" s="273">
        <f>SUMIFS('Egg Tally'!$G:$G,'Egg Tally'!$C:$C,"M",'Egg Tally'!$A:$A,'Egg Collections'!$A169)</f>
        <v>0</v>
      </c>
      <c r="C169" s="273"/>
      <c r="D169" s="273">
        <f>SUMIFS('Egg Tally'!$G:$G,'Egg Tally'!$C:$C,D$1,'Egg Tally'!$A:$A,'Egg Collections'!$A169)</f>
        <v>0</v>
      </c>
      <c r="E169" s="273">
        <f>SUMIFS('Egg Tally'!$G:$G,'Egg Tally'!$C:$C,E$1,'Egg Tally'!$A:$A,'Egg Collections'!$A169)</f>
        <v>0</v>
      </c>
      <c r="F169" s="273">
        <f>SUMIFS('Egg Tally'!$G:$G,'Egg Tally'!$C:$C,F$1,'Egg Tally'!$A:$A,'Egg Collections'!$A169)</f>
        <v>0</v>
      </c>
      <c r="G169" s="273">
        <f>SUMIFS('Egg Tally'!$G:$G,'Egg Tally'!$C:$C,G$1,'Egg Tally'!$A:$A,'Egg Collections'!$A169)</f>
        <v>0</v>
      </c>
      <c r="H169" s="273">
        <f>SUMIFS('Egg Tally'!$G:$G,'Egg Tally'!$C:$C,H$1,'Egg Tally'!$A:$A,'Egg Collections'!$A169)</f>
        <v>0</v>
      </c>
      <c r="I169" s="2">
        <f t="shared" si="70"/>
        <v>0</v>
      </c>
      <c r="J169" s="17"/>
      <c r="K169" s="10"/>
      <c r="L169" s="10"/>
      <c r="M169" s="10"/>
      <c r="N169" s="10"/>
      <c r="O169" s="10"/>
      <c r="P169" s="10"/>
      <c r="Q169" s="10"/>
      <c r="R169" s="2"/>
      <c r="S169" s="273"/>
      <c r="T169" s="273"/>
      <c r="U169" s="273"/>
      <c r="V169" s="9"/>
      <c r="W169" s="273"/>
      <c r="X169" s="273"/>
      <c r="Y169" s="9"/>
      <c r="Z169" s="273"/>
      <c r="AA169" s="273"/>
      <c r="AB169" s="9">
        <f t="shared" si="56"/>
        <v>0</v>
      </c>
      <c r="AC169" s="273"/>
      <c r="AD169" s="273" t="e">
        <f t="shared" si="57"/>
        <v>#DIV/0!</v>
      </c>
      <c r="AE169" s="9">
        <f t="shared" si="58"/>
        <v>0</v>
      </c>
      <c r="AF169" s="273"/>
      <c r="AG169" s="273" t="e">
        <f t="shared" si="63"/>
        <v>#DIV/0!</v>
      </c>
      <c r="AH169" s="9">
        <f t="shared" si="59"/>
        <v>0</v>
      </c>
      <c r="AI169" s="273"/>
      <c r="AJ169" s="273" t="e">
        <f t="shared" si="71"/>
        <v>#DIV/0!</v>
      </c>
      <c r="AK169" s="9">
        <f t="shared" si="60"/>
        <v>0</v>
      </c>
      <c r="AL169" s="273"/>
      <c r="AM169" s="273" t="e">
        <f t="shared" si="65"/>
        <v>#DIV/0!</v>
      </c>
      <c r="AN169" s="9">
        <f t="shared" si="61"/>
        <v>0</v>
      </c>
      <c r="AO169" s="273"/>
      <c r="AP169" s="273" t="e">
        <f t="shared" si="62"/>
        <v>#DIV/0!</v>
      </c>
      <c r="AQ169" s="9"/>
      <c r="AR169" s="273"/>
      <c r="AS169" s="39"/>
    </row>
    <row r="170" spans="1:45" ht="12.75">
      <c r="A170" s="163">
        <v>44104</v>
      </c>
      <c r="B170" s="273">
        <f>SUMIFS('Egg Tally'!$G:$G,'Egg Tally'!$C:$C,"M",'Egg Tally'!$A:$A,'Egg Collections'!$A170)</f>
        <v>0</v>
      </c>
      <c r="C170" s="273"/>
      <c r="D170" s="273">
        <f>SUMIFS('Egg Tally'!$G:$G,'Egg Tally'!$C:$C,D$1,'Egg Tally'!$A:$A,'Egg Collections'!$A170)</f>
        <v>1.6549000000000014</v>
      </c>
      <c r="E170" s="273">
        <f>SUMIFS('Egg Tally'!$G:$G,'Egg Tally'!$C:$C,E$1,'Egg Tally'!$A:$A,'Egg Collections'!$A170)</f>
        <v>3.0062999999999995</v>
      </c>
      <c r="F170" s="273">
        <f>SUMIFS('Egg Tally'!$G:$G,'Egg Tally'!$C:$C,F$1,'Egg Tally'!$A:$A,'Egg Collections'!$A170)</f>
        <v>3.0766999999999998</v>
      </c>
      <c r="G170" s="273">
        <f>SUMIFS('Egg Tally'!$G:$G,'Egg Tally'!$C:$C,G$1,'Egg Tally'!$A:$A,'Egg Collections'!$A170)</f>
        <v>0.12789999999999946</v>
      </c>
      <c r="H170" s="273">
        <f>SUMIFS('Egg Tally'!$G:$G,'Egg Tally'!$C:$C,H$1,'Egg Tally'!$A:$A,'Egg Collections'!$A170)</f>
        <v>0</v>
      </c>
      <c r="I170" s="2">
        <f t="shared" si="70"/>
        <v>7.8658000000000001</v>
      </c>
      <c r="J170" s="17"/>
      <c r="K170" s="10"/>
      <c r="L170" s="10"/>
      <c r="M170" s="10"/>
      <c r="N170" s="10"/>
      <c r="O170" s="10"/>
      <c r="P170" s="10"/>
      <c r="Q170" s="10"/>
      <c r="R170" s="2"/>
      <c r="S170" s="273"/>
      <c r="T170" s="273"/>
      <c r="U170" s="273"/>
      <c r="V170" s="9"/>
      <c r="W170" s="273"/>
      <c r="X170" s="273"/>
      <c r="Y170" s="9"/>
      <c r="Z170" s="273"/>
      <c r="AA170" s="273"/>
      <c r="AB170" s="9">
        <f t="shared" si="56"/>
        <v>61292.592592592642</v>
      </c>
      <c r="AC170" s="273"/>
      <c r="AD170" s="273">
        <f t="shared" si="57"/>
        <v>0</v>
      </c>
      <c r="AE170" s="9">
        <f t="shared" si="58"/>
        <v>111344.44444444444</v>
      </c>
      <c r="AF170" s="273"/>
      <c r="AG170" s="273">
        <f t="shared" si="63"/>
        <v>0</v>
      </c>
      <c r="AH170" s="9">
        <f t="shared" si="59"/>
        <v>113951.85185185185</v>
      </c>
      <c r="AI170" s="273"/>
      <c r="AJ170" s="273">
        <f t="shared" si="71"/>
        <v>0</v>
      </c>
      <c r="AK170" s="9">
        <f t="shared" si="60"/>
        <v>4737.0370370370174</v>
      </c>
      <c r="AL170" s="273"/>
      <c r="AM170" s="273">
        <f t="shared" si="65"/>
        <v>0</v>
      </c>
      <c r="AN170" s="9">
        <f t="shared" si="61"/>
        <v>0</v>
      </c>
      <c r="AO170" s="273"/>
      <c r="AP170" s="273" t="e">
        <f t="shared" si="62"/>
        <v>#DIV/0!</v>
      </c>
      <c r="AQ170" s="9"/>
      <c r="AR170" s="273"/>
      <c r="AS170" s="39"/>
    </row>
    <row r="171" spans="1:45" ht="12.75">
      <c r="A171" s="163">
        <v>44105</v>
      </c>
      <c r="B171" s="273">
        <f>SUMIFS('Egg Tally'!$G:$G,'Egg Tally'!$C:$C,"M",'Egg Tally'!$A:$A,'Egg Collections'!$A171)</f>
        <v>0</v>
      </c>
      <c r="C171" s="273"/>
      <c r="D171" s="273">
        <f>SUMIFS('Egg Tally'!$G:$G,'Egg Tally'!$C:$C,D$1,'Egg Tally'!$A:$A,'Egg Collections'!$A171)</f>
        <v>0</v>
      </c>
      <c r="E171" s="273">
        <f>SUMIFS('Egg Tally'!$G:$G,'Egg Tally'!$C:$C,E$1,'Egg Tally'!$A:$A,'Egg Collections'!$A171)</f>
        <v>0</v>
      </c>
      <c r="F171" s="273">
        <f>SUMIFS('Egg Tally'!$G:$G,'Egg Tally'!$C:$C,F$1,'Egg Tally'!$A:$A,'Egg Collections'!$A171)</f>
        <v>0</v>
      </c>
      <c r="G171" s="273">
        <f>SUMIFS('Egg Tally'!$G:$G,'Egg Tally'!$C:$C,G$1,'Egg Tally'!$A:$A,'Egg Collections'!$A171)</f>
        <v>0</v>
      </c>
      <c r="H171" s="273">
        <f>SUMIFS('Egg Tally'!$G:$G,'Egg Tally'!$C:$C,H$1,'Egg Tally'!$A:$A,'Egg Collections'!$A171)</f>
        <v>0</v>
      </c>
      <c r="I171" s="2">
        <f t="shared" si="70"/>
        <v>0</v>
      </c>
      <c r="J171" s="17"/>
      <c r="K171" s="10"/>
      <c r="L171" s="10"/>
      <c r="M171" s="10"/>
      <c r="N171" s="10"/>
      <c r="O171" s="10"/>
      <c r="P171" s="10"/>
      <c r="Q171" s="10"/>
      <c r="R171" s="2"/>
      <c r="S171" s="273"/>
      <c r="T171" s="273"/>
      <c r="U171" s="273"/>
      <c r="V171" s="9"/>
      <c r="W171" s="273"/>
      <c r="X171" s="273"/>
      <c r="Y171" s="9"/>
      <c r="Z171" s="273"/>
      <c r="AA171" s="273"/>
      <c r="AB171" s="9">
        <f t="shared" si="56"/>
        <v>0</v>
      </c>
      <c r="AC171" s="273"/>
      <c r="AD171" s="273" t="e">
        <f t="shared" si="57"/>
        <v>#DIV/0!</v>
      </c>
      <c r="AE171" s="9">
        <f t="shared" si="58"/>
        <v>0</v>
      </c>
      <c r="AF171" s="273"/>
      <c r="AG171" s="273" t="e">
        <f t="shared" si="63"/>
        <v>#DIV/0!</v>
      </c>
      <c r="AH171" s="9">
        <f t="shared" si="59"/>
        <v>0</v>
      </c>
      <c r="AI171" s="273"/>
      <c r="AJ171" s="273" t="e">
        <f t="shared" si="71"/>
        <v>#DIV/0!</v>
      </c>
      <c r="AK171" s="9">
        <f t="shared" si="60"/>
        <v>0</v>
      </c>
      <c r="AL171" s="273"/>
      <c r="AM171" s="273" t="e">
        <f t="shared" si="65"/>
        <v>#DIV/0!</v>
      </c>
      <c r="AN171" s="9">
        <f t="shared" si="61"/>
        <v>0</v>
      </c>
      <c r="AO171" s="273"/>
      <c r="AP171" s="273" t="e">
        <f t="shared" si="62"/>
        <v>#DIV/0!</v>
      </c>
      <c r="AQ171" s="9"/>
      <c r="AR171" s="273"/>
      <c r="AS171" s="39"/>
    </row>
    <row r="172" spans="1:45" ht="12.75">
      <c r="A172" s="163">
        <v>44106</v>
      </c>
      <c r="B172" s="273">
        <f>SUMIFS('Egg Tally'!$G:$G,'Egg Tally'!$C:$C,"M",'Egg Tally'!$A:$A,'Egg Collections'!$A172)</f>
        <v>0</v>
      </c>
      <c r="C172" s="273"/>
      <c r="D172" s="273">
        <f>SUMIFS('Egg Tally'!$G:$G,'Egg Tally'!$C:$C,D$1,'Egg Tally'!$A:$A,'Egg Collections'!$A172)</f>
        <v>0.35199999999999942</v>
      </c>
      <c r="E172" s="273">
        <f>SUMIFS('Egg Tally'!$G:$G,'Egg Tally'!$C:$C,E$1,'Egg Tally'!$A:$A,'Egg Collections'!$A172)</f>
        <v>3.2567000000000004</v>
      </c>
      <c r="F172" s="273">
        <f>SUMIFS('Egg Tally'!$G:$G,'Egg Tally'!$C:$C,F$1,'Egg Tally'!$A:$A,'Egg Collections'!$A172)</f>
        <v>1.7869000000000006</v>
      </c>
      <c r="G172" s="273">
        <f>SUMIFS('Egg Tally'!$G:$G,'Egg Tally'!$C:$C,G$1,'Egg Tally'!$A:$A,'Egg Collections'!$A172)</f>
        <v>1.3819100000000004</v>
      </c>
      <c r="H172" s="273">
        <f>SUMIFS('Egg Tally'!$G:$G,'Egg Tally'!$C:$C,H$1,'Egg Tally'!$A:$A,'Egg Collections'!$A172)</f>
        <v>0</v>
      </c>
      <c r="I172" s="2">
        <f t="shared" si="70"/>
        <v>6.7775100000000004</v>
      </c>
      <c r="J172" s="17"/>
      <c r="K172" s="10"/>
      <c r="L172" s="10"/>
      <c r="M172" s="10"/>
      <c r="N172" s="10"/>
      <c r="O172" s="10"/>
      <c r="P172" s="10"/>
      <c r="Q172" s="10"/>
      <c r="R172" s="2"/>
      <c r="S172" s="273"/>
      <c r="T172" s="273"/>
      <c r="U172" s="273"/>
      <c r="V172" s="9"/>
      <c r="W172" s="273"/>
      <c r="X172" s="273"/>
      <c r="Y172" s="9"/>
      <c r="Z172" s="273"/>
      <c r="AA172" s="273"/>
      <c r="AB172" s="9">
        <f t="shared" si="56"/>
        <v>13037.037037037016</v>
      </c>
      <c r="AC172" s="273"/>
      <c r="AD172" s="273">
        <f t="shared" si="57"/>
        <v>0</v>
      </c>
      <c r="AE172" s="9">
        <f t="shared" si="58"/>
        <v>120618.51851851854</v>
      </c>
      <c r="AF172" s="273"/>
      <c r="AG172" s="273">
        <f t="shared" si="63"/>
        <v>0</v>
      </c>
      <c r="AH172" s="9">
        <f t="shared" si="59"/>
        <v>66181.481481481504</v>
      </c>
      <c r="AI172" s="273"/>
      <c r="AJ172" s="273">
        <f t="shared" si="71"/>
        <v>0</v>
      </c>
      <c r="AK172" s="9">
        <f t="shared" si="60"/>
        <v>51181.851851851869</v>
      </c>
      <c r="AL172" s="273"/>
      <c r="AM172" s="273">
        <f t="shared" si="65"/>
        <v>0</v>
      </c>
      <c r="AN172" s="9">
        <f t="shared" si="61"/>
        <v>0</v>
      </c>
      <c r="AO172" s="273"/>
      <c r="AP172" s="273" t="e">
        <f t="shared" si="62"/>
        <v>#DIV/0!</v>
      </c>
      <c r="AQ172" s="9"/>
      <c r="AR172" s="273"/>
      <c r="AS172" s="39"/>
    </row>
    <row r="173" spans="1:45" ht="12.75">
      <c r="A173" s="163">
        <v>44107</v>
      </c>
      <c r="B173" s="273">
        <f>SUMIFS('Egg Tally'!$G:$G,'Egg Tally'!$C:$C,"M",'Egg Tally'!$A:$A,'Egg Collections'!$A173)</f>
        <v>0</v>
      </c>
      <c r="C173" s="273"/>
      <c r="D173" s="273">
        <f>SUMIFS('Egg Tally'!$G:$G,'Egg Tally'!$C:$C,D$1,'Egg Tally'!$A:$A,'Egg Collections'!$A173)</f>
        <v>0</v>
      </c>
      <c r="E173" s="273">
        <f>SUMIFS('Egg Tally'!$G:$G,'Egg Tally'!$C:$C,E$1,'Egg Tally'!$A:$A,'Egg Collections'!$A173)</f>
        <v>0</v>
      </c>
      <c r="F173" s="273">
        <f>SUMIFS('Egg Tally'!$G:$G,'Egg Tally'!$C:$C,F$1,'Egg Tally'!$A:$A,'Egg Collections'!$A173)</f>
        <v>0</v>
      </c>
      <c r="G173" s="273">
        <f>SUMIFS('Egg Tally'!$G:$G,'Egg Tally'!$C:$C,G$1,'Egg Tally'!$A:$A,'Egg Collections'!$A173)</f>
        <v>0</v>
      </c>
      <c r="H173" s="273">
        <f>SUMIFS('Egg Tally'!$G:$G,'Egg Tally'!$C:$C,H$1,'Egg Tally'!$A:$A,'Egg Collections'!$A173)</f>
        <v>0</v>
      </c>
      <c r="I173" s="2">
        <f t="shared" si="70"/>
        <v>0</v>
      </c>
      <c r="J173" s="17"/>
      <c r="K173" s="10"/>
      <c r="L173" s="10"/>
      <c r="M173" s="10"/>
      <c r="N173" s="10"/>
      <c r="O173" s="10"/>
      <c r="P173" s="10"/>
      <c r="Q173" s="10"/>
      <c r="R173" s="2"/>
      <c r="S173" s="273"/>
      <c r="T173" s="273"/>
      <c r="U173" s="273"/>
      <c r="V173" s="9"/>
      <c r="W173" s="273"/>
      <c r="X173" s="273"/>
      <c r="Y173" s="9"/>
      <c r="Z173" s="273"/>
      <c r="AA173" s="273"/>
      <c r="AB173" s="9">
        <f t="shared" si="56"/>
        <v>0</v>
      </c>
      <c r="AC173" s="273"/>
      <c r="AD173" s="273" t="e">
        <f t="shared" si="57"/>
        <v>#DIV/0!</v>
      </c>
      <c r="AE173" s="9">
        <f t="shared" si="58"/>
        <v>0</v>
      </c>
      <c r="AF173" s="273"/>
      <c r="AG173" s="273" t="e">
        <f t="shared" si="63"/>
        <v>#DIV/0!</v>
      </c>
      <c r="AH173" s="9">
        <f t="shared" si="59"/>
        <v>0</v>
      </c>
      <c r="AI173" s="273"/>
      <c r="AJ173" s="273" t="e">
        <f t="shared" si="71"/>
        <v>#DIV/0!</v>
      </c>
      <c r="AK173" s="9">
        <f t="shared" si="60"/>
        <v>0</v>
      </c>
      <c r="AL173" s="273"/>
      <c r="AM173" s="273" t="e">
        <f t="shared" si="65"/>
        <v>#DIV/0!</v>
      </c>
      <c r="AN173" s="9">
        <f t="shared" si="61"/>
        <v>0</v>
      </c>
      <c r="AO173" s="273"/>
      <c r="AP173" s="273" t="e">
        <f t="shared" si="62"/>
        <v>#DIV/0!</v>
      </c>
      <c r="AQ173" s="9"/>
      <c r="AR173" s="273"/>
      <c r="AS173" s="39"/>
    </row>
    <row r="174" spans="1:45" ht="12.75">
      <c r="A174" s="163">
        <v>44108</v>
      </c>
      <c r="B174" s="273">
        <f>SUMIFS('Egg Tally'!$G:$G,'Egg Tally'!$C:$C,"M",'Egg Tally'!$A:$A,'Egg Collections'!$A174)</f>
        <v>0</v>
      </c>
      <c r="C174" s="273"/>
      <c r="D174" s="273">
        <f>SUMIFS('Egg Tally'!$G:$G,'Egg Tally'!$C:$C,D$1,'Egg Tally'!$A:$A,'Egg Collections'!$A174)</f>
        <v>0</v>
      </c>
      <c r="E174" s="273">
        <f>SUMIFS('Egg Tally'!$G:$G,'Egg Tally'!$C:$C,E$1,'Egg Tally'!$A:$A,'Egg Collections'!$A174)</f>
        <v>0</v>
      </c>
      <c r="F174" s="273">
        <f>SUMIFS('Egg Tally'!$G:$G,'Egg Tally'!$C:$C,F$1,'Egg Tally'!$A:$A,'Egg Collections'!$A174)</f>
        <v>0</v>
      </c>
      <c r="G174" s="273">
        <f>SUMIFS('Egg Tally'!$G:$G,'Egg Tally'!$C:$C,G$1,'Egg Tally'!$A:$A,'Egg Collections'!$A174)</f>
        <v>0</v>
      </c>
      <c r="H174" s="273">
        <f>SUMIFS('Egg Tally'!$G:$G,'Egg Tally'!$C:$C,H$1,'Egg Tally'!$A:$A,'Egg Collections'!$A174)</f>
        <v>0</v>
      </c>
      <c r="I174" s="2">
        <f t="shared" si="70"/>
        <v>0</v>
      </c>
      <c r="J174" s="17"/>
      <c r="K174" s="10"/>
      <c r="L174" s="10"/>
      <c r="M174" s="10"/>
      <c r="N174" s="10"/>
      <c r="O174" s="10"/>
      <c r="P174" s="10"/>
      <c r="Q174" s="10"/>
      <c r="R174" s="2"/>
      <c r="S174" s="273"/>
      <c r="T174" s="273"/>
      <c r="U174" s="273"/>
      <c r="V174" s="9"/>
      <c r="W174" s="273"/>
      <c r="X174" s="273"/>
      <c r="Y174" s="9"/>
      <c r="Z174" s="273"/>
      <c r="AA174" s="273"/>
      <c r="AB174" s="9">
        <f t="shared" si="56"/>
        <v>0</v>
      </c>
      <c r="AC174" s="273"/>
      <c r="AD174" s="273" t="e">
        <f t="shared" si="57"/>
        <v>#DIV/0!</v>
      </c>
      <c r="AE174" s="9">
        <f t="shared" si="58"/>
        <v>0</v>
      </c>
      <c r="AF174" s="273"/>
      <c r="AG174" s="273" t="e">
        <f t="shared" si="63"/>
        <v>#DIV/0!</v>
      </c>
      <c r="AH174" s="9">
        <f t="shared" si="59"/>
        <v>0</v>
      </c>
      <c r="AI174" s="273"/>
      <c r="AJ174" s="273" t="e">
        <f t="shared" si="71"/>
        <v>#DIV/0!</v>
      </c>
      <c r="AK174" s="9">
        <f t="shared" si="60"/>
        <v>0</v>
      </c>
      <c r="AL174" s="273"/>
      <c r="AM174" s="273" t="e">
        <f t="shared" si="65"/>
        <v>#DIV/0!</v>
      </c>
      <c r="AN174" s="9">
        <f t="shared" si="61"/>
        <v>0</v>
      </c>
      <c r="AO174" s="273"/>
      <c r="AP174" s="273" t="e">
        <f t="shared" si="62"/>
        <v>#DIV/0!</v>
      </c>
      <c r="AQ174" s="9"/>
      <c r="AR174" s="273"/>
      <c r="AS174" s="39"/>
    </row>
    <row r="175" spans="1:45" ht="12.75">
      <c r="A175" s="163">
        <v>44109</v>
      </c>
      <c r="B175" s="273">
        <f>SUMIFS('Egg Tally'!$G:$G,'Egg Tally'!$C:$C,"M",'Egg Tally'!$A:$A,'Egg Collections'!$A175)</f>
        <v>0</v>
      </c>
      <c r="C175" s="273"/>
      <c r="D175" s="273">
        <f>SUMIFS('Egg Tally'!$G:$G,'Egg Tally'!$C:$C,D$1,'Egg Tally'!$A:$A,'Egg Collections'!$A175)</f>
        <v>0</v>
      </c>
      <c r="E175" s="273">
        <f>SUMIFS('Egg Tally'!$G:$G,'Egg Tally'!$C:$C,E$1,'Egg Tally'!$A:$A,'Egg Collections'!$A175)</f>
        <v>6.9743000000000004</v>
      </c>
      <c r="F175" s="273">
        <f>SUMIFS('Egg Tally'!$G:$G,'Egg Tally'!$C:$C,F$1,'Egg Tally'!$A:$A,'Egg Collections'!$A175)</f>
        <v>3.2147999999999999</v>
      </c>
      <c r="G175" s="273">
        <f>SUMIFS('Egg Tally'!$G:$G,'Egg Tally'!$C:$C,G$1,'Egg Tally'!$A:$A,'Egg Collections'!$A175)</f>
        <v>0.98540000000000028</v>
      </c>
      <c r="H175" s="273">
        <f>SUMIFS('Egg Tally'!$G:$G,'Egg Tally'!$C:$C,H$1,'Egg Tally'!$A:$A,'Egg Collections'!$A175)</f>
        <v>0</v>
      </c>
      <c r="I175" s="2">
        <f t="shared" si="70"/>
        <v>11.1745</v>
      </c>
      <c r="J175" s="17" t="s">
        <v>56</v>
      </c>
      <c r="K175" s="10"/>
      <c r="L175" s="10"/>
      <c r="M175" s="10"/>
      <c r="N175" s="10"/>
      <c r="O175" s="10"/>
      <c r="P175" s="10"/>
      <c r="Q175" s="10"/>
      <c r="R175" s="2"/>
      <c r="S175" s="273"/>
      <c r="T175" s="273"/>
      <c r="U175" s="273"/>
      <c r="V175" s="9"/>
      <c r="W175" s="273"/>
      <c r="X175" s="273"/>
      <c r="Y175" s="9"/>
      <c r="Z175" s="273"/>
      <c r="AA175" s="273"/>
      <c r="AB175" s="9">
        <f t="shared" si="56"/>
        <v>0</v>
      </c>
      <c r="AC175" s="273"/>
      <c r="AD175" s="273" t="e">
        <f t="shared" si="57"/>
        <v>#DIV/0!</v>
      </c>
      <c r="AE175" s="9">
        <f t="shared" si="58"/>
        <v>258307.40740740745</v>
      </c>
      <c r="AF175" s="273"/>
      <c r="AG175" s="273">
        <f t="shared" si="63"/>
        <v>0</v>
      </c>
      <c r="AH175" s="9">
        <f t="shared" si="59"/>
        <v>119066.66666666667</v>
      </c>
      <c r="AI175" s="273"/>
      <c r="AJ175" s="273">
        <f t="shared" si="71"/>
        <v>0</v>
      </c>
      <c r="AK175" s="9">
        <f t="shared" si="60"/>
        <v>36496.296296296307</v>
      </c>
      <c r="AL175" s="273"/>
      <c r="AM175" s="273">
        <f t="shared" si="65"/>
        <v>0</v>
      </c>
      <c r="AN175" s="9">
        <f t="shared" si="61"/>
        <v>0</v>
      </c>
      <c r="AO175" s="273"/>
      <c r="AP175" s="273" t="e">
        <f t="shared" si="62"/>
        <v>#DIV/0!</v>
      </c>
      <c r="AQ175" s="9"/>
      <c r="AR175" s="273"/>
      <c r="AS175" s="39"/>
    </row>
    <row r="176" spans="1:45" ht="12.75">
      <c r="A176" s="163">
        <v>44110</v>
      </c>
      <c r="B176" s="273">
        <f>SUMIFS('Egg Tally'!$G:$G,'Egg Tally'!$C:$C,"M",'Egg Tally'!$A:$A,'Egg Collections'!$A176)</f>
        <v>0</v>
      </c>
      <c r="C176" s="273"/>
      <c r="D176" s="273">
        <f>SUMIFS('Egg Tally'!$G:$G,'Egg Tally'!$C:$C,D$1,'Egg Tally'!$A:$A,'Egg Collections'!$A176)</f>
        <v>0</v>
      </c>
      <c r="E176" s="273">
        <f>SUMIFS('Egg Tally'!$G:$G,'Egg Tally'!$C:$C,E$1,'Egg Tally'!$A:$A,'Egg Collections'!$A176)</f>
        <v>0</v>
      </c>
      <c r="F176" s="273">
        <f>SUMIFS('Egg Tally'!$G:$G,'Egg Tally'!$C:$C,F$1,'Egg Tally'!$A:$A,'Egg Collections'!$A176)</f>
        <v>0</v>
      </c>
      <c r="G176" s="273">
        <f>SUMIFS('Egg Tally'!$G:$G,'Egg Tally'!$C:$C,G$1,'Egg Tally'!$A:$A,'Egg Collections'!$A176)</f>
        <v>0</v>
      </c>
      <c r="H176" s="273">
        <f>SUMIFS('Egg Tally'!$G:$G,'Egg Tally'!$C:$C,H$1,'Egg Tally'!$A:$A,'Egg Collections'!$A176)</f>
        <v>0</v>
      </c>
      <c r="I176" s="2">
        <f t="shared" si="70"/>
        <v>0</v>
      </c>
      <c r="J176" s="17"/>
      <c r="K176" s="10"/>
      <c r="L176" s="10"/>
      <c r="M176" s="10"/>
      <c r="N176" s="10"/>
      <c r="O176" s="10"/>
      <c r="P176" s="10"/>
      <c r="Q176" s="10"/>
      <c r="R176" s="2"/>
      <c r="S176" s="273"/>
      <c r="T176" s="273"/>
      <c r="U176" s="273"/>
      <c r="V176" s="9"/>
      <c r="W176" s="273"/>
      <c r="X176" s="273"/>
      <c r="Y176" s="9"/>
      <c r="Z176" s="273"/>
      <c r="AA176" s="273"/>
      <c r="AB176" s="9">
        <f t="shared" si="56"/>
        <v>0</v>
      </c>
      <c r="AC176" s="273"/>
      <c r="AD176" s="273" t="e">
        <f t="shared" si="57"/>
        <v>#DIV/0!</v>
      </c>
      <c r="AE176" s="9">
        <f t="shared" si="58"/>
        <v>0</v>
      </c>
      <c r="AF176" s="273"/>
      <c r="AG176" s="273" t="e">
        <f t="shared" si="63"/>
        <v>#DIV/0!</v>
      </c>
      <c r="AH176" s="9">
        <f t="shared" si="59"/>
        <v>0</v>
      </c>
      <c r="AI176" s="273"/>
      <c r="AJ176" s="273" t="e">
        <f t="shared" si="71"/>
        <v>#DIV/0!</v>
      </c>
      <c r="AK176" s="9">
        <f t="shared" si="60"/>
        <v>0</v>
      </c>
      <c r="AL176" s="273"/>
      <c r="AM176" s="273" t="e">
        <f t="shared" si="65"/>
        <v>#DIV/0!</v>
      </c>
      <c r="AN176" s="9">
        <f t="shared" si="61"/>
        <v>0</v>
      </c>
      <c r="AO176" s="273"/>
      <c r="AP176" s="273" t="e">
        <f t="shared" si="62"/>
        <v>#DIV/0!</v>
      </c>
      <c r="AQ176" s="9"/>
      <c r="AR176" s="273"/>
      <c r="AS176" s="39"/>
    </row>
    <row r="177" spans="1:45" ht="12.75">
      <c r="A177" s="163">
        <v>44111</v>
      </c>
      <c r="B177" s="273">
        <f>SUMIFS('Egg Tally'!$G:$G,'Egg Tally'!$C:$C,"M",'Egg Tally'!$A:$A,'Egg Collections'!$A177)</f>
        <v>0</v>
      </c>
      <c r="C177" s="273"/>
      <c r="D177" s="273">
        <f>SUMIFS('Egg Tally'!$G:$G,'Egg Tally'!$C:$C,D$1,'Egg Tally'!$A:$A,'Egg Collections'!$A177)</f>
        <v>0</v>
      </c>
      <c r="E177" s="273">
        <f>SUMIFS('Egg Tally'!$G:$G,'Egg Tally'!$C:$C,E$1,'Egg Tally'!$A:$A,'Egg Collections'!$A177)</f>
        <v>8.3922999999999988</v>
      </c>
      <c r="F177" s="273">
        <f>SUMIFS('Egg Tally'!$G:$G,'Egg Tally'!$C:$C,F$1,'Egg Tally'!$A:$A,'Egg Collections'!$A177)</f>
        <v>5.6534000000000013</v>
      </c>
      <c r="G177" s="273">
        <f>SUMIFS('Egg Tally'!$G:$G,'Egg Tally'!$C:$C,G$1,'Egg Tally'!$A:$A,'Egg Collections'!$A177)</f>
        <v>1.9601999999999995</v>
      </c>
      <c r="H177" s="273">
        <f>SUMIFS('Egg Tally'!$G:$G,'Egg Tally'!$C:$C,H$1,'Egg Tally'!$A:$A,'Egg Collections'!$A177)</f>
        <v>0</v>
      </c>
      <c r="I177" s="2">
        <f t="shared" si="70"/>
        <v>16.0059</v>
      </c>
      <c r="J177" s="17"/>
      <c r="K177" s="10"/>
      <c r="L177" s="10"/>
      <c r="M177" s="10"/>
      <c r="N177" s="10"/>
      <c r="O177" s="10"/>
      <c r="P177" s="10"/>
      <c r="Q177" s="10"/>
      <c r="R177" s="2"/>
      <c r="S177" s="273"/>
      <c r="T177" s="273"/>
      <c r="U177" s="273"/>
      <c r="V177" s="9"/>
      <c r="W177" s="273"/>
      <c r="X177" s="273"/>
      <c r="Y177" s="9"/>
      <c r="Z177" s="273"/>
      <c r="AA177" s="273"/>
      <c r="AB177" s="9">
        <f t="shared" si="56"/>
        <v>0</v>
      </c>
      <c r="AC177" s="273"/>
      <c r="AD177" s="273" t="e">
        <f t="shared" si="57"/>
        <v>#DIV/0!</v>
      </c>
      <c r="AE177" s="9">
        <f t="shared" si="58"/>
        <v>310825.9259259259</v>
      </c>
      <c r="AF177" s="273"/>
      <c r="AG177" s="273">
        <f t="shared" si="63"/>
        <v>0</v>
      </c>
      <c r="AH177" s="9">
        <f t="shared" si="59"/>
        <v>209385.18518518526</v>
      </c>
      <c r="AI177" s="273"/>
      <c r="AJ177" s="273">
        <f t="shared" si="71"/>
        <v>0</v>
      </c>
      <c r="AK177" s="9">
        <f t="shared" si="60"/>
        <v>72599.999999999985</v>
      </c>
      <c r="AL177" s="273"/>
      <c r="AM177" s="273">
        <f t="shared" si="65"/>
        <v>0</v>
      </c>
      <c r="AN177" s="9">
        <f t="shared" si="61"/>
        <v>0</v>
      </c>
      <c r="AO177" s="273"/>
      <c r="AP177" s="273" t="e">
        <f t="shared" si="62"/>
        <v>#DIV/0!</v>
      </c>
      <c r="AQ177" s="9"/>
      <c r="AR177" s="273"/>
      <c r="AS177" s="39"/>
    </row>
    <row r="178" spans="1:45" ht="12.75">
      <c r="A178" s="163">
        <v>44112</v>
      </c>
      <c r="B178" s="273">
        <f>SUMIFS('Egg Tally'!$G:$G,'Egg Tally'!$C:$C,"M",'Egg Tally'!$A:$A,'Egg Collections'!$A178)</f>
        <v>0</v>
      </c>
      <c r="C178" s="273"/>
      <c r="D178" s="273">
        <f>SUMIFS('Egg Tally'!$G:$G,'Egg Tally'!$C:$C,D$1,'Egg Tally'!$A:$A,'Egg Collections'!$A178)</f>
        <v>0</v>
      </c>
      <c r="E178" s="273">
        <f>SUMIFS('Egg Tally'!$G:$G,'Egg Tally'!$C:$C,E$1,'Egg Tally'!$A:$A,'Egg Collections'!$A178)</f>
        <v>0</v>
      </c>
      <c r="F178" s="273">
        <f>SUMIFS('Egg Tally'!$G:$G,'Egg Tally'!$C:$C,F$1,'Egg Tally'!$A:$A,'Egg Collections'!$A178)</f>
        <v>0</v>
      </c>
      <c r="G178" s="273">
        <f>SUMIFS('Egg Tally'!$G:$G,'Egg Tally'!$C:$C,G$1,'Egg Tally'!$A:$A,'Egg Collections'!$A178)</f>
        <v>0</v>
      </c>
      <c r="H178" s="273">
        <f>SUMIFS('Egg Tally'!$G:$G,'Egg Tally'!$C:$C,H$1,'Egg Tally'!$A:$A,'Egg Collections'!$A178)</f>
        <v>0</v>
      </c>
      <c r="I178" s="2">
        <f t="shared" si="70"/>
        <v>0</v>
      </c>
      <c r="J178" s="17"/>
      <c r="K178" s="10"/>
      <c r="L178" s="10"/>
      <c r="M178" s="10"/>
      <c r="N178" s="10"/>
      <c r="O178" s="10"/>
      <c r="P178" s="10"/>
      <c r="Q178" s="10"/>
      <c r="R178" s="2"/>
      <c r="S178" s="273"/>
      <c r="T178" s="273"/>
      <c r="U178" s="273"/>
      <c r="V178" s="9"/>
      <c r="W178" s="273"/>
      <c r="X178" s="273"/>
      <c r="Y178" s="9"/>
      <c r="Z178" s="273"/>
      <c r="AA178" s="273"/>
      <c r="AB178" s="9">
        <f t="shared" si="56"/>
        <v>0</v>
      </c>
      <c r="AC178" s="273"/>
      <c r="AD178" s="273" t="e">
        <f t="shared" si="57"/>
        <v>#DIV/0!</v>
      </c>
      <c r="AE178" s="9">
        <f t="shared" si="58"/>
        <v>0</v>
      </c>
      <c r="AF178" s="273"/>
      <c r="AG178" s="273" t="e">
        <f t="shared" si="63"/>
        <v>#DIV/0!</v>
      </c>
      <c r="AH178" s="9">
        <f t="shared" si="59"/>
        <v>0</v>
      </c>
      <c r="AI178" s="273"/>
      <c r="AJ178" s="273" t="e">
        <f t="shared" si="71"/>
        <v>#DIV/0!</v>
      </c>
      <c r="AK178" s="9">
        <f t="shared" si="60"/>
        <v>0</v>
      </c>
      <c r="AL178" s="273"/>
      <c r="AM178" s="273" t="e">
        <f t="shared" si="65"/>
        <v>#DIV/0!</v>
      </c>
      <c r="AN178" s="9">
        <f t="shared" si="61"/>
        <v>0</v>
      </c>
      <c r="AO178" s="273"/>
      <c r="AP178" s="273" t="e">
        <f t="shared" si="62"/>
        <v>#DIV/0!</v>
      </c>
      <c r="AQ178" s="9"/>
      <c r="AR178" s="273"/>
      <c r="AS178" s="39"/>
    </row>
    <row r="179" spans="1:45" ht="12.75">
      <c r="A179" s="163">
        <v>44113</v>
      </c>
      <c r="B179" s="273">
        <f>SUMIFS('Egg Tally'!$G:$G,'Egg Tally'!$C:$C,"M",'Egg Tally'!$A:$A,'Egg Collections'!$A179)</f>
        <v>0</v>
      </c>
      <c r="C179" s="273"/>
      <c r="D179" s="273">
        <f>SUMIFS('Egg Tally'!$G:$G,'Egg Tally'!$C:$C,D$1,'Egg Tally'!$A:$A,'Egg Collections'!$A179)</f>
        <v>0</v>
      </c>
      <c r="E179" s="273">
        <f>SUMIFS('Egg Tally'!$G:$G,'Egg Tally'!$C:$C,E$1,'Egg Tally'!$A:$A,'Egg Collections'!$A179)</f>
        <v>3.4352999999999998</v>
      </c>
      <c r="F179" s="273">
        <f>SUMIFS('Egg Tally'!$G:$G,'Egg Tally'!$C:$C,F$1,'Egg Tally'!$A:$A,'Egg Collections'!$A179)</f>
        <v>3.1511000000000022</v>
      </c>
      <c r="G179" s="273">
        <f>SUMIFS('Egg Tally'!$G:$G,'Egg Tally'!$C:$C,G$1,'Egg Tally'!$A:$A,'Egg Collections'!$A179)</f>
        <v>3.3473999999999999</v>
      </c>
      <c r="H179" s="273">
        <f>SUMIFS('Egg Tally'!$G:$G,'Egg Tally'!$C:$C,H$1,'Egg Tally'!$A:$A,'Egg Collections'!$A179)</f>
        <v>0</v>
      </c>
      <c r="I179" s="2">
        <f t="shared" si="70"/>
        <v>9.9338000000000015</v>
      </c>
      <c r="J179" s="17"/>
      <c r="K179" s="10"/>
      <c r="L179" s="10"/>
      <c r="M179" s="10"/>
      <c r="N179" s="10"/>
      <c r="O179" s="10"/>
      <c r="P179" s="10"/>
      <c r="Q179" s="10"/>
      <c r="R179" s="2"/>
      <c r="S179" s="273"/>
      <c r="T179" s="273"/>
      <c r="U179" s="273"/>
      <c r="V179" s="9"/>
      <c r="W179" s="273"/>
      <c r="X179" s="273"/>
      <c r="Y179" s="9"/>
      <c r="Z179" s="273"/>
      <c r="AA179" s="273"/>
      <c r="AB179" s="9">
        <f t="shared" ref="AB179:AB242" si="72">D179/$U$1</f>
        <v>0</v>
      </c>
      <c r="AC179" s="273"/>
      <c r="AD179" s="273" t="e">
        <f t="shared" ref="AD179:AD242" si="73">AC179/AB179%</f>
        <v>#DIV/0!</v>
      </c>
      <c r="AE179" s="9">
        <f t="shared" ref="AE179:AE180" si="74">E179/$U$1</f>
        <v>127233.33333333333</v>
      </c>
      <c r="AF179" s="273"/>
      <c r="AG179" s="273">
        <f t="shared" si="63"/>
        <v>0</v>
      </c>
      <c r="AH179" s="9">
        <f t="shared" ref="AH179:AH180" si="75">F179/$U$1</f>
        <v>116707.40740740749</v>
      </c>
      <c r="AI179" s="273"/>
      <c r="AJ179" s="273">
        <f t="shared" si="71"/>
        <v>0</v>
      </c>
      <c r="AK179" s="9">
        <f t="shared" ref="AK179:AK180" si="76">G179/$U$1</f>
        <v>123977.77777777778</v>
      </c>
      <c r="AL179" s="273"/>
      <c r="AM179" s="273">
        <f t="shared" si="65"/>
        <v>0</v>
      </c>
      <c r="AN179" s="9">
        <f t="shared" ref="AN179:AN180" si="77">H179/$U$1</f>
        <v>0</v>
      </c>
      <c r="AO179" s="273"/>
      <c r="AP179" s="273" t="e">
        <f t="shared" ref="AP179:AP180" si="78">AO179/AN179%</f>
        <v>#DIV/0!</v>
      </c>
      <c r="AQ179" s="9"/>
      <c r="AR179" s="273"/>
      <c r="AS179" s="39"/>
    </row>
    <row r="180" spans="1:45" ht="12.75">
      <c r="A180" s="163">
        <v>44114</v>
      </c>
      <c r="B180" s="273">
        <f>SUMIFS('Egg Tally'!$G:$G,'Egg Tally'!$C:$C,"M",'Egg Tally'!$A:$A,'Egg Collections'!$A180)</f>
        <v>0</v>
      </c>
      <c r="C180" s="273"/>
      <c r="D180" s="273">
        <f>SUMIFS('Egg Tally'!$G:$G,'Egg Tally'!$C:$C,D$1,'Egg Tally'!$A:$A,'Egg Collections'!$A180)</f>
        <v>0</v>
      </c>
      <c r="E180" s="273">
        <f>SUMIFS('Egg Tally'!$G:$G,'Egg Tally'!$C:$C,E$1,'Egg Tally'!$A:$A,'Egg Collections'!$A180)</f>
        <v>0</v>
      </c>
      <c r="F180" s="273">
        <f>SUMIFS('Egg Tally'!$G:$G,'Egg Tally'!$C:$C,F$1,'Egg Tally'!$A:$A,'Egg Collections'!$A180)</f>
        <v>0</v>
      </c>
      <c r="G180" s="273">
        <f>SUMIFS('Egg Tally'!$G:$G,'Egg Tally'!$C:$C,G$1,'Egg Tally'!$A:$A,'Egg Collections'!$A180)</f>
        <v>0</v>
      </c>
      <c r="H180" s="273">
        <f>SUMIFS('Egg Tally'!$G:$G,'Egg Tally'!$C:$C,H$1,'Egg Tally'!$A:$A,'Egg Collections'!$A180)</f>
        <v>0</v>
      </c>
      <c r="I180" s="2">
        <f t="shared" si="70"/>
        <v>0</v>
      </c>
      <c r="J180" s="17"/>
      <c r="K180" s="10"/>
      <c r="L180" s="10"/>
      <c r="M180" s="10"/>
      <c r="N180" s="10"/>
      <c r="O180" s="10"/>
      <c r="P180" s="10"/>
      <c r="Q180" s="10"/>
      <c r="R180" s="2"/>
      <c r="S180" s="273"/>
      <c r="T180" s="273"/>
      <c r="U180" s="273"/>
      <c r="V180" s="9"/>
      <c r="W180" s="273"/>
      <c r="X180" s="273"/>
      <c r="Y180" s="9"/>
      <c r="Z180" s="273"/>
      <c r="AA180" s="273"/>
      <c r="AB180" s="9">
        <f t="shared" si="72"/>
        <v>0</v>
      </c>
      <c r="AC180" s="273"/>
      <c r="AD180" s="273" t="e">
        <f t="shared" si="73"/>
        <v>#DIV/0!</v>
      </c>
      <c r="AE180" s="9">
        <f t="shared" si="74"/>
        <v>0</v>
      </c>
      <c r="AF180" s="273"/>
      <c r="AG180" s="273" t="e">
        <f t="shared" ref="AG180" si="79">AF180/AE180%</f>
        <v>#DIV/0!</v>
      </c>
      <c r="AH180" s="9">
        <f t="shared" si="75"/>
        <v>0</v>
      </c>
      <c r="AI180" s="273"/>
      <c r="AJ180" s="273" t="e">
        <f t="shared" si="71"/>
        <v>#DIV/0!</v>
      </c>
      <c r="AK180" s="9">
        <f t="shared" si="76"/>
        <v>0</v>
      </c>
      <c r="AL180" s="273"/>
      <c r="AM180" s="273" t="e">
        <f t="shared" si="65"/>
        <v>#DIV/0!</v>
      </c>
      <c r="AN180" s="9">
        <f t="shared" si="77"/>
        <v>0</v>
      </c>
      <c r="AO180" s="273"/>
      <c r="AP180" s="273" t="e">
        <f t="shared" si="78"/>
        <v>#DIV/0!</v>
      </c>
      <c r="AQ180" s="9"/>
      <c r="AR180" s="273"/>
      <c r="AS180" s="39"/>
    </row>
    <row r="181" spans="1:45" ht="12.75">
      <c r="A181" s="163">
        <v>44115</v>
      </c>
      <c r="B181" s="273">
        <f>SUMIFS('Egg Tally'!$G:$G,'Egg Tally'!$C:$C,"M",'Egg Tally'!$A:$A,'Egg Collections'!$A181)</f>
        <v>0</v>
      </c>
      <c r="C181" s="273"/>
      <c r="D181" s="273">
        <f>SUMIFS('Egg Tally'!$G:$G,'Egg Tally'!$C:$C,D$1,'Egg Tally'!$A:$A,'Egg Collections'!$A181)</f>
        <v>0</v>
      </c>
      <c r="E181" s="273">
        <f>SUMIFS('Egg Tally'!$G:$G,'Egg Tally'!$C:$C,E$1,'Egg Tally'!$A:$A,'Egg Collections'!$A181)</f>
        <v>0</v>
      </c>
      <c r="F181" s="273">
        <f>SUMIFS('Egg Tally'!$G:$G,'Egg Tally'!$C:$C,F$1,'Egg Tally'!$A:$A,'Egg Collections'!$A181)</f>
        <v>0</v>
      </c>
      <c r="G181" s="273">
        <f>SUMIFS('Egg Tally'!$G:$G,'Egg Tally'!$C:$C,G$1,'Egg Tally'!$A:$A,'Egg Collections'!$A181)</f>
        <v>0</v>
      </c>
      <c r="H181" s="273">
        <f>SUMIFS('Egg Tally'!$G:$G,'Egg Tally'!$C:$C,H$1,'Egg Tally'!$A:$A,'Egg Collections'!$A181)</f>
        <v>0</v>
      </c>
      <c r="I181" s="2">
        <f t="shared" ref="I181:I244" si="80">SUM(B181:H181)</f>
        <v>0</v>
      </c>
      <c r="J181" s="17"/>
      <c r="K181" s="10"/>
      <c r="L181" s="10"/>
      <c r="M181" s="10"/>
      <c r="N181" s="10"/>
      <c r="O181" s="10"/>
      <c r="P181" s="10"/>
      <c r="Q181" s="10"/>
      <c r="R181" s="2"/>
      <c r="S181" s="273"/>
      <c r="T181" s="273"/>
      <c r="U181" s="273"/>
      <c r="V181" s="9"/>
      <c r="W181" s="273"/>
      <c r="X181" s="273"/>
      <c r="Y181" s="9"/>
      <c r="Z181" s="273"/>
      <c r="AA181" s="273"/>
      <c r="AB181" s="9">
        <f t="shared" si="72"/>
        <v>0</v>
      </c>
      <c r="AC181" s="273"/>
      <c r="AD181" s="273" t="e">
        <f t="shared" si="73"/>
        <v>#DIV/0!</v>
      </c>
      <c r="AE181" s="9">
        <f t="shared" ref="AE181:AE244" si="81">E181/$U$1</f>
        <v>0</v>
      </c>
      <c r="AF181" s="273"/>
      <c r="AG181" s="273" t="e">
        <f t="shared" ref="AG181:AG244" si="82">AF181/AE181%</f>
        <v>#DIV/0!</v>
      </c>
      <c r="AH181" s="9">
        <f t="shared" ref="AH181:AH244" si="83">F181/$U$1</f>
        <v>0</v>
      </c>
      <c r="AI181" s="273"/>
      <c r="AJ181" s="273" t="e">
        <f t="shared" ref="AJ181:AJ244" si="84">AI181/AH181%</f>
        <v>#DIV/0!</v>
      </c>
      <c r="AK181" s="9">
        <f t="shared" ref="AK181:AK244" si="85">G181/$U$1</f>
        <v>0</v>
      </c>
      <c r="AL181" s="273"/>
      <c r="AM181" s="273" t="e">
        <f t="shared" ref="AM181:AM244" si="86">AL181/AK181%</f>
        <v>#DIV/0!</v>
      </c>
      <c r="AN181" s="9">
        <f t="shared" ref="AN181:AN244" si="87">H181/$U$1</f>
        <v>0</v>
      </c>
      <c r="AO181" s="273"/>
      <c r="AP181" s="273" t="e">
        <f t="shared" ref="AP181:AP244" si="88">AO181/AN181%</f>
        <v>#DIV/0!</v>
      </c>
      <c r="AQ181" s="9"/>
      <c r="AR181" s="273"/>
      <c r="AS181" s="39"/>
    </row>
    <row r="182" spans="1:45" ht="12.75">
      <c r="A182" s="163">
        <v>44116</v>
      </c>
      <c r="B182" s="273">
        <f>SUMIFS('Egg Tally'!$G:$G,'Egg Tally'!$C:$C,"M",'Egg Tally'!$A:$A,'Egg Collections'!$A182)</f>
        <v>2.4099999999999788E-2</v>
      </c>
      <c r="C182" s="273"/>
      <c r="D182" s="273">
        <f>SUMIFS('Egg Tally'!$G:$G,'Egg Tally'!$C:$C,D$1,'Egg Tally'!$A:$A,'Egg Collections'!$A182)</f>
        <v>0</v>
      </c>
      <c r="E182" s="273">
        <f>SUMIFS('Egg Tally'!$G:$G,'Egg Tally'!$C:$C,E$1,'Egg Tally'!$A:$A,'Egg Collections'!$A182)</f>
        <v>0.92244999999999955</v>
      </c>
      <c r="F182" s="273">
        <f>SUMIFS('Egg Tally'!$G:$G,'Egg Tally'!$C:$C,F$1,'Egg Tally'!$A:$A,'Egg Collections'!$A182)</f>
        <v>2.6305999999999989</v>
      </c>
      <c r="G182" s="273">
        <f>SUMIFS('Egg Tally'!$G:$G,'Egg Tally'!$C:$C,G$1,'Egg Tally'!$A:$A,'Egg Collections'!$A182)</f>
        <v>3.0236999999999994</v>
      </c>
      <c r="H182" s="273">
        <f>SUMIFS('Egg Tally'!$G:$G,'Egg Tally'!$C:$C,H$1,'Egg Tally'!$A:$A,'Egg Collections'!$A182)</f>
        <v>0</v>
      </c>
      <c r="I182" s="2">
        <f t="shared" si="80"/>
        <v>6.6008499999999977</v>
      </c>
      <c r="J182" s="17"/>
      <c r="K182" s="10"/>
      <c r="L182" s="10"/>
      <c r="M182" s="10"/>
      <c r="N182" s="10"/>
      <c r="O182" s="10"/>
      <c r="P182" s="10"/>
      <c r="Q182" s="10"/>
      <c r="R182" s="2"/>
      <c r="S182" s="273"/>
      <c r="T182" s="273"/>
      <c r="U182" s="273"/>
      <c r="V182" s="9"/>
      <c r="W182" s="273"/>
      <c r="X182" s="273"/>
      <c r="Y182" s="9"/>
      <c r="Z182" s="273"/>
      <c r="AA182" s="273"/>
      <c r="AB182" s="9">
        <f t="shared" si="72"/>
        <v>0</v>
      </c>
      <c r="AC182" s="273"/>
      <c r="AD182" s="273" t="e">
        <f t="shared" si="73"/>
        <v>#DIV/0!</v>
      </c>
      <c r="AE182" s="9">
        <f t="shared" si="81"/>
        <v>34164.814814814803</v>
      </c>
      <c r="AF182" s="273"/>
      <c r="AG182" s="273">
        <f t="shared" si="82"/>
        <v>0</v>
      </c>
      <c r="AH182" s="9">
        <f t="shared" si="83"/>
        <v>97429.629629629591</v>
      </c>
      <c r="AI182" s="273"/>
      <c r="AJ182" s="273">
        <f t="shared" si="84"/>
        <v>0</v>
      </c>
      <c r="AK182" s="9">
        <f t="shared" si="85"/>
        <v>111988.88888888888</v>
      </c>
      <c r="AL182" s="273"/>
      <c r="AM182" s="273">
        <f t="shared" si="86"/>
        <v>0</v>
      </c>
      <c r="AN182" s="9">
        <f t="shared" si="87"/>
        <v>0</v>
      </c>
      <c r="AO182" s="273"/>
      <c r="AP182" s="273" t="e">
        <f t="shared" si="88"/>
        <v>#DIV/0!</v>
      </c>
      <c r="AQ182" s="9"/>
      <c r="AR182" s="273"/>
      <c r="AS182" s="39"/>
    </row>
    <row r="183" spans="1:45" ht="12.75">
      <c r="A183" s="163">
        <v>44117</v>
      </c>
      <c r="B183" s="273">
        <f>SUMIFS('Egg Tally'!$G:$G,'Egg Tally'!$C:$C,"M",'Egg Tally'!$A:$A,'Egg Collections'!$A183)</f>
        <v>0</v>
      </c>
      <c r="C183" s="273"/>
      <c r="D183" s="273">
        <f>SUMIFS('Egg Tally'!$G:$G,'Egg Tally'!$C:$C,D$1,'Egg Tally'!$A:$A,'Egg Collections'!$A183)</f>
        <v>0</v>
      </c>
      <c r="E183" s="273">
        <f>SUMIFS('Egg Tally'!$G:$G,'Egg Tally'!$C:$C,E$1,'Egg Tally'!$A:$A,'Egg Collections'!$A183)</f>
        <v>0</v>
      </c>
      <c r="F183" s="273">
        <f>SUMIFS('Egg Tally'!$G:$G,'Egg Tally'!$C:$C,F$1,'Egg Tally'!$A:$A,'Egg Collections'!$A183)</f>
        <v>0</v>
      </c>
      <c r="G183" s="273">
        <f>SUMIFS('Egg Tally'!$G:$G,'Egg Tally'!$C:$C,G$1,'Egg Tally'!$A:$A,'Egg Collections'!$A183)</f>
        <v>0</v>
      </c>
      <c r="H183" s="273">
        <f>SUMIFS('Egg Tally'!$G:$G,'Egg Tally'!$C:$C,H$1,'Egg Tally'!$A:$A,'Egg Collections'!$A183)</f>
        <v>0</v>
      </c>
      <c r="I183" s="2">
        <f t="shared" si="80"/>
        <v>0</v>
      </c>
      <c r="J183" s="17"/>
      <c r="K183" s="10"/>
      <c r="L183" s="10"/>
      <c r="M183" s="10"/>
      <c r="N183" s="10"/>
      <c r="O183" s="10"/>
      <c r="P183" s="10"/>
      <c r="Q183" s="10"/>
      <c r="R183" s="2"/>
      <c r="S183" s="273"/>
      <c r="T183" s="273"/>
      <c r="U183" s="273"/>
      <c r="V183" s="9"/>
      <c r="W183" s="273"/>
      <c r="X183" s="273"/>
      <c r="Y183" s="9"/>
      <c r="Z183" s="273"/>
      <c r="AA183" s="273"/>
      <c r="AB183" s="9">
        <f t="shared" si="72"/>
        <v>0</v>
      </c>
      <c r="AC183" s="273"/>
      <c r="AD183" s="273" t="e">
        <f t="shared" si="73"/>
        <v>#DIV/0!</v>
      </c>
      <c r="AE183" s="9">
        <f t="shared" si="81"/>
        <v>0</v>
      </c>
      <c r="AF183" s="273"/>
      <c r="AG183" s="273" t="e">
        <f t="shared" si="82"/>
        <v>#DIV/0!</v>
      </c>
      <c r="AH183" s="9">
        <f t="shared" si="83"/>
        <v>0</v>
      </c>
      <c r="AI183" s="273"/>
      <c r="AJ183" s="273" t="e">
        <f t="shared" si="84"/>
        <v>#DIV/0!</v>
      </c>
      <c r="AK183" s="9">
        <f t="shared" si="85"/>
        <v>0</v>
      </c>
      <c r="AL183" s="273"/>
      <c r="AM183" s="273" t="e">
        <f t="shared" si="86"/>
        <v>#DIV/0!</v>
      </c>
      <c r="AN183" s="9">
        <f t="shared" si="87"/>
        <v>0</v>
      </c>
      <c r="AO183" s="273"/>
      <c r="AP183" s="273" t="e">
        <f t="shared" si="88"/>
        <v>#DIV/0!</v>
      </c>
      <c r="AQ183" s="9"/>
      <c r="AR183" s="273"/>
      <c r="AS183" s="39"/>
    </row>
    <row r="184" spans="1:45" ht="12.75">
      <c r="A184" s="163">
        <v>44118</v>
      </c>
      <c r="B184" s="273">
        <f>SUMIFS('Egg Tally'!$G:$G,'Egg Tally'!$C:$C,"M",'Egg Tally'!$A:$A,'Egg Collections'!$A184)</f>
        <v>0</v>
      </c>
      <c r="C184" s="273"/>
      <c r="D184" s="273">
        <f>SUMIFS('Egg Tally'!$G:$G,'Egg Tally'!$C:$C,D$1,'Egg Tally'!$A:$A,'Egg Collections'!$A184)</f>
        <v>0</v>
      </c>
      <c r="E184" s="273">
        <f>SUMIFS('Egg Tally'!$G:$G,'Egg Tally'!$C:$C,E$1,'Egg Tally'!$A:$A,'Egg Collections'!$A184)</f>
        <v>0.77289999999999903</v>
      </c>
      <c r="F184" s="273">
        <f>SUMIFS('Egg Tally'!$G:$G,'Egg Tally'!$C:$C,F$1,'Egg Tally'!$A:$A,'Egg Collections'!$A184)</f>
        <v>8.4144000000000005</v>
      </c>
      <c r="G184" s="273">
        <f>SUMIFS('Egg Tally'!$G:$G,'Egg Tally'!$C:$C,G$1,'Egg Tally'!$A:$A,'Egg Collections'!$A184)</f>
        <v>9.1939999999999991</v>
      </c>
      <c r="H184" s="273">
        <f>SUMIFS('Egg Tally'!$G:$G,'Egg Tally'!$C:$C,H$1,'Egg Tally'!$A:$A,'Egg Collections'!$A184)</f>
        <v>0</v>
      </c>
      <c r="I184" s="2">
        <f t="shared" si="80"/>
        <v>18.3813</v>
      </c>
      <c r="J184" s="17"/>
      <c r="K184" s="10"/>
      <c r="L184" s="10"/>
      <c r="M184" s="10"/>
      <c r="N184" s="10"/>
      <c r="O184" s="10"/>
      <c r="P184" s="10"/>
      <c r="Q184" s="10"/>
      <c r="R184" s="2"/>
      <c r="S184" s="273"/>
      <c r="T184" s="273"/>
      <c r="U184" s="273"/>
      <c r="V184" s="9"/>
      <c r="W184" s="273"/>
      <c r="X184" s="273"/>
      <c r="Y184" s="9"/>
      <c r="Z184" s="273"/>
      <c r="AA184" s="273"/>
      <c r="AB184" s="9">
        <f t="shared" si="72"/>
        <v>0</v>
      </c>
      <c r="AC184" s="273"/>
      <c r="AD184" s="273" t="e">
        <f t="shared" si="73"/>
        <v>#DIV/0!</v>
      </c>
      <c r="AE184" s="9">
        <f t="shared" si="81"/>
        <v>28625.925925925891</v>
      </c>
      <c r="AF184" s="273"/>
      <c r="AG184" s="273">
        <f t="shared" si="82"/>
        <v>0</v>
      </c>
      <c r="AH184" s="9">
        <f t="shared" si="83"/>
        <v>311644.4444444445</v>
      </c>
      <c r="AI184" s="273"/>
      <c r="AJ184" s="273">
        <f t="shared" si="84"/>
        <v>0</v>
      </c>
      <c r="AK184" s="9">
        <f t="shared" si="85"/>
        <v>340518.51851851848</v>
      </c>
      <c r="AL184" s="273"/>
      <c r="AM184" s="273">
        <f t="shared" si="86"/>
        <v>0</v>
      </c>
      <c r="AN184" s="9">
        <f t="shared" si="87"/>
        <v>0</v>
      </c>
      <c r="AO184" s="273"/>
      <c r="AP184" s="273" t="e">
        <f t="shared" si="88"/>
        <v>#DIV/0!</v>
      </c>
      <c r="AQ184" s="9"/>
      <c r="AR184" s="273"/>
      <c r="AS184" s="39"/>
    </row>
    <row r="185" spans="1:45" ht="12.75">
      <c r="A185" s="163">
        <v>44119</v>
      </c>
      <c r="B185" s="273">
        <f>SUMIFS('Egg Tally'!$G:$G,'Egg Tally'!$C:$C,"M",'Egg Tally'!$A:$A,'Egg Collections'!$A185)</f>
        <v>0</v>
      </c>
      <c r="C185" s="273"/>
      <c r="D185" s="273">
        <f>SUMIFS('Egg Tally'!$G:$G,'Egg Tally'!$C:$C,D$1,'Egg Tally'!$A:$A,'Egg Collections'!$A185)</f>
        <v>0</v>
      </c>
      <c r="E185" s="273">
        <f>SUMIFS('Egg Tally'!$G:$G,'Egg Tally'!$C:$C,E$1,'Egg Tally'!$A:$A,'Egg Collections'!$A185)</f>
        <v>0</v>
      </c>
      <c r="F185" s="273">
        <f>SUMIFS('Egg Tally'!$G:$G,'Egg Tally'!$C:$C,F$1,'Egg Tally'!$A:$A,'Egg Collections'!$A185)</f>
        <v>0</v>
      </c>
      <c r="G185" s="273">
        <f>SUMIFS('Egg Tally'!$G:$G,'Egg Tally'!$C:$C,G$1,'Egg Tally'!$A:$A,'Egg Collections'!$A185)</f>
        <v>0</v>
      </c>
      <c r="H185" s="273">
        <f>SUMIFS('Egg Tally'!$G:$G,'Egg Tally'!$C:$C,H$1,'Egg Tally'!$A:$A,'Egg Collections'!$A185)</f>
        <v>0</v>
      </c>
      <c r="I185" s="2">
        <f t="shared" si="80"/>
        <v>0</v>
      </c>
      <c r="J185" s="17"/>
      <c r="K185" s="10"/>
      <c r="L185" s="10"/>
      <c r="M185" s="10"/>
      <c r="N185" s="10"/>
      <c r="O185" s="10"/>
      <c r="P185" s="10"/>
      <c r="Q185" s="10"/>
      <c r="R185" s="2"/>
      <c r="S185" s="273"/>
      <c r="T185" s="273"/>
      <c r="U185" s="273"/>
      <c r="V185" s="9"/>
      <c r="W185" s="273"/>
      <c r="X185" s="273"/>
      <c r="Y185" s="9"/>
      <c r="Z185" s="273"/>
      <c r="AA185" s="273"/>
      <c r="AB185" s="9">
        <f t="shared" si="72"/>
        <v>0</v>
      </c>
      <c r="AC185" s="273"/>
      <c r="AD185" s="273" t="e">
        <f t="shared" si="73"/>
        <v>#DIV/0!</v>
      </c>
      <c r="AE185" s="9">
        <f t="shared" si="81"/>
        <v>0</v>
      </c>
      <c r="AF185" s="273"/>
      <c r="AG185" s="273" t="e">
        <f t="shared" si="82"/>
        <v>#DIV/0!</v>
      </c>
      <c r="AH185" s="9">
        <f t="shared" si="83"/>
        <v>0</v>
      </c>
      <c r="AI185" s="273"/>
      <c r="AJ185" s="273" t="e">
        <f t="shared" si="84"/>
        <v>#DIV/0!</v>
      </c>
      <c r="AK185" s="9">
        <f t="shared" si="85"/>
        <v>0</v>
      </c>
      <c r="AL185" s="273"/>
      <c r="AM185" s="273" t="e">
        <f t="shared" si="86"/>
        <v>#DIV/0!</v>
      </c>
      <c r="AN185" s="9">
        <f t="shared" si="87"/>
        <v>0</v>
      </c>
      <c r="AO185" s="273"/>
      <c r="AP185" s="273" t="e">
        <f t="shared" si="88"/>
        <v>#DIV/0!</v>
      </c>
      <c r="AQ185" s="9"/>
      <c r="AR185" s="273"/>
      <c r="AS185" s="39"/>
    </row>
    <row r="186" spans="1:45" ht="12.75">
      <c r="A186" s="163">
        <v>44120</v>
      </c>
      <c r="B186" s="273">
        <f>SUMIFS('Egg Tally'!$G:$G,'Egg Tally'!$C:$C,"M",'Egg Tally'!$A:$A,'Egg Collections'!$A186)</f>
        <v>0.64149999999999974</v>
      </c>
      <c r="C186" s="273"/>
      <c r="D186" s="273">
        <f>SUMIFS('Egg Tally'!$G:$G,'Egg Tally'!$C:$C,D$1,'Egg Tally'!$A:$A,'Egg Collections'!$A186)</f>
        <v>0</v>
      </c>
      <c r="E186" s="273">
        <f>SUMIFS('Egg Tally'!$G:$G,'Egg Tally'!$C:$C,E$1,'Egg Tally'!$A:$A,'Egg Collections'!$A186)</f>
        <v>2.7000000000003688E-3</v>
      </c>
      <c r="F186" s="273">
        <f>SUMIFS('Egg Tally'!$G:$G,'Egg Tally'!$C:$C,F$1,'Egg Tally'!$A:$A,'Egg Collections'!$A186)</f>
        <v>6.5391000000000012</v>
      </c>
      <c r="G186" s="273">
        <f>SUMIFS('Egg Tally'!$G:$G,'Egg Tally'!$C:$C,G$1,'Egg Tally'!$A:$A,'Egg Collections'!$A186)</f>
        <v>9.8304999999999971</v>
      </c>
      <c r="H186" s="273">
        <f>SUMIFS('Egg Tally'!$G:$G,'Egg Tally'!$C:$C,H$1,'Egg Tally'!$A:$A,'Egg Collections'!$A186)</f>
        <v>0</v>
      </c>
      <c r="I186" s="2">
        <f t="shared" si="80"/>
        <v>17.013799999999996</v>
      </c>
      <c r="J186" s="17"/>
      <c r="K186" s="10"/>
      <c r="L186" s="10"/>
      <c r="M186" s="10"/>
      <c r="N186" s="10"/>
      <c r="O186" s="10"/>
      <c r="P186" s="10"/>
      <c r="Q186" s="10"/>
      <c r="R186" s="2"/>
      <c r="S186" s="273"/>
      <c r="T186" s="273"/>
      <c r="U186" s="273"/>
      <c r="V186" s="9"/>
      <c r="W186" s="273"/>
      <c r="X186" s="273"/>
      <c r="Y186" s="9"/>
      <c r="Z186" s="273"/>
      <c r="AA186" s="273"/>
      <c r="AB186" s="9">
        <f t="shared" si="72"/>
        <v>0</v>
      </c>
      <c r="AC186" s="273"/>
      <c r="AD186" s="273" t="e">
        <f t="shared" si="73"/>
        <v>#DIV/0!</v>
      </c>
      <c r="AE186" s="9">
        <f t="shared" si="81"/>
        <v>100.00000000001366</v>
      </c>
      <c r="AF186" s="273"/>
      <c r="AG186" s="273">
        <f t="shared" si="82"/>
        <v>0</v>
      </c>
      <c r="AH186" s="9">
        <f t="shared" si="83"/>
        <v>242188.88888888893</v>
      </c>
      <c r="AI186" s="273"/>
      <c r="AJ186" s="273">
        <f t="shared" si="84"/>
        <v>0</v>
      </c>
      <c r="AK186" s="9">
        <f t="shared" si="85"/>
        <v>364092.59259259253</v>
      </c>
      <c r="AL186" s="273"/>
      <c r="AM186" s="273">
        <f t="shared" si="86"/>
        <v>0</v>
      </c>
      <c r="AN186" s="9">
        <f t="shared" si="87"/>
        <v>0</v>
      </c>
      <c r="AO186" s="273"/>
      <c r="AP186" s="273" t="e">
        <f t="shared" si="88"/>
        <v>#DIV/0!</v>
      </c>
      <c r="AQ186" s="9"/>
      <c r="AR186" s="273"/>
      <c r="AS186" s="39"/>
    </row>
    <row r="187" spans="1:45" ht="12.75">
      <c r="A187" s="163">
        <v>44121</v>
      </c>
      <c r="B187" s="273">
        <f>SUMIFS('Egg Tally'!$G:$G,'Egg Tally'!$C:$C,"M",'Egg Tally'!$A:$A,'Egg Collections'!$A187)</f>
        <v>0</v>
      </c>
      <c r="C187" s="273"/>
      <c r="D187" s="273">
        <f>SUMIFS('Egg Tally'!$G:$G,'Egg Tally'!$C:$C,D$1,'Egg Tally'!$A:$A,'Egg Collections'!$A187)</f>
        <v>0</v>
      </c>
      <c r="E187" s="273">
        <f>SUMIFS('Egg Tally'!$G:$G,'Egg Tally'!$C:$C,E$1,'Egg Tally'!$A:$A,'Egg Collections'!$A187)</f>
        <v>0</v>
      </c>
      <c r="F187" s="273">
        <f>SUMIFS('Egg Tally'!$G:$G,'Egg Tally'!$C:$C,F$1,'Egg Tally'!$A:$A,'Egg Collections'!$A187)</f>
        <v>0</v>
      </c>
      <c r="G187" s="273">
        <f>SUMIFS('Egg Tally'!$G:$G,'Egg Tally'!$C:$C,G$1,'Egg Tally'!$A:$A,'Egg Collections'!$A187)</f>
        <v>0</v>
      </c>
      <c r="H187" s="273">
        <f>SUMIFS('Egg Tally'!$G:$G,'Egg Tally'!$C:$C,H$1,'Egg Tally'!$A:$A,'Egg Collections'!$A187)</f>
        <v>0</v>
      </c>
      <c r="I187" s="2">
        <f t="shared" si="80"/>
        <v>0</v>
      </c>
      <c r="J187" s="17"/>
      <c r="K187" s="10"/>
      <c r="L187" s="10"/>
      <c r="M187" s="10"/>
      <c r="N187" s="10"/>
      <c r="O187" s="10"/>
      <c r="P187" s="10"/>
      <c r="Q187" s="10"/>
      <c r="R187" s="2"/>
      <c r="S187" s="273"/>
      <c r="T187" s="273"/>
      <c r="U187" s="273"/>
      <c r="V187" s="9"/>
      <c r="W187" s="273"/>
      <c r="X187" s="273"/>
      <c r="Y187" s="9"/>
      <c r="Z187" s="273"/>
      <c r="AA187" s="273"/>
      <c r="AB187" s="9">
        <f t="shared" si="72"/>
        <v>0</v>
      </c>
      <c r="AC187" s="273"/>
      <c r="AD187" s="273" t="e">
        <f t="shared" si="73"/>
        <v>#DIV/0!</v>
      </c>
      <c r="AE187" s="9">
        <f t="shared" si="81"/>
        <v>0</v>
      </c>
      <c r="AF187" s="273"/>
      <c r="AG187" s="273" t="e">
        <f t="shared" si="82"/>
        <v>#DIV/0!</v>
      </c>
      <c r="AH187" s="9">
        <f t="shared" si="83"/>
        <v>0</v>
      </c>
      <c r="AI187" s="273"/>
      <c r="AJ187" s="273" t="e">
        <f t="shared" si="84"/>
        <v>#DIV/0!</v>
      </c>
      <c r="AK187" s="9">
        <f t="shared" si="85"/>
        <v>0</v>
      </c>
      <c r="AL187" s="273"/>
      <c r="AM187" s="273" t="e">
        <f t="shared" si="86"/>
        <v>#DIV/0!</v>
      </c>
      <c r="AN187" s="9">
        <f t="shared" si="87"/>
        <v>0</v>
      </c>
      <c r="AO187" s="273"/>
      <c r="AP187" s="273" t="e">
        <f t="shared" si="88"/>
        <v>#DIV/0!</v>
      </c>
      <c r="AQ187" s="9"/>
      <c r="AR187" s="273"/>
      <c r="AS187" s="39"/>
    </row>
    <row r="188" spans="1:45" ht="12.75">
      <c r="A188" s="163">
        <v>44122</v>
      </c>
      <c r="B188" s="273">
        <f>SUMIFS('Egg Tally'!$G:$G,'Egg Tally'!$C:$C,"M",'Egg Tally'!$A:$A,'Egg Collections'!$A188)</f>
        <v>0</v>
      </c>
      <c r="C188" s="273"/>
      <c r="D188" s="273">
        <f>SUMIFS('Egg Tally'!$G:$G,'Egg Tally'!$C:$C,D$1,'Egg Tally'!$A:$A,'Egg Collections'!$A188)</f>
        <v>0</v>
      </c>
      <c r="E188" s="273">
        <f>SUMIFS('Egg Tally'!$G:$G,'Egg Tally'!$C:$C,E$1,'Egg Tally'!$A:$A,'Egg Collections'!$A188)</f>
        <v>0</v>
      </c>
      <c r="F188" s="273">
        <f>SUMIFS('Egg Tally'!$G:$G,'Egg Tally'!$C:$C,F$1,'Egg Tally'!$A:$A,'Egg Collections'!$A188)</f>
        <v>0</v>
      </c>
      <c r="G188" s="273">
        <f>SUMIFS('Egg Tally'!$G:$G,'Egg Tally'!$C:$C,G$1,'Egg Tally'!$A:$A,'Egg Collections'!$A188)</f>
        <v>0</v>
      </c>
      <c r="H188" s="273">
        <f>SUMIFS('Egg Tally'!$G:$G,'Egg Tally'!$C:$C,H$1,'Egg Tally'!$A:$A,'Egg Collections'!$A188)</f>
        <v>0</v>
      </c>
      <c r="I188" s="2">
        <f t="shared" si="80"/>
        <v>0</v>
      </c>
      <c r="J188" s="17"/>
      <c r="K188" s="10"/>
      <c r="L188" s="10"/>
      <c r="M188" s="10"/>
      <c r="N188" s="10"/>
      <c r="O188" s="10"/>
      <c r="P188" s="10"/>
      <c r="Q188" s="10"/>
      <c r="R188" s="2"/>
      <c r="S188" s="273"/>
      <c r="T188" s="273"/>
      <c r="U188" s="273"/>
      <c r="V188" s="9"/>
      <c r="W188" s="273"/>
      <c r="X188" s="273"/>
      <c r="Y188" s="9"/>
      <c r="Z188" s="273"/>
      <c r="AA188" s="273"/>
      <c r="AB188" s="9">
        <f t="shared" si="72"/>
        <v>0</v>
      </c>
      <c r="AC188" s="273"/>
      <c r="AD188" s="273" t="e">
        <f t="shared" si="73"/>
        <v>#DIV/0!</v>
      </c>
      <c r="AE188" s="9">
        <f t="shared" si="81"/>
        <v>0</v>
      </c>
      <c r="AF188" s="273"/>
      <c r="AG188" s="273" t="e">
        <f t="shared" si="82"/>
        <v>#DIV/0!</v>
      </c>
      <c r="AH188" s="9">
        <f t="shared" si="83"/>
        <v>0</v>
      </c>
      <c r="AI188" s="273"/>
      <c r="AJ188" s="273" t="e">
        <f t="shared" si="84"/>
        <v>#DIV/0!</v>
      </c>
      <c r="AK188" s="9">
        <f t="shared" si="85"/>
        <v>0</v>
      </c>
      <c r="AL188" s="273"/>
      <c r="AM188" s="273" t="e">
        <f t="shared" si="86"/>
        <v>#DIV/0!</v>
      </c>
      <c r="AN188" s="9">
        <f t="shared" si="87"/>
        <v>0</v>
      </c>
      <c r="AO188" s="273"/>
      <c r="AP188" s="273" t="e">
        <f t="shared" si="88"/>
        <v>#DIV/0!</v>
      </c>
      <c r="AQ188" s="9"/>
      <c r="AR188" s="273"/>
      <c r="AS188" s="39"/>
    </row>
    <row r="189" spans="1:45" ht="12.75">
      <c r="A189" s="163">
        <v>44123</v>
      </c>
      <c r="B189" s="273">
        <f>SUMIFS('Egg Tally'!$G:$G,'Egg Tally'!$C:$C,"M",'Egg Tally'!$A:$A,'Egg Collections'!$A189)</f>
        <v>0</v>
      </c>
      <c r="C189" s="273"/>
      <c r="D189" s="273">
        <f>SUMIFS('Egg Tally'!$G:$G,'Egg Tally'!$C:$C,D$1,'Egg Tally'!$A:$A,'Egg Collections'!$A189)</f>
        <v>0</v>
      </c>
      <c r="E189" s="273">
        <f>SUMIFS('Egg Tally'!$G:$G,'Egg Tally'!$C:$C,E$1,'Egg Tally'!$A:$A,'Egg Collections'!$A189)</f>
        <v>0</v>
      </c>
      <c r="F189" s="273">
        <f>SUMIFS('Egg Tally'!$G:$G,'Egg Tally'!$C:$C,F$1,'Egg Tally'!$A:$A,'Egg Collections'!$A189)</f>
        <v>4.0787000000000004</v>
      </c>
      <c r="G189" s="273">
        <f>SUMIFS('Egg Tally'!$G:$G,'Egg Tally'!$C:$C,G$1,'Egg Tally'!$A:$A,'Egg Collections'!$A189)</f>
        <v>8.8156999999999996</v>
      </c>
      <c r="H189" s="273">
        <f>SUMIFS('Egg Tally'!$G:$G,'Egg Tally'!$C:$C,H$1,'Egg Tally'!$A:$A,'Egg Collections'!$A189)</f>
        <v>0</v>
      </c>
      <c r="I189" s="2">
        <f t="shared" si="80"/>
        <v>12.894400000000001</v>
      </c>
      <c r="J189" s="17"/>
      <c r="K189" s="10"/>
      <c r="L189" s="10"/>
      <c r="M189" s="10"/>
      <c r="N189" s="10"/>
      <c r="O189" s="10"/>
      <c r="P189" s="10"/>
      <c r="Q189" s="10"/>
      <c r="R189" s="2"/>
      <c r="S189" s="273"/>
      <c r="T189" s="273"/>
      <c r="U189" s="273"/>
      <c r="V189" s="9"/>
      <c r="W189" s="273"/>
      <c r="X189" s="273"/>
      <c r="Y189" s="9"/>
      <c r="Z189" s="273"/>
      <c r="AA189" s="273"/>
      <c r="AB189" s="9">
        <f t="shared" si="72"/>
        <v>0</v>
      </c>
      <c r="AC189" s="273"/>
      <c r="AD189" s="273" t="e">
        <f t="shared" si="73"/>
        <v>#DIV/0!</v>
      </c>
      <c r="AE189" s="9">
        <f t="shared" si="81"/>
        <v>0</v>
      </c>
      <c r="AF189" s="273"/>
      <c r="AG189" s="273" t="e">
        <f t="shared" si="82"/>
        <v>#DIV/0!</v>
      </c>
      <c r="AH189" s="9">
        <f t="shared" si="83"/>
        <v>151062.96296296298</v>
      </c>
      <c r="AI189" s="273"/>
      <c r="AJ189" s="273">
        <f t="shared" si="84"/>
        <v>0</v>
      </c>
      <c r="AK189" s="9">
        <f t="shared" si="85"/>
        <v>326507.40740740742</v>
      </c>
      <c r="AL189" s="273"/>
      <c r="AM189" s="273">
        <f t="shared" si="86"/>
        <v>0</v>
      </c>
      <c r="AN189" s="9">
        <f t="shared" si="87"/>
        <v>0</v>
      </c>
      <c r="AO189" s="273"/>
      <c r="AP189" s="273" t="e">
        <f t="shared" si="88"/>
        <v>#DIV/0!</v>
      </c>
      <c r="AQ189" s="9"/>
      <c r="AR189" s="273"/>
      <c r="AS189" s="39"/>
    </row>
    <row r="190" spans="1:45" ht="12.75">
      <c r="A190" s="163">
        <v>44124</v>
      </c>
      <c r="B190" s="273">
        <f>SUMIFS('Egg Tally'!$G:$G,'Egg Tally'!$C:$C,"M",'Egg Tally'!$A:$A,'Egg Collections'!$A190)</f>
        <v>0</v>
      </c>
      <c r="C190" s="273"/>
      <c r="D190" s="273">
        <f>SUMIFS('Egg Tally'!$G:$G,'Egg Tally'!$C:$C,D$1,'Egg Tally'!$A:$A,'Egg Collections'!$A190)</f>
        <v>0</v>
      </c>
      <c r="E190" s="273">
        <f>SUMIFS('Egg Tally'!$G:$G,'Egg Tally'!$C:$C,E$1,'Egg Tally'!$A:$A,'Egg Collections'!$A190)</f>
        <v>0</v>
      </c>
      <c r="F190" s="273">
        <f>SUMIFS('Egg Tally'!$G:$G,'Egg Tally'!$C:$C,F$1,'Egg Tally'!$A:$A,'Egg Collections'!$A190)</f>
        <v>0</v>
      </c>
      <c r="G190" s="273">
        <f>SUMIFS('Egg Tally'!$G:$G,'Egg Tally'!$C:$C,G$1,'Egg Tally'!$A:$A,'Egg Collections'!$A190)</f>
        <v>0</v>
      </c>
      <c r="H190" s="273">
        <f>SUMIFS('Egg Tally'!$G:$G,'Egg Tally'!$C:$C,H$1,'Egg Tally'!$A:$A,'Egg Collections'!$A190)</f>
        <v>0</v>
      </c>
      <c r="I190" s="2">
        <f t="shared" si="80"/>
        <v>0</v>
      </c>
      <c r="J190" s="17"/>
      <c r="K190" s="10"/>
      <c r="L190" s="10"/>
      <c r="M190" s="10"/>
      <c r="N190" s="10"/>
      <c r="O190" s="10"/>
      <c r="P190" s="10"/>
      <c r="Q190" s="10"/>
      <c r="R190" s="2"/>
      <c r="S190" s="273"/>
      <c r="T190" s="273"/>
      <c r="U190" s="273"/>
      <c r="V190" s="9"/>
      <c r="W190" s="273"/>
      <c r="X190" s="273"/>
      <c r="Y190" s="9"/>
      <c r="Z190" s="273"/>
      <c r="AA190" s="273"/>
      <c r="AB190" s="9">
        <f t="shared" si="72"/>
        <v>0</v>
      </c>
      <c r="AC190" s="273"/>
      <c r="AD190" s="273" t="e">
        <f t="shared" si="73"/>
        <v>#DIV/0!</v>
      </c>
      <c r="AE190" s="9">
        <f t="shared" si="81"/>
        <v>0</v>
      </c>
      <c r="AF190" s="273"/>
      <c r="AG190" s="273" t="e">
        <f t="shared" si="82"/>
        <v>#DIV/0!</v>
      </c>
      <c r="AH190" s="9">
        <f t="shared" si="83"/>
        <v>0</v>
      </c>
      <c r="AI190" s="273"/>
      <c r="AJ190" s="273" t="e">
        <f t="shared" si="84"/>
        <v>#DIV/0!</v>
      </c>
      <c r="AK190" s="9">
        <f t="shared" si="85"/>
        <v>0</v>
      </c>
      <c r="AL190" s="273"/>
      <c r="AM190" s="273" t="e">
        <f t="shared" si="86"/>
        <v>#DIV/0!</v>
      </c>
      <c r="AN190" s="9">
        <f t="shared" si="87"/>
        <v>0</v>
      </c>
      <c r="AO190" s="273"/>
      <c r="AP190" s="273" t="e">
        <f t="shared" si="88"/>
        <v>#DIV/0!</v>
      </c>
      <c r="AQ190" s="9"/>
      <c r="AR190" s="273"/>
      <c r="AS190" s="39"/>
    </row>
    <row r="191" spans="1:45" ht="12.75">
      <c r="A191" s="163">
        <v>44125</v>
      </c>
      <c r="B191" s="273">
        <f>SUMIFS('Egg Tally'!$G:$G,'Egg Tally'!$C:$C,"M",'Egg Tally'!$A:$A,'Egg Collections'!$A191)</f>
        <v>0</v>
      </c>
      <c r="C191" s="273"/>
      <c r="D191" s="273">
        <f>SUMIFS('Egg Tally'!$G:$G,'Egg Tally'!$C:$C,D$1,'Egg Tally'!$A:$A,'Egg Collections'!$A191)</f>
        <v>0</v>
      </c>
      <c r="E191" s="273">
        <f>SUMIFS('Egg Tally'!$G:$G,'Egg Tally'!$C:$C,E$1,'Egg Tally'!$A:$A,'Egg Collections'!$A191)</f>
        <v>0</v>
      </c>
      <c r="F191" s="273">
        <f>SUMIFS('Egg Tally'!$G:$G,'Egg Tally'!$C:$C,F$1,'Egg Tally'!$A:$A,'Egg Collections'!$A191)</f>
        <v>3.1310999999999996</v>
      </c>
      <c r="G191" s="273">
        <f>SUMIFS('Egg Tally'!$G:$G,'Egg Tally'!$C:$C,G$1,'Egg Tally'!$A:$A,'Egg Collections'!$A191)</f>
        <v>11.6965</v>
      </c>
      <c r="H191" s="273">
        <f>SUMIFS('Egg Tally'!$G:$G,'Egg Tally'!$C:$C,H$1,'Egg Tally'!$A:$A,'Egg Collections'!$A191)</f>
        <v>0</v>
      </c>
      <c r="I191" s="2">
        <f t="shared" si="80"/>
        <v>14.8276</v>
      </c>
      <c r="J191" s="17"/>
      <c r="K191" s="10"/>
      <c r="L191" s="10"/>
      <c r="M191" s="10"/>
      <c r="N191" s="10"/>
      <c r="O191" s="10"/>
      <c r="P191" s="10"/>
      <c r="Q191" s="10"/>
      <c r="R191" s="2"/>
      <c r="S191" s="273"/>
      <c r="T191" s="273"/>
      <c r="U191" s="273"/>
      <c r="V191" s="9"/>
      <c r="W191" s="273"/>
      <c r="X191" s="273"/>
      <c r="Y191" s="9"/>
      <c r="Z191" s="273"/>
      <c r="AA191" s="273"/>
      <c r="AB191" s="9">
        <f t="shared" si="72"/>
        <v>0</v>
      </c>
      <c r="AC191" s="273"/>
      <c r="AD191" s="273" t="e">
        <f t="shared" si="73"/>
        <v>#DIV/0!</v>
      </c>
      <c r="AE191" s="9">
        <f t="shared" si="81"/>
        <v>0</v>
      </c>
      <c r="AF191" s="273"/>
      <c r="AG191" s="273" t="e">
        <f t="shared" si="82"/>
        <v>#DIV/0!</v>
      </c>
      <c r="AH191" s="9">
        <f t="shared" si="83"/>
        <v>115966.66666666666</v>
      </c>
      <c r="AI191" s="273"/>
      <c r="AJ191" s="273">
        <f t="shared" si="84"/>
        <v>0</v>
      </c>
      <c r="AK191" s="9">
        <f t="shared" si="85"/>
        <v>433203.70370370371</v>
      </c>
      <c r="AL191" s="273"/>
      <c r="AM191" s="273">
        <f t="shared" si="86"/>
        <v>0</v>
      </c>
      <c r="AN191" s="9">
        <f t="shared" si="87"/>
        <v>0</v>
      </c>
      <c r="AO191" s="273"/>
      <c r="AP191" s="273" t="e">
        <f t="shared" si="88"/>
        <v>#DIV/0!</v>
      </c>
      <c r="AQ191" s="9"/>
      <c r="AR191" s="273"/>
      <c r="AS191" s="39"/>
    </row>
    <row r="192" spans="1:45" ht="12.75">
      <c r="A192" s="163">
        <v>44126</v>
      </c>
      <c r="B192" s="273">
        <f>SUMIFS('Egg Tally'!$G:$G,'Egg Tally'!$C:$C,"M",'Egg Tally'!$A:$A,'Egg Collections'!$A192)</f>
        <v>0</v>
      </c>
      <c r="C192" s="273"/>
      <c r="D192" s="273">
        <f>SUMIFS('Egg Tally'!$G:$G,'Egg Tally'!$C:$C,D$1,'Egg Tally'!$A:$A,'Egg Collections'!$A192)</f>
        <v>0</v>
      </c>
      <c r="E192" s="273">
        <f>SUMIFS('Egg Tally'!$G:$G,'Egg Tally'!$C:$C,E$1,'Egg Tally'!$A:$A,'Egg Collections'!$A192)</f>
        <v>0</v>
      </c>
      <c r="F192" s="273">
        <f>SUMIFS('Egg Tally'!$G:$G,'Egg Tally'!$C:$C,F$1,'Egg Tally'!$A:$A,'Egg Collections'!$A192)</f>
        <v>0</v>
      </c>
      <c r="G192" s="273">
        <f>SUMIFS('Egg Tally'!$G:$G,'Egg Tally'!$C:$C,G$1,'Egg Tally'!$A:$A,'Egg Collections'!$A192)</f>
        <v>0</v>
      </c>
      <c r="H192" s="273">
        <f>SUMIFS('Egg Tally'!$G:$G,'Egg Tally'!$C:$C,H$1,'Egg Tally'!$A:$A,'Egg Collections'!$A192)</f>
        <v>0</v>
      </c>
      <c r="I192" s="2">
        <f t="shared" si="80"/>
        <v>0</v>
      </c>
      <c r="J192" s="17"/>
      <c r="K192" s="10"/>
      <c r="L192" s="10"/>
      <c r="M192" s="10"/>
      <c r="N192" s="10"/>
      <c r="O192" s="10"/>
      <c r="P192" s="10"/>
      <c r="Q192" s="10"/>
      <c r="R192" s="2"/>
      <c r="S192" s="273"/>
      <c r="T192" s="273"/>
      <c r="U192" s="273"/>
      <c r="V192" s="9"/>
      <c r="W192" s="273"/>
      <c r="X192" s="273"/>
      <c r="Y192" s="9"/>
      <c r="Z192" s="273"/>
      <c r="AA192" s="273"/>
      <c r="AB192" s="9">
        <f t="shared" si="72"/>
        <v>0</v>
      </c>
      <c r="AC192" s="273"/>
      <c r="AD192" s="273" t="e">
        <f t="shared" si="73"/>
        <v>#DIV/0!</v>
      </c>
      <c r="AE192" s="9">
        <f t="shared" si="81"/>
        <v>0</v>
      </c>
      <c r="AF192" s="273"/>
      <c r="AG192" s="273" t="e">
        <f t="shared" si="82"/>
        <v>#DIV/0!</v>
      </c>
      <c r="AH192" s="9">
        <f t="shared" si="83"/>
        <v>0</v>
      </c>
      <c r="AI192" s="273"/>
      <c r="AJ192" s="273" t="e">
        <f t="shared" si="84"/>
        <v>#DIV/0!</v>
      </c>
      <c r="AK192" s="9">
        <f t="shared" si="85"/>
        <v>0</v>
      </c>
      <c r="AL192" s="273"/>
      <c r="AM192" s="273" t="e">
        <f t="shared" si="86"/>
        <v>#DIV/0!</v>
      </c>
      <c r="AN192" s="9">
        <f t="shared" si="87"/>
        <v>0</v>
      </c>
      <c r="AO192" s="273"/>
      <c r="AP192" s="273" t="e">
        <f t="shared" si="88"/>
        <v>#DIV/0!</v>
      </c>
      <c r="AQ192" s="9"/>
      <c r="AR192" s="273"/>
      <c r="AS192" s="39"/>
    </row>
    <row r="193" spans="1:45" ht="12.75">
      <c r="A193" s="163">
        <v>44127</v>
      </c>
      <c r="B193" s="273">
        <f>SUMIFS('Egg Tally'!$G:$G,'Egg Tally'!$C:$C,"M",'Egg Tally'!$A:$A,'Egg Collections'!$A193)</f>
        <v>0</v>
      </c>
      <c r="C193" s="273"/>
      <c r="D193" s="273">
        <f>SUMIFS('Egg Tally'!$G:$G,'Egg Tally'!$C:$C,D$1,'Egg Tally'!$A:$A,'Egg Collections'!$A193)</f>
        <v>5.0579999999999998</v>
      </c>
      <c r="E193" s="273">
        <f>SUMIFS('Egg Tally'!$G:$G,'Egg Tally'!$C:$C,E$1,'Egg Tally'!$A:$A,'Egg Collections'!$A193)</f>
        <v>0</v>
      </c>
      <c r="F193" s="273">
        <f>SUMIFS('Egg Tally'!$G:$G,'Egg Tally'!$C:$C,F$1,'Egg Tally'!$A:$A,'Egg Collections'!$A193)</f>
        <v>1.2658999999999989</v>
      </c>
      <c r="G193" s="273">
        <f>SUMIFS('Egg Tally'!$G:$G,'Egg Tally'!$C:$C,G$1,'Egg Tally'!$A:$A,'Egg Collections'!$A193)</f>
        <v>11.46574</v>
      </c>
      <c r="H193" s="273">
        <f>SUMIFS('Egg Tally'!$G:$G,'Egg Tally'!$C:$C,H$1,'Egg Tally'!$A:$A,'Egg Collections'!$A193)</f>
        <v>8.1706000000000003</v>
      </c>
      <c r="I193" s="2">
        <f t="shared" si="80"/>
        <v>25.960239999999999</v>
      </c>
      <c r="J193" s="17"/>
      <c r="K193" s="10"/>
      <c r="L193" s="10"/>
      <c r="M193" s="10"/>
      <c r="N193" s="10"/>
      <c r="O193" s="10"/>
      <c r="P193" s="10"/>
      <c r="Q193" s="10"/>
      <c r="R193" s="2"/>
      <c r="S193" s="273"/>
      <c r="T193" s="273"/>
      <c r="U193" s="273"/>
      <c r="V193" s="9"/>
      <c r="W193" s="273"/>
      <c r="X193" s="273"/>
      <c r="Y193" s="9"/>
      <c r="Z193" s="273"/>
      <c r="AA193" s="273"/>
      <c r="AB193" s="9">
        <f t="shared" si="72"/>
        <v>187333.33333333334</v>
      </c>
      <c r="AC193" s="273"/>
      <c r="AD193" s="273">
        <f t="shared" si="73"/>
        <v>0</v>
      </c>
      <c r="AE193" s="9">
        <f t="shared" si="81"/>
        <v>0</v>
      </c>
      <c r="AF193" s="273"/>
      <c r="AG193" s="273" t="e">
        <f t="shared" si="82"/>
        <v>#DIV/0!</v>
      </c>
      <c r="AH193" s="9">
        <f t="shared" si="83"/>
        <v>46885.185185185146</v>
      </c>
      <c r="AI193" s="273"/>
      <c r="AJ193" s="273">
        <f t="shared" si="84"/>
        <v>0</v>
      </c>
      <c r="AK193" s="9">
        <f t="shared" si="85"/>
        <v>424657.03703703708</v>
      </c>
      <c r="AL193" s="273"/>
      <c r="AM193" s="273">
        <f t="shared" si="86"/>
        <v>0</v>
      </c>
      <c r="AN193" s="9">
        <f t="shared" si="87"/>
        <v>302614.81481481483</v>
      </c>
      <c r="AO193" s="273"/>
      <c r="AP193" s="273">
        <f t="shared" si="88"/>
        <v>0</v>
      </c>
      <c r="AQ193" s="9"/>
      <c r="AR193" s="273"/>
      <c r="AS193" s="39"/>
    </row>
    <row r="194" spans="1:45" ht="12.75">
      <c r="A194" s="163">
        <v>44128</v>
      </c>
      <c r="B194" s="273">
        <f>SUMIFS('Egg Tally'!$G:$G,'Egg Tally'!$C:$C,"M",'Egg Tally'!$A:$A,'Egg Collections'!$A194)</f>
        <v>0</v>
      </c>
      <c r="C194" s="273"/>
      <c r="D194" s="273">
        <f>SUMIFS('Egg Tally'!$G:$G,'Egg Tally'!$C:$C,D$1,'Egg Tally'!$A:$A,'Egg Collections'!$A194)</f>
        <v>0</v>
      </c>
      <c r="E194" s="273">
        <f>SUMIFS('Egg Tally'!$G:$G,'Egg Tally'!$C:$C,E$1,'Egg Tally'!$A:$A,'Egg Collections'!$A194)</f>
        <v>0</v>
      </c>
      <c r="F194" s="273">
        <f>SUMIFS('Egg Tally'!$G:$G,'Egg Tally'!$C:$C,F$1,'Egg Tally'!$A:$A,'Egg Collections'!$A194)</f>
        <v>0</v>
      </c>
      <c r="G194" s="273">
        <f>SUMIFS('Egg Tally'!$G:$G,'Egg Tally'!$C:$C,G$1,'Egg Tally'!$A:$A,'Egg Collections'!$A194)</f>
        <v>0</v>
      </c>
      <c r="H194" s="273">
        <f>SUMIFS('Egg Tally'!$G:$G,'Egg Tally'!$C:$C,H$1,'Egg Tally'!$A:$A,'Egg Collections'!$A194)</f>
        <v>0</v>
      </c>
      <c r="I194" s="2">
        <f t="shared" si="80"/>
        <v>0</v>
      </c>
      <c r="J194" s="17"/>
      <c r="K194" s="10"/>
      <c r="L194" s="10"/>
      <c r="M194" s="10"/>
      <c r="N194" s="10"/>
      <c r="O194" s="10"/>
      <c r="P194" s="10"/>
      <c r="Q194" s="10"/>
      <c r="R194" s="2"/>
      <c r="S194" s="273"/>
      <c r="T194" s="273"/>
      <c r="U194" s="273"/>
      <c r="V194" s="9"/>
      <c r="W194" s="273"/>
      <c r="X194" s="273"/>
      <c r="Y194" s="9"/>
      <c r="Z194" s="273"/>
      <c r="AA194" s="273"/>
      <c r="AB194" s="9">
        <f t="shared" si="72"/>
        <v>0</v>
      </c>
      <c r="AC194" s="273"/>
      <c r="AD194" s="273" t="e">
        <f t="shared" si="73"/>
        <v>#DIV/0!</v>
      </c>
      <c r="AE194" s="9">
        <f t="shared" si="81"/>
        <v>0</v>
      </c>
      <c r="AF194" s="273"/>
      <c r="AG194" s="273" t="e">
        <f t="shared" si="82"/>
        <v>#DIV/0!</v>
      </c>
      <c r="AH194" s="9">
        <f t="shared" si="83"/>
        <v>0</v>
      </c>
      <c r="AI194" s="273"/>
      <c r="AJ194" s="273" t="e">
        <f t="shared" si="84"/>
        <v>#DIV/0!</v>
      </c>
      <c r="AK194" s="9">
        <f t="shared" si="85"/>
        <v>0</v>
      </c>
      <c r="AL194" s="273"/>
      <c r="AM194" s="273" t="e">
        <f t="shared" si="86"/>
        <v>#DIV/0!</v>
      </c>
      <c r="AN194" s="9">
        <f t="shared" si="87"/>
        <v>0</v>
      </c>
      <c r="AO194" s="273"/>
      <c r="AP194" s="273" t="e">
        <f t="shared" si="88"/>
        <v>#DIV/0!</v>
      </c>
      <c r="AQ194" s="9"/>
      <c r="AR194" s="273"/>
      <c r="AS194" s="39"/>
    </row>
    <row r="195" spans="1:45" ht="12.75">
      <c r="A195" s="163">
        <v>44129</v>
      </c>
      <c r="B195" s="273">
        <f>SUMIFS('Egg Tally'!$G:$G,'Egg Tally'!$C:$C,"M",'Egg Tally'!$A:$A,'Egg Collections'!$A195)</f>
        <v>0</v>
      </c>
      <c r="C195" s="273"/>
      <c r="D195" s="273">
        <f>SUMIFS('Egg Tally'!$G:$G,'Egg Tally'!$C:$C,D$1,'Egg Tally'!$A:$A,'Egg Collections'!$A195)</f>
        <v>0</v>
      </c>
      <c r="E195" s="273">
        <f>SUMIFS('Egg Tally'!$G:$G,'Egg Tally'!$C:$C,E$1,'Egg Tally'!$A:$A,'Egg Collections'!$A195)</f>
        <v>0</v>
      </c>
      <c r="F195" s="273">
        <f>SUMIFS('Egg Tally'!$G:$G,'Egg Tally'!$C:$C,F$1,'Egg Tally'!$A:$A,'Egg Collections'!$A195)</f>
        <v>0</v>
      </c>
      <c r="G195" s="273">
        <f>SUMIFS('Egg Tally'!$G:$G,'Egg Tally'!$C:$C,G$1,'Egg Tally'!$A:$A,'Egg Collections'!$A195)</f>
        <v>0</v>
      </c>
      <c r="H195" s="273">
        <f>SUMIFS('Egg Tally'!$G:$G,'Egg Tally'!$C:$C,H$1,'Egg Tally'!$A:$A,'Egg Collections'!$A195)</f>
        <v>0</v>
      </c>
      <c r="I195" s="2">
        <f t="shared" si="80"/>
        <v>0</v>
      </c>
      <c r="J195" s="17"/>
      <c r="K195" s="10"/>
      <c r="L195" s="10"/>
      <c r="M195" s="10"/>
      <c r="N195" s="10"/>
      <c r="O195" s="10"/>
      <c r="P195" s="10"/>
      <c r="Q195" s="10"/>
      <c r="R195" s="2"/>
      <c r="S195" s="273"/>
      <c r="T195" s="273"/>
      <c r="U195" s="273"/>
      <c r="V195" s="9"/>
      <c r="W195" s="273"/>
      <c r="X195" s="273"/>
      <c r="Y195" s="9"/>
      <c r="Z195" s="273"/>
      <c r="AA195" s="273"/>
      <c r="AB195" s="9">
        <f t="shared" si="72"/>
        <v>0</v>
      </c>
      <c r="AC195" s="273"/>
      <c r="AD195" s="273" t="e">
        <f t="shared" si="73"/>
        <v>#DIV/0!</v>
      </c>
      <c r="AE195" s="9">
        <f t="shared" si="81"/>
        <v>0</v>
      </c>
      <c r="AF195" s="273"/>
      <c r="AG195" s="273" t="e">
        <f t="shared" si="82"/>
        <v>#DIV/0!</v>
      </c>
      <c r="AH195" s="9">
        <f t="shared" si="83"/>
        <v>0</v>
      </c>
      <c r="AI195" s="273"/>
      <c r="AJ195" s="273" t="e">
        <f t="shared" si="84"/>
        <v>#DIV/0!</v>
      </c>
      <c r="AK195" s="9">
        <f t="shared" si="85"/>
        <v>0</v>
      </c>
      <c r="AL195" s="273"/>
      <c r="AM195" s="273" t="e">
        <f t="shared" si="86"/>
        <v>#DIV/0!</v>
      </c>
      <c r="AN195" s="9">
        <f t="shared" si="87"/>
        <v>0</v>
      </c>
      <c r="AO195" s="273"/>
      <c r="AP195" s="273" t="e">
        <f t="shared" si="88"/>
        <v>#DIV/0!</v>
      </c>
      <c r="AQ195" s="9"/>
      <c r="AR195" s="273"/>
      <c r="AS195" s="39"/>
    </row>
    <row r="196" spans="1:45" ht="12.75">
      <c r="A196" s="163">
        <v>44130</v>
      </c>
      <c r="B196" s="273">
        <f>SUMIFS('Egg Tally'!$G:$G,'Egg Tally'!$C:$C,"M",'Egg Tally'!$A:$A,'Egg Collections'!$A196)</f>
        <v>0</v>
      </c>
      <c r="C196" s="273"/>
      <c r="D196" s="273">
        <f>SUMIFS('Egg Tally'!$G:$G,'Egg Tally'!$C:$C,D$1,'Egg Tally'!$A:$A,'Egg Collections'!$A196)</f>
        <v>0.95179999999999998</v>
      </c>
      <c r="E196" s="273">
        <f>SUMIFS('Egg Tally'!$G:$G,'Egg Tally'!$C:$C,E$1,'Egg Tally'!$A:$A,'Egg Collections'!$A196)</f>
        <v>0</v>
      </c>
      <c r="F196" s="273">
        <f>SUMIFS('Egg Tally'!$G:$G,'Egg Tally'!$C:$C,F$1,'Egg Tally'!$A:$A,'Egg Collections'!$A196)</f>
        <v>0.40090000000000003</v>
      </c>
      <c r="G196" s="273">
        <f>SUMIFS('Egg Tally'!$G:$G,'Egg Tally'!$C:$C,G$1,'Egg Tally'!$A:$A,'Egg Collections'!$A196)</f>
        <v>3.3171000000000004</v>
      </c>
      <c r="H196" s="273">
        <f>SUMIFS('Egg Tally'!$G:$G,'Egg Tally'!$C:$C,H$1,'Egg Tally'!$A:$A,'Egg Collections'!$A196)</f>
        <v>1.5244</v>
      </c>
      <c r="I196" s="2">
        <f t="shared" si="80"/>
        <v>6.1942000000000004</v>
      </c>
      <c r="J196" s="17"/>
      <c r="K196" s="10"/>
      <c r="L196" s="10"/>
      <c r="M196" s="10"/>
      <c r="N196" s="10"/>
      <c r="O196" s="10"/>
      <c r="P196" s="10"/>
      <c r="Q196" s="10"/>
      <c r="R196" s="2"/>
      <c r="S196" s="273"/>
      <c r="T196" s="273"/>
      <c r="U196" s="273"/>
      <c r="V196" s="9"/>
      <c r="W196" s="273"/>
      <c r="X196" s="273"/>
      <c r="Y196" s="9"/>
      <c r="Z196" s="273"/>
      <c r="AA196" s="273"/>
      <c r="AB196" s="9">
        <f t="shared" si="72"/>
        <v>35251.851851851854</v>
      </c>
      <c r="AC196" s="273"/>
      <c r="AD196" s="273">
        <f t="shared" si="73"/>
        <v>0</v>
      </c>
      <c r="AE196" s="9">
        <f t="shared" si="81"/>
        <v>0</v>
      </c>
      <c r="AF196" s="273"/>
      <c r="AG196" s="273" t="e">
        <f t="shared" si="82"/>
        <v>#DIV/0!</v>
      </c>
      <c r="AH196" s="9">
        <f t="shared" si="83"/>
        <v>14848.14814814815</v>
      </c>
      <c r="AI196" s="273"/>
      <c r="AJ196" s="273">
        <f t="shared" si="84"/>
        <v>0</v>
      </c>
      <c r="AK196" s="9">
        <f t="shared" si="85"/>
        <v>122855.55555555558</v>
      </c>
      <c r="AL196" s="273"/>
      <c r="AM196" s="273">
        <f t="shared" si="86"/>
        <v>0</v>
      </c>
      <c r="AN196" s="9">
        <f t="shared" si="87"/>
        <v>56459.259259259263</v>
      </c>
      <c r="AO196" s="273"/>
      <c r="AP196" s="273">
        <f t="shared" si="88"/>
        <v>0</v>
      </c>
      <c r="AQ196" s="9"/>
      <c r="AR196" s="273"/>
      <c r="AS196" s="39"/>
    </row>
    <row r="197" spans="1:45" ht="12.75">
      <c r="A197" s="163">
        <v>44131</v>
      </c>
      <c r="B197" s="273">
        <f>SUMIFS('Egg Tally'!$G:$G,'Egg Tally'!$C:$C,"M",'Egg Tally'!$A:$A,'Egg Collections'!$A197)</f>
        <v>0</v>
      </c>
      <c r="C197" s="273"/>
      <c r="D197" s="273">
        <f>SUMIFS('Egg Tally'!$G:$G,'Egg Tally'!$C:$C,D$1,'Egg Tally'!$A:$A,'Egg Collections'!$A197)</f>
        <v>0</v>
      </c>
      <c r="E197" s="273">
        <f>SUMIFS('Egg Tally'!$G:$G,'Egg Tally'!$C:$C,E$1,'Egg Tally'!$A:$A,'Egg Collections'!$A197)</f>
        <v>0</v>
      </c>
      <c r="F197" s="273">
        <f>SUMIFS('Egg Tally'!$G:$G,'Egg Tally'!$C:$C,F$1,'Egg Tally'!$A:$A,'Egg Collections'!$A197)</f>
        <v>0</v>
      </c>
      <c r="G197" s="273">
        <f>SUMIFS('Egg Tally'!$G:$G,'Egg Tally'!$C:$C,G$1,'Egg Tally'!$A:$A,'Egg Collections'!$A197)</f>
        <v>0</v>
      </c>
      <c r="H197" s="273">
        <f>SUMIFS('Egg Tally'!$G:$G,'Egg Tally'!$C:$C,H$1,'Egg Tally'!$A:$A,'Egg Collections'!$A197)</f>
        <v>0</v>
      </c>
      <c r="I197" s="2">
        <f t="shared" si="80"/>
        <v>0</v>
      </c>
      <c r="J197" s="17"/>
      <c r="K197" s="10"/>
      <c r="L197" s="10"/>
      <c r="M197" s="10"/>
      <c r="N197" s="10"/>
      <c r="O197" s="10"/>
      <c r="P197" s="10"/>
      <c r="Q197" s="10"/>
      <c r="R197" s="2"/>
      <c r="S197" s="273"/>
      <c r="T197" s="273"/>
      <c r="U197" s="273"/>
      <c r="V197" s="9"/>
      <c r="W197" s="273"/>
      <c r="X197" s="273"/>
      <c r="Y197" s="9"/>
      <c r="Z197" s="273"/>
      <c r="AA197" s="273"/>
      <c r="AB197" s="9">
        <f t="shared" si="72"/>
        <v>0</v>
      </c>
      <c r="AC197" s="273"/>
      <c r="AD197" s="273" t="e">
        <f t="shared" si="73"/>
        <v>#DIV/0!</v>
      </c>
      <c r="AE197" s="9">
        <f t="shared" si="81"/>
        <v>0</v>
      </c>
      <c r="AF197" s="273"/>
      <c r="AG197" s="273" t="e">
        <f t="shared" si="82"/>
        <v>#DIV/0!</v>
      </c>
      <c r="AH197" s="9">
        <f t="shared" si="83"/>
        <v>0</v>
      </c>
      <c r="AI197" s="273"/>
      <c r="AJ197" s="273" t="e">
        <f t="shared" si="84"/>
        <v>#DIV/0!</v>
      </c>
      <c r="AK197" s="9">
        <f t="shared" si="85"/>
        <v>0</v>
      </c>
      <c r="AL197" s="273"/>
      <c r="AM197" s="273" t="e">
        <f t="shared" si="86"/>
        <v>#DIV/0!</v>
      </c>
      <c r="AN197" s="9">
        <f t="shared" si="87"/>
        <v>0</v>
      </c>
      <c r="AO197" s="273"/>
      <c r="AP197" s="273" t="e">
        <f t="shared" si="88"/>
        <v>#DIV/0!</v>
      </c>
      <c r="AQ197" s="9"/>
      <c r="AR197" s="273"/>
      <c r="AS197" s="39"/>
    </row>
    <row r="198" spans="1:45" ht="12.75">
      <c r="A198" s="163">
        <v>44132</v>
      </c>
      <c r="B198" s="273">
        <f>SUMIFS('Egg Tally'!$G:$G,'Egg Tally'!$C:$C,"M",'Egg Tally'!$A:$A,'Egg Collections'!$A198)</f>
        <v>0</v>
      </c>
      <c r="C198" s="273"/>
      <c r="D198" s="273">
        <f>SUMIFS('Egg Tally'!$G:$G,'Egg Tally'!$C:$C,D$1,'Egg Tally'!$A:$A,'Egg Collections'!$A198)</f>
        <v>3.7707000000000006</v>
      </c>
      <c r="E198" s="273">
        <f>SUMIFS('Egg Tally'!$G:$G,'Egg Tally'!$C:$C,E$1,'Egg Tally'!$A:$A,'Egg Collections'!$A198)</f>
        <v>0</v>
      </c>
      <c r="F198" s="273">
        <f>SUMIFS('Egg Tally'!$G:$G,'Egg Tally'!$C:$C,F$1,'Egg Tally'!$A:$A,'Egg Collections'!$A198)</f>
        <v>0.65430000000000099</v>
      </c>
      <c r="G198" s="273">
        <f>SUMIFS('Egg Tally'!$G:$G,'Egg Tally'!$C:$C,G$1,'Egg Tally'!$A:$A,'Egg Collections'!$A198)</f>
        <v>3.7102000000000008</v>
      </c>
      <c r="H198" s="273">
        <f>SUMIFS('Egg Tally'!$G:$G,'Egg Tally'!$C:$C,H$1,'Egg Tally'!$A:$A,'Egg Collections'!$A198)</f>
        <v>3.9020000000000001</v>
      </c>
      <c r="I198" s="2">
        <f t="shared" si="80"/>
        <v>12.037200000000002</v>
      </c>
      <c r="J198" s="17"/>
      <c r="K198" s="10"/>
      <c r="L198" s="10"/>
      <c r="M198" s="10"/>
      <c r="N198" s="10"/>
      <c r="O198" s="10"/>
      <c r="P198" s="10"/>
      <c r="Q198" s="10"/>
      <c r="R198" s="2"/>
      <c r="S198" s="273"/>
      <c r="T198" s="273"/>
      <c r="U198" s="273"/>
      <c r="V198" s="9"/>
      <c r="W198" s="273"/>
      <c r="X198" s="273"/>
      <c r="Y198" s="9"/>
      <c r="Z198" s="273"/>
      <c r="AA198" s="273"/>
      <c r="AB198" s="9">
        <f t="shared" si="72"/>
        <v>139655.55555555559</v>
      </c>
      <c r="AC198" s="273"/>
      <c r="AD198" s="273">
        <f t="shared" si="73"/>
        <v>0</v>
      </c>
      <c r="AE198" s="9">
        <f t="shared" si="81"/>
        <v>0</v>
      </c>
      <c r="AF198" s="273"/>
      <c r="AG198" s="273" t="e">
        <f t="shared" si="82"/>
        <v>#DIV/0!</v>
      </c>
      <c r="AH198" s="9">
        <f t="shared" si="83"/>
        <v>24233.333333333372</v>
      </c>
      <c r="AI198" s="273"/>
      <c r="AJ198" s="273">
        <f t="shared" si="84"/>
        <v>0</v>
      </c>
      <c r="AK198" s="9">
        <f t="shared" si="85"/>
        <v>137414.81481481486</v>
      </c>
      <c r="AL198" s="273"/>
      <c r="AM198" s="273">
        <f t="shared" si="86"/>
        <v>0</v>
      </c>
      <c r="AN198" s="9">
        <f t="shared" si="87"/>
        <v>144518.51851851854</v>
      </c>
      <c r="AO198" s="273"/>
      <c r="AP198" s="273">
        <f t="shared" si="88"/>
        <v>0</v>
      </c>
      <c r="AQ198" s="9"/>
      <c r="AR198" s="273"/>
      <c r="AS198" s="39"/>
    </row>
    <row r="199" spans="1:45" ht="12.75">
      <c r="A199" s="163">
        <v>44133</v>
      </c>
      <c r="B199" s="273">
        <f>SUMIFS('Egg Tally'!$G:$G,'Egg Tally'!$C:$C,"M",'Egg Tally'!$A:$A,'Egg Collections'!$A199)</f>
        <v>0</v>
      </c>
      <c r="C199" s="273"/>
      <c r="D199" s="273">
        <f>SUMIFS('Egg Tally'!$G:$G,'Egg Tally'!$C:$C,D$1,'Egg Tally'!$A:$A,'Egg Collections'!$A199)</f>
        <v>0</v>
      </c>
      <c r="E199" s="273">
        <f>SUMIFS('Egg Tally'!$G:$G,'Egg Tally'!$C:$C,E$1,'Egg Tally'!$A:$A,'Egg Collections'!$A199)</f>
        <v>0</v>
      </c>
      <c r="F199" s="273">
        <f>SUMIFS('Egg Tally'!$G:$G,'Egg Tally'!$C:$C,F$1,'Egg Tally'!$A:$A,'Egg Collections'!$A199)</f>
        <v>0</v>
      </c>
      <c r="G199" s="273">
        <f>SUMIFS('Egg Tally'!$G:$G,'Egg Tally'!$C:$C,G$1,'Egg Tally'!$A:$A,'Egg Collections'!$A199)</f>
        <v>0</v>
      </c>
      <c r="H199" s="273">
        <f>SUMIFS('Egg Tally'!$G:$G,'Egg Tally'!$C:$C,H$1,'Egg Tally'!$A:$A,'Egg Collections'!$A199)</f>
        <v>0</v>
      </c>
      <c r="I199" s="2">
        <f t="shared" si="80"/>
        <v>0</v>
      </c>
      <c r="J199" s="17"/>
      <c r="K199" s="10"/>
      <c r="L199" s="10"/>
      <c r="M199" s="10"/>
      <c r="N199" s="10"/>
      <c r="O199" s="10"/>
      <c r="P199" s="10"/>
      <c r="Q199" s="10"/>
      <c r="R199" s="2"/>
      <c r="S199" s="273"/>
      <c r="T199" s="273"/>
      <c r="U199" s="273"/>
      <c r="V199" s="9"/>
      <c r="W199" s="273"/>
      <c r="X199" s="273"/>
      <c r="Y199" s="9"/>
      <c r="Z199" s="273"/>
      <c r="AA199" s="273"/>
      <c r="AB199" s="9">
        <f t="shared" si="72"/>
        <v>0</v>
      </c>
      <c r="AC199" s="273"/>
      <c r="AD199" s="273" t="e">
        <f t="shared" si="73"/>
        <v>#DIV/0!</v>
      </c>
      <c r="AE199" s="9">
        <f t="shared" si="81"/>
        <v>0</v>
      </c>
      <c r="AF199" s="273"/>
      <c r="AG199" s="273" t="e">
        <f t="shared" si="82"/>
        <v>#DIV/0!</v>
      </c>
      <c r="AH199" s="9">
        <f t="shared" si="83"/>
        <v>0</v>
      </c>
      <c r="AI199" s="273"/>
      <c r="AJ199" s="273" t="e">
        <f t="shared" si="84"/>
        <v>#DIV/0!</v>
      </c>
      <c r="AK199" s="9">
        <f t="shared" si="85"/>
        <v>0</v>
      </c>
      <c r="AL199" s="273"/>
      <c r="AM199" s="273" t="e">
        <f t="shared" si="86"/>
        <v>#DIV/0!</v>
      </c>
      <c r="AN199" s="9">
        <f t="shared" si="87"/>
        <v>0</v>
      </c>
      <c r="AO199" s="273"/>
      <c r="AP199" s="273" t="e">
        <f t="shared" si="88"/>
        <v>#DIV/0!</v>
      </c>
      <c r="AQ199" s="9"/>
      <c r="AR199" s="273"/>
      <c r="AS199" s="39"/>
    </row>
    <row r="200" spans="1:45" s="144" customFormat="1" ht="12.75">
      <c r="A200" s="163">
        <v>44134</v>
      </c>
      <c r="B200" s="273">
        <f>SUMIFS('Egg Tally'!$G:$G,'Egg Tally'!$C:$C,"M",'Egg Tally'!$A:$A,'Egg Collections'!$A200)</f>
        <v>0</v>
      </c>
      <c r="C200" s="273"/>
      <c r="D200" s="273">
        <f>SUMIFS('Egg Tally'!$G:$G,'Egg Tally'!$C:$C,D$1,'Egg Tally'!$A:$A,'Egg Collections'!$A200)</f>
        <v>3.8137000000000003</v>
      </c>
      <c r="E200" s="273">
        <f>SUMIFS('Egg Tally'!$G:$G,'Egg Tally'!$C:$C,E$1,'Egg Tally'!$A:$A,'Egg Collections'!$A200)</f>
        <v>0</v>
      </c>
      <c r="F200" s="273">
        <f>SUMIFS('Egg Tally'!$G:$G,'Egg Tally'!$C:$C,F$1,'Egg Tally'!$A:$A,'Egg Collections'!$A200)</f>
        <v>1.4810999999999996</v>
      </c>
      <c r="G200" s="273">
        <f>SUMIFS('Egg Tally'!$G:$G,'Egg Tally'!$C:$C,G$1,'Egg Tally'!$A:$A,'Egg Collections'!$A200)</f>
        <v>6.0142000000000007</v>
      </c>
      <c r="H200" s="273">
        <f>SUMIFS('Egg Tally'!$G:$G,'Egg Tally'!$C:$C,H$1,'Egg Tally'!$A:$A,'Egg Collections'!$A200)</f>
        <v>8.6720000000000006</v>
      </c>
      <c r="I200" s="2">
        <f t="shared" si="80"/>
        <v>19.981000000000002</v>
      </c>
      <c r="J200" s="17"/>
      <c r="K200" s="10"/>
      <c r="L200" s="10"/>
      <c r="M200" s="10"/>
      <c r="N200" s="10"/>
      <c r="O200" s="10"/>
      <c r="P200" s="10"/>
      <c r="Q200" s="10"/>
      <c r="R200" s="2"/>
      <c r="S200" s="273"/>
      <c r="T200" s="273"/>
      <c r="U200" s="273"/>
      <c r="V200" s="9"/>
      <c r="W200" s="273"/>
      <c r="X200" s="273"/>
      <c r="Y200" s="9"/>
      <c r="Z200" s="273"/>
      <c r="AA200" s="273"/>
      <c r="AB200" s="9">
        <f t="shared" si="72"/>
        <v>141248.14814814818</v>
      </c>
      <c r="AC200" s="273"/>
      <c r="AD200" s="273">
        <f t="shared" si="73"/>
        <v>0</v>
      </c>
      <c r="AE200" s="9">
        <f t="shared" si="81"/>
        <v>0</v>
      </c>
      <c r="AF200" s="273"/>
      <c r="AG200" s="273" t="e">
        <f t="shared" si="82"/>
        <v>#DIV/0!</v>
      </c>
      <c r="AH200" s="9">
        <f t="shared" si="83"/>
        <v>54855.555555555547</v>
      </c>
      <c r="AI200" s="273"/>
      <c r="AJ200" s="273">
        <f t="shared" si="84"/>
        <v>0</v>
      </c>
      <c r="AK200" s="9">
        <f t="shared" si="85"/>
        <v>222748.14814814818</v>
      </c>
      <c r="AL200" s="273"/>
      <c r="AM200" s="273">
        <f t="shared" si="86"/>
        <v>0</v>
      </c>
      <c r="AN200" s="9">
        <f t="shared" si="87"/>
        <v>321185.18518518523</v>
      </c>
      <c r="AO200" s="273"/>
      <c r="AP200" s="273">
        <f t="shared" si="88"/>
        <v>0</v>
      </c>
      <c r="AQ200" s="9"/>
      <c r="AR200" s="273"/>
      <c r="AS200" s="39"/>
    </row>
    <row r="201" spans="1:45" ht="12.75">
      <c r="A201" s="163">
        <v>44135</v>
      </c>
      <c r="B201" s="273">
        <f>SUMIFS('Egg Tally'!$G:$G,'Egg Tally'!$C:$C,"M",'Egg Tally'!$A:$A,'Egg Collections'!$A201)</f>
        <v>0</v>
      </c>
      <c r="C201" s="273"/>
      <c r="D201" s="273">
        <f>SUMIFS('Egg Tally'!$G:$G,'Egg Tally'!$C:$C,D$1,'Egg Tally'!$A:$A,'Egg Collections'!$A201)</f>
        <v>0</v>
      </c>
      <c r="E201" s="273">
        <f>SUMIFS('Egg Tally'!$G:$G,'Egg Tally'!$C:$C,E$1,'Egg Tally'!$A:$A,'Egg Collections'!$A201)</f>
        <v>0</v>
      </c>
      <c r="F201" s="273">
        <f>SUMIFS('Egg Tally'!$G:$G,'Egg Tally'!$C:$C,F$1,'Egg Tally'!$A:$A,'Egg Collections'!$A201)</f>
        <v>0</v>
      </c>
      <c r="G201" s="273">
        <f>SUMIFS('Egg Tally'!$G:$G,'Egg Tally'!$C:$C,G$1,'Egg Tally'!$A:$A,'Egg Collections'!$A201)</f>
        <v>0</v>
      </c>
      <c r="H201" s="273">
        <f>SUMIFS('Egg Tally'!$G:$G,'Egg Tally'!$C:$C,H$1,'Egg Tally'!$A:$A,'Egg Collections'!$A201)</f>
        <v>0</v>
      </c>
      <c r="I201" s="2">
        <f t="shared" si="80"/>
        <v>0</v>
      </c>
      <c r="J201" s="17"/>
      <c r="K201" s="10"/>
      <c r="L201" s="10"/>
      <c r="M201" s="10"/>
      <c r="N201" s="10"/>
      <c r="O201" s="10"/>
      <c r="P201" s="10"/>
      <c r="Q201" s="10"/>
      <c r="R201" s="2"/>
      <c r="S201" s="273"/>
      <c r="T201" s="273"/>
      <c r="U201" s="273"/>
      <c r="V201" s="9"/>
      <c r="W201" s="273"/>
      <c r="X201" s="273"/>
      <c r="Y201" s="9"/>
      <c r="Z201" s="273"/>
      <c r="AA201" s="273"/>
      <c r="AB201" s="9">
        <f t="shared" si="72"/>
        <v>0</v>
      </c>
      <c r="AC201" s="273"/>
      <c r="AD201" s="273" t="e">
        <f t="shared" si="73"/>
        <v>#DIV/0!</v>
      </c>
      <c r="AE201" s="9">
        <f t="shared" si="81"/>
        <v>0</v>
      </c>
      <c r="AF201" s="273"/>
      <c r="AG201" s="273" t="e">
        <f t="shared" si="82"/>
        <v>#DIV/0!</v>
      </c>
      <c r="AH201" s="9">
        <f t="shared" si="83"/>
        <v>0</v>
      </c>
      <c r="AI201" s="273"/>
      <c r="AJ201" s="273" t="e">
        <f t="shared" si="84"/>
        <v>#DIV/0!</v>
      </c>
      <c r="AK201" s="9">
        <f t="shared" si="85"/>
        <v>0</v>
      </c>
      <c r="AL201" s="273"/>
      <c r="AM201" s="273" t="e">
        <f t="shared" si="86"/>
        <v>#DIV/0!</v>
      </c>
      <c r="AN201" s="9">
        <f t="shared" si="87"/>
        <v>0</v>
      </c>
      <c r="AO201" s="273"/>
      <c r="AP201" s="273" t="e">
        <f t="shared" si="88"/>
        <v>#DIV/0!</v>
      </c>
      <c r="AQ201" s="9"/>
      <c r="AR201" s="273"/>
      <c r="AS201" s="39"/>
    </row>
    <row r="202" spans="1:45" ht="12.75">
      <c r="A202" s="163">
        <v>44136</v>
      </c>
      <c r="B202" s="273">
        <f>SUMIFS('Egg Tally'!$G:$G,'Egg Tally'!$C:$C,"M",'Egg Tally'!$A:$A,'Egg Collections'!$A202)</f>
        <v>0</v>
      </c>
      <c r="C202" s="273"/>
      <c r="D202" s="273">
        <f>SUMIFS('Egg Tally'!$G:$G,'Egg Tally'!$C:$C,D$1,'Egg Tally'!$A:$A,'Egg Collections'!$A202)</f>
        <v>0</v>
      </c>
      <c r="E202" s="273">
        <f>SUMIFS('Egg Tally'!$G:$G,'Egg Tally'!$C:$C,E$1,'Egg Tally'!$A:$A,'Egg Collections'!$A202)</f>
        <v>0</v>
      </c>
      <c r="F202" s="273">
        <f>SUMIFS('Egg Tally'!$G:$G,'Egg Tally'!$C:$C,F$1,'Egg Tally'!$A:$A,'Egg Collections'!$A202)</f>
        <v>0</v>
      </c>
      <c r="G202" s="273">
        <f>SUMIFS('Egg Tally'!$G:$G,'Egg Tally'!$C:$C,G$1,'Egg Tally'!$A:$A,'Egg Collections'!$A202)</f>
        <v>0</v>
      </c>
      <c r="H202" s="273">
        <f>SUMIFS('Egg Tally'!$G:$G,'Egg Tally'!$C:$C,H$1,'Egg Tally'!$A:$A,'Egg Collections'!$A202)</f>
        <v>0</v>
      </c>
      <c r="I202" s="2">
        <f t="shared" si="80"/>
        <v>0</v>
      </c>
      <c r="J202" s="17"/>
      <c r="K202" s="10"/>
      <c r="L202" s="10"/>
      <c r="M202" s="10"/>
      <c r="N202" s="10"/>
      <c r="O202" s="10"/>
      <c r="P202" s="10"/>
      <c r="Q202" s="10"/>
      <c r="R202" s="2"/>
      <c r="S202" s="273"/>
      <c r="T202" s="273"/>
      <c r="U202" s="273"/>
      <c r="V202" s="9"/>
      <c r="W202" s="273"/>
      <c r="X202" s="273"/>
      <c r="Y202" s="9"/>
      <c r="Z202" s="273"/>
      <c r="AA202" s="273"/>
      <c r="AB202" s="9">
        <f t="shared" si="72"/>
        <v>0</v>
      </c>
      <c r="AC202" s="273"/>
      <c r="AD202" s="273" t="e">
        <f t="shared" si="73"/>
        <v>#DIV/0!</v>
      </c>
      <c r="AE202" s="9">
        <f t="shared" si="81"/>
        <v>0</v>
      </c>
      <c r="AF202" s="273"/>
      <c r="AG202" s="273" t="e">
        <f t="shared" si="82"/>
        <v>#DIV/0!</v>
      </c>
      <c r="AH202" s="9">
        <f t="shared" si="83"/>
        <v>0</v>
      </c>
      <c r="AI202" s="273"/>
      <c r="AJ202" s="273" t="e">
        <f t="shared" si="84"/>
        <v>#DIV/0!</v>
      </c>
      <c r="AK202" s="9">
        <f t="shared" si="85"/>
        <v>0</v>
      </c>
      <c r="AL202" s="273"/>
      <c r="AM202" s="273" t="e">
        <f t="shared" si="86"/>
        <v>#DIV/0!</v>
      </c>
      <c r="AN202" s="9">
        <f t="shared" si="87"/>
        <v>0</v>
      </c>
      <c r="AO202" s="273"/>
      <c r="AP202" s="273" t="e">
        <f t="shared" si="88"/>
        <v>#DIV/0!</v>
      </c>
      <c r="AQ202" s="9"/>
      <c r="AR202" s="273"/>
      <c r="AS202" s="39"/>
    </row>
    <row r="203" spans="1:45" ht="12.75">
      <c r="A203" s="163">
        <v>44137</v>
      </c>
      <c r="B203" s="273">
        <f>SUMIFS('Egg Tally'!$G:$G,'Egg Tally'!$C:$C,"M",'Egg Tally'!$A:$A,'Egg Collections'!$A203)</f>
        <v>0</v>
      </c>
      <c r="C203" s="273"/>
      <c r="D203" s="273">
        <f>SUMIFS('Egg Tally'!$G:$G,'Egg Tally'!$C:$C,D$1,'Egg Tally'!$A:$A,'Egg Collections'!$A203)</f>
        <v>2.1504000000000012</v>
      </c>
      <c r="E203" s="273">
        <f>SUMIFS('Egg Tally'!$G:$G,'Egg Tally'!$C:$C,E$1,'Egg Tally'!$A:$A,'Egg Collections'!$A203)</f>
        <v>0</v>
      </c>
      <c r="F203" s="273">
        <f>SUMIFS('Egg Tally'!$G:$G,'Egg Tally'!$C:$C,F$1,'Egg Tally'!$A:$A,'Egg Collections'!$A203)</f>
        <v>0.37670000000000003</v>
      </c>
      <c r="G203" s="273">
        <f>SUMIFS('Egg Tally'!$G:$G,'Egg Tally'!$C:$C,G$1,'Egg Tally'!$A:$A,'Egg Collections'!$A203)</f>
        <v>4.0476000000000001</v>
      </c>
      <c r="H203" s="273">
        <f>SUMIFS('Egg Tally'!$G:$G,'Egg Tally'!$C:$C,H$1,'Egg Tally'!$A:$A,'Egg Collections'!$A203)</f>
        <v>5.5937000000000001</v>
      </c>
      <c r="I203" s="2">
        <f t="shared" si="80"/>
        <v>12.168400000000002</v>
      </c>
      <c r="J203" s="17"/>
      <c r="K203" s="10"/>
      <c r="L203" s="10"/>
      <c r="M203" s="10"/>
      <c r="N203" s="10"/>
      <c r="O203" s="10"/>
      <c r="P203" s="10"/>
      <c r="Q203" s="10"/>
      <c r="R203" s="2"/>
      <c r="S203" s="273"/>
      <c r="T203" s="273"/>
      <c r="U203" s="273"/>
      <c r="V203" s="9"/>
      <c r="W203" s="273"/>
      <c r="X203" s="273"/>
      <c r="Y203" s="9"/>
      <c r="Z203" s="273"/>
      <c r="AA203" s="273"/>
      <c r="AB203" s="9">
        <f t="shared" si="72"/>
        <v>79644.444444444496</v>
      </c>
      <c r="AC203" s="273"/>
      <c r="AD203" s="273">
        <f t="shared" si="73"/>
        <v>0</v>
      </c>
      <c r="AE203" s="9">
        <f t="shared" si="81"/>
        <v>0</v>
      </c>
      <c r="AF203" s="273"/>
      <c r="AG203" s="273" t="e">
        <f t="shared" si="82"/>
        <v>#DIV/0!</v>
      </c>
      <c r="AH203" s="9">
        <f t="shared" si="83"/>
        <v>13951.851851851854</v>
      </c>
      <c r="AI203" s="273"/>
      <c r="AJ203" s="273">
        <f t="shared" si="84"/>
        <v>0</v>
      </c>
      <c r="AK203" s="9">
        <f t="shared" si="85"/>
        <v>149911.11111111112</v>
      </c>
      <c r="AL203" s="273"/>
      <c r="AM203" s="273">
        <f t="shared" si="86"/>
        <v>0</v>
      </c>
      <c r="AN203" s="9">
        <f t="shared" si="87"/>
        <v>207174.07407407407</v>
      </c>
      <c r="AO203" s="273"/>
      <c r="AP203" s="273">
        <f t="shared" si="88"/>
        <v>0</v>
      </c>
      <c r="AQ203" s="9"/>
      <c r="AR203" s="273"/>
      <c r="AS203" s="39"/>
    </row>
    <row r="204" spans="1:45" ht="12.75">
      <c r="A204" s="163">
        <v>44138</v>
      </c>
      <c r="B204" s="273">
        <f>SUMIFS('Egg Tally'!$G:$G,'Egg Tally'!$C:$C,"M",'Egg Tally'!$A:$A,'Egg Collections'!$A204)</f>
        <v>0</v>
      </c>
      <c r="C204" s="273"/>
      <c r="D204" s="273">
        <f>SUMIFS('Egg Tally'!$G:$G,'Egg Tally'!$C:$C,D$1,'Egg Tally'!$A:$A,'Egg Collections'!$A204)</f>
        <v>0</v>
      </c>
      <c r="E204" s="273">
        <f>SUMIFS('Egg Tally'!$G:$G,'Egg Tally'!$C:$C,E$1,'Egg Tally'!$A:$A,'Egg Collections'!$A204)</f>
        <v>0</v>
      </c>
      <c r="F204" s="273">
        <f>SUMIFS('Egg Tally'!$G:$G,'Egg Tally'!$C:$C,F$1,'Egg Tally'!$A:$A,'Egg Collections'!$A204)</f>
        <v>0</v>
      </c>
      <c r="G204" s="273">
        <f>SUMIFS('Egg Tally'!$G:$G,'Egg Tally'!$C:$C,G$1,'Egg Tally'!$A:$A,'Egg Collections'!$A204)</f>
        <v>0</v>
      </c>
      <c r="H204" s="273">
        <f>SUMIFS('Egg Tally'!$G:$G,'Egg Tally'!$C:$C,H$1,'Egg Tally'!$A:$A,'Egg Collections'!$A204)</f>
        <v>0</v>
      </c>
      <c r="I204" s="2">
        <f t="shared" si="80"/>
        <v>0</v>
      </c>
      <c r="J204" s="17"/>
      <c r="K204" s="10"/>
      <c r="L204" s="10"/>
      <c r="M204" s="10"/>
      <c r="N204" s="10"/>
      <c r="O204" s="10"/>
      <c r="P204" s="10"/>
      <c r="Q204" s="10"/>
      <c r="R204" s="2"/>
      <c r="S204" s="273"/>
      <c r="T204" s="273"/>
      <c r="U204" s="273"/>
      <c r="V204" s="9"/>
      <c r="W204" s="273"/>
      <c r="X204" s="273"/>
      <c r="Y204" s="9"/>
      <c r="Z204" s="273"/>
      <c r="AA204" s="273"/>
      <c r="AB204" s="9">
        <f t="shared" si="72"/>
        <v>0</v>
      </c>
      <c r="AC204" s="273"/>
      <c r="AD204" s="273" t="e">
        <f t="shared" si="73"/>
        <v>#DIV/0!</v>
      </c>
      <c r="AE204" s="9">
        <f t="shared" si="81"/>
        <v>0</v>
      </c>
      <c r="AF204" s="273"/>
      <c r="AG204" s="273" t="e">
        <f t="shared" si="82"/>
        <v>#DIV/0!</v>
      </c>
      <c r="AH204" s="9">
        <f t="shared" si="83"/>
        <v>0</v>
      </c>
      <c r="AI204" s="273"/>
      <c r="AJ204" s="273" t="e">
        <f t="shared" si="84"/>
        <v>#DIV/0!</v>
      </c>
      <c r="AK204" s="9">
        <f t="shared" si="85"/>
        <v>0</v>
      </c>
      <c r="AL204" s="273"/>
      <c r="AM204" s="273" t="e">
        <f t="shared" si="86"/>
        <v>#DIV/0!</v>
      </c>
      <c r="AN204" s="9">
        <f t="shared" si="87"/>
        <v>0</v>
      </c>
      <c r="AO204" s="273"/>
      <c r="AP204" s="273" t="e">
        <f t="shared" si="88"/>
        <v>#DIV/0!</v>
      </c>
      <c r="AQ204" s="9"/>
      <c r="AR204" s="273"/>
      <c r="AS204" s="39"/>
    </row>
    <row r="205" spans="1:45" ht="12.75">
      <c r="A205" s="163">
        <v>44139</v>
      </c>
      <c r="B205" s="273">
        <f>SUMIFS('Egg Tally'!$G:$G,'Egg Tally'!$C:$C,"M",'Egg Tally'!$A:$A,'Egg Collections'!$A205)</f>
        <v>0</v>
      </c>
      <c r="C205" s="273"/>
      <c r="D205" s="273">
        <f>SUMIFS('Egg Tally'!$G:$G,'Egg Tally'!$C:$C,D$1,'Egg Tally'!$A:$A,'Egg Collections'!$A205)</f>
        <v>4.9383999999999988</v>
      </c>
      <c r="E205" s="273">
        <f>SUMIFS('Egg Tally'!$G:$G,'Egg Tally'!$C:$C,E$1,'Egg Tally'!$A:$A,'Egg Collections'!$A205)</f>
        <v>0.13279999999999959</v>
      </c>
      <c r="F205" s="273">
        <f>SUMIFS('Egg Tally'!$G:$G,'Egg Tally'!$C:$C,F$1,'Egg Tally'!$A:$A,'Egg Collections'!$A205)</f>
        <v>0.11240000000000006</v>
      </c>
      <c r="G205" s="273">
        <f>SUMIFS('Egg Tally'!$G:$G,'Egg Tally'!$C:$C,G$1,'Egg Tally'!$A:$A,'Egg Collections'!$A205)</f>
        <v>3.9269999999999992</v>
      </c>
      <c r="H205" s="273">
        <f>SUMIFS('Egg Tally'!$G:$G,'Egg Tally'!$C:$C,H$1,'Egg Tally'!$A:$A,'Egg Collections'!$A205)</f>
        <v>3.0028999999999995</v>
      </c>
      <c r="I205" s="2">
        <f t="shared" si="80"/>
        <v>12.113499999999998</v>
      </c>
      <c r="J205" s="17"/>
      <c r="K205" s="10"/>
      <c r="L205" s="10"/>
      <c r="M205" s="10"/>
      <c r="N205" s="10"/>
      <c r="O205" s="10"/>
      <c r="P205" s="10"/>
      <c r="Q205" s="10"/>
      <c r="R205" s="2"/>
      <c r="S205" s="273"/>
      <c r="T205" s="273"/>
      <c r="U205" s="273"/>
      <c r="V205" s="9"/>
      <c r="W205" s="273"/>
      <c r="X205" s="273"/>
      <c r="Y205" s="9"/>
      <c r="Z205" s="273"/>
      <c r="AA205" s="273"/>
      <c r="AB205" s="9">
        <f t="shared" si="72"/>
        <v>182903.70370370368</v>
      </c>
      <c r="AC205" s="273"/>
      <c r="AD205" s="273">
        <f t="shared" si="73"/>
        <v>0</v>
      </c>
      <c r="AE205" s="9">
        <f t="shared" si="81"/>
        <v>4918.5185185185037</v>
      </c>
      <c r="AF205" s="273"/>
      <c r="AG205" s="273">
        <f t="shared" si="82"/>
        <v>0</v>
      </c>
      <c r="AH205" s="9">
        <f t="shared" si="83"/>
        <v>4162.9629629629653</v>
      </c>
      <c r="AI205" s="273"/>
      <c r="AJ205" s="273">
        <f t="shared" si="84"/>
        <v>0</v>
      </c>
      <c r="AK205" s="9">
        <f t="shared" si="85"/>
        <v>145444.44444444441</v>
      </c>
      <c r="AL205" s="273"/>
      <c r="AM205" s="273">
        <f t="shared" si="86"/>
        <v>0</v>
      </c>
      <c r="AN205" s="9">
        <f t="shared" si="87"/>
        <v>111218.5185185185</v>
      </c>
      <c r="AO205" s="273"/>
      <c r="AP205" s="273">
        <f t="shared" si="88"/>
        <v>0</v>
      </c>
      <c r="AQ205" s="9"/>
      <c r="AR205" s="273"/>
      <c r="AS205" s="39"/>
    </row>
    <row r="206" spans="1:45" ht="12.75">
      <c r="A206" s="163">
        <v>44140</v>
      </c>
      <c r="B206" s="273">
        <f>SUMIFS('Egg Tally'!$G:$G,'Egg Tally'!$C:$C,"M",'Egg Tally'!$A:$A,'Egg Collections'!$A206)</f>
        <v>0</v>
      </c>
      <c r="C206" s="273"/>
      <c r="D206" s="273">
        <f>SUMIFS('Egg Tally'!$G:$G,'Egg Tally'!$C:$C,D$1,'Egg Tally'!$A:$A,'Egg Collections'!$A206)</f>
        <v>0</v>
      </c>
      <c r="E206" s="273">
        <f>SUMIFS('Egg Tally'!$G:$G,'Egg Tally'!$C:$C,E$1,'Egg Tally'!$A:$A,'Egg Collections'!$A206)</f>
        <v>0</v>
      </c>
      <c r="F206" s="273">
        <f>SUMIFS('Egg Tally'!$G:$G,'Egg Tally'!$C:$C,F$1,'Egg Tally'!$A:$A,'Egg Collections'!$A206)</f>
        <v>0</v>
      </c>
      <c r="G206" s="273">
        <f>SUMIFS('Egg Tally'!$G:$G,'Egg Tally'!$C:$C,G$1,'Egg Tally'!$A:$A,'Egg Collections'!$A206)</f>
        <v>0</v>
      </c>
      <c r="H206" s="273">
        <f>SUMIFS('Egg Tally'!$G:$G,'Egg Tally'!$C:$C,H$1,'Egg Tally'!$A:$A,'Egg Collections'!$A206)</f>
        <v>0</v>
      </c>
      <c r="I206" s="2">
        <f t="shared" si="80"/>
        <v>0</v>
      </c>
      <c r="J206" s="17"/>
      <c r="K206" s="10"/>
      <c r="L206" s="10"/>
      <c r="M206" s="10"/>
      <c r="N206" s="10"/>
      <c r="O206" s="10"/>
      <c r="P206" s="10"/>
      <c r="Q206" s="10"/>
      <c r="R206" s="2"/>
      <c r="S206" s="273"/>
      <c r="T206" s="273"/>
      <c r="U206" s="273"/>
      <c r="V206" s="9"/>
      <c r="W206" s="273"/>
      <c r="X206" s="273"/>
      <c r="Y206" s="9"/>
      <c r="Z206" s="273"/>
      <c r="AA206" s="273"/>
      <c r="AB206" s="9">
        <f t="shared" si="72"/>
        <v>0</v>
      </c>
      <c r="AC206" s="273"/>
      <c r="AD206" s="273" t="e">
        <f t="shared" si="73"/>
        <v>#DIV/0!</v>
      </c>
      <c r="AE206" s="9">
        <f t="shared" si="81"/>
        <v>0</v>
      </c>
      <c r="AF206" s="273"/>
      <c r="AG206" s="273" t="e">
        <f t="shared" si="82"/>
        <v>#DIV/0!</v>
      </c>
      <c r="AH206" s="9">
        <f t="shared" si="83"/>
        <v>0</v>
      </c>
      <c r="AI206" s="273"/>
      <c r="AJ206" s="273" t="e">
        <f t="shared" si="84"/>
        <v>#DIV/0!</v>
      </c>
      <c r="AK206" s="9">
        <f t="shared" si="85"/>
        <v>0</v>
      </c>
      <c r="AL206" s="273"/>
      <c r="AM206" s="273" t="e">
        <f t="shared" si="86"/>
        <v>#DIV/0!</v>
      </c>
      <c r="AN206" s="9">
        <f t="shared" si="87"/>
        <v>0</v>
      </c>
      <c r="AO206" s="273"/>
      <c r="AP206" s="273" t="e">
        <f t="shared" si="88"/>
        <v>#DIV/0!</v>
      </c>
      <c r="AQ206" s="9"/>
      <c r="AR206" s="273"/>
      <c r="AS206" s="39"/>
    </row>
    <row r="207" spans="1:45" ht="12.75">
      <c r="A207" s="163">
        <v>44141</v>
      </c>
      <c r="B207" s="273">
        <f>SUMIFS('Egg Tally'!$G:$G,'Egg Tally'!$C:$C,"M",'Egg Tally'!$A:$A,'Egg Collections'!$A207)</f>
        <v>0</v>
      </c>
      <c r="C207" s="273"/>
      <c r="D207" s="273">
        <f>SUMIFS('Egg Tally'!$G:$G,'Egg Tally'!$C:$C,D$1,'Egg Tally'!$A:$A,'Egg Collections'!$A207)</f>
        <v>2.7625999999999999</v>
      </c>
      <c r="E207" s="273">
        <f>SUMIFS('Egg Tally'!$G:$G,'Egg Tally'!$C:$C,E$1,'Egg Tally'!$A:$A,'Egg Collections'!$A207)</f>
        <v>0.47439999999999971</v>
      </c>
      <c r="F207" s="273">
        <f>SUMIFS('Egg Tally'!$G:$G,'Egg Tally'!$C:$C,F$1,'Egg Tally'!$A:$A,'Egg Collections'!$A207)</f>
        <v>0.51489999999999991</v>
      </c>
      <c r="G207" s="273">
        <f>SUMIFS('Egg Tally'!$G:$G,'Egg Tally'!$C:$C,G$1,'Egg Tally'!$A:$A,'Egg Collections'!$A207)</f>
        <v>4.0625</v>
      </c>
      <c r="H207" s="273">
        <f>SUMIFS('Egg Tally'!$G:$G,'Egg Tally'!$C:$C,H$1,'Egg Tally'!$A:$A,'Egg Collections'!$A207)</f>
        <v>3.0950000000000015</v>
      </c>
      <c r="I207" s="2">
        <f t="shared" si="80"/>
        <v>10.909400000000002</v>
      </c>
      <c r="J207" s="17">
        <f>SUM(D207,G207,H207)</f>
        <v>9.9201000000000015</v>
      </c>
      <c r="K207" s="10"/>
      <c r="L207" s="10"/>
      <c r="M207" s="10"/>
      <c r="N207" s="10"/>
      <c r="O207" s="10"/>
      <c r="P207" s="10"/>
      <c r="Q207" s="10"/>
      <c r="R207" s="2"/>
      <c r="S207" s="273"/>
      <c r="T207" s="273"/>
      <c r="U207" s="273"/>
      <c r="V207" s="9"/>
      <c r="W207" s="273"/>
      <c r="X207" s="273"/>
      <c r="Y207" s="9"/>
      <c r="Z207" s="273"/>
      <c r="AA207" s="273"/>
      <c r="AB207" s="9">
        <f t="shared" si="72"/>
        <v>102318.51851851853</v>
      </c>
      <c r="AC207" s="273"/>
      <c r="AD207" s="273">
        <f t="shared" si="73"/>
        <v>0</v>
      </c>
      <c r="AE207" s="9">
        <f t="shared" si="81"/>
        <v>17570.370370370361</v>
      </c>
      <c r="AF207" s="273"/>
      <c r="AG207" s="273">
        <f t="shared" si="82"/>
        <v>0</v>
      </c>
      <c r="AH207" s="9">
        <f t="shared" si="83"/>
        <v>19070.370370370369</v>
      </c>
      <c r="AI207" s="273"/>
      <c r="AJ207" s="273">
        <f t="shared" si="84"/>
        <v>0</v>
      </c>
      <c r="AK207" s="9">
        <f t="shared" si="85"/>
        <v>150462.96296296298</v>
      </c>
      <c r="AL207" s="273"/>
      <c r="AM207" s="273">
        <f t="shared" si="86"/>
        <v>0</v>
      </c>
      <c r="AN207" s="9">
        <f t="shared" si="87"/>
        <v>114629.62962962969</v>
      </c>
      <c r="AO207" s="273"/>
      <c r="AP207" s="273">
        <f t="shared" si="88"/>
        <v>0</v>
      </c>
      <c r="AQ207" s="9"/>
      <c r="AR207" s="273"/>
      <c r="AS207" s="39"/>
    </row>
    <row r="208" spans="1:45" ht="12.75">
      <c r="A208" s="163">
        <v>44142</v>
      </c>
      <c r="B208" s="273">
        <f>SUMIFS('Egg Tally'!$G:$G,'Egg Tally'!$C:$C,"M",'Egg Tally'!$A:$A,'Egg Collections'!$A208)</f>
        <v>0</v>
      </c>
      <c r="C208" s="273"/>
      <c r="D208" s="273">
        <f>SUMIFS('Egg Tally'!$G:$G,'Egg Tally'!$C:$C,D$1,'Egg Tally'!$A:$A,'Egg Collections'!$A208)</f>
        <v>0</v>
      </c>
      <c r="E208" s="273">
        <f>SUMIFS('Egg Tally'!$G:$G,'Egg Tally'!$C:$C,E$1,'Egg Tally'!$A:$A,'Egg Collections'!$A208)</f>
        <v>0</v>
      </c>
      <c r="F208" s="273">
        <f>SUMIFS('Egg Tally'!$G:$G,'Egg Tally'!$C:$C,F$1,'Egg Tally'!$A:$A,'Egg Collections'!$A208)</f>
        <v>0</v>
      </c>
      <c r="G208" s="273">
        <f>SUMIFS('Egg Tally'!$G:$G,'Egg Tally'!$C:$C,G$1,'Egg Tally'!$A:$A,'Egg Collections'!$A208)</f>
        <v>0</v>
      </c>
      <c r="H208" s="273">
        <f>SUMIFS('Egg Tally'!$G:$G,'Egg Tally'!$C:$C,H$1,'Egg Tally'!$A:$A,'Egg Collections'!$A208)</f>
        <v>0</v>
      </c>
      <c r="I208" s="2">
        <f t="shared" si="80"/>
        <v>0</v>
      </c>
      <c r="J208" s="17"/>
      <c r="K208" s="10"/>
      <c r="L208" s="10"/>
      <c r="M208" s="10"/>
      <c r="N208" s="10"/>
      <c r="O208" s="10"/>
      <c r="P208" s="10"/>
      <c r="Q208" s="10"/>
      <c r="R208" s="2"/>
      <c r="S208" s="273"/>
      <c r="T208" s="273"/>
      <c r="U208" s="273"/>
      <c r="V208" s="9"/>
      <c r="W208" s="273"/>
      <c r="X208" s="273"/>
      <c r="Y208" s="9"/>
      <c r="Z208" s="273"/>
      <c r="AA208" s="273"/>
      <c r="AB208" s="9">
        <f t="shared" si="72"/>
        <v>0</v>
      </c>
      <c r="AC208" s="273"/>
      <c r="AD208" s="273" t="e">
        <f t="shared" si="73"/>
        <v>#DIV/0!</v>
      </c>
      <c r="AE208" s="9">
        <f t="shared" si="81"/>
        <v>0</v>
      </c>
      <c r="AF208" s="273"/>
      <c r="AG208" s="273" t="e">
        <f t="shared" si="82"/>
        <v>#DIV/0!</v>
      </c>
      <c r="AH208" s="9">
        <f t="shared" si="83"/>
        <v>0</v>
      </c>
      <c r="AI208" s="273"/>
      <c r="AJ208" s="273" t="e">
        <f t="shared" si="84"/>
        <v>#DIV/0!</v>
      </c>
      <c r="AK208" s="9">
        <f t="shared" si="85"/>
        <v>0</v>
      </c>
      <c r="AL208" s="273"/>
      <c r="AM208" s="273" t="e">
        <f t="shared" si="86"/>
        <v>#DIV/0!</v>
      </c>
      <c r="AN208" s="9">
        <f t="shared" si="87"/>
        <v>0</v>
      </c>
      <c r="AO208" s="273"/>
      <c r="AP208" s="273" t="e">
        <f t="shared" si="88"/>
        <v>#DIV/0!</v>
      </c>
      <c r="AQ208" s="9"/>
      <c r="AR208" s="273"/>
      <c r="AS208" s="39"/>
    </row>
    <row r="209" spans="1:45" ht="12.75">
      <c r="A209" s="163">
        <v>44143</v>
      </c>
      <c r="B209" s="273">
        <f>SUMIFS('Egg Tally'!$G:$G,'Egg Tally'!$C:$C,"M",'Egg Tally'!$A:$A,'Egg Collections'!$A209)</f>
        <v>0</v>
      </c>
      <c r="C209" s="273"/>
      <c r="D209" s="273">
        <f>SUMIFS('Egg Tally'!$G:$G,'Egg Tally'!$C:$C,D$1,'Egg Tally'!$A:$A,'Egg Collections'!$A209)</f>
        <v>0</v>
      </c>
      <c r="E209" s="273">
        <f>SUMIFS('Egg Tally'!$G:$G,'Egg Tally'!$C:$C,E$1,'Egg Tally'!$A:$A,'Egg Collections'!$A209)</f>
        <v>0</v>
      </c>
      <c r="F209" s="273">
        <f>SUMIFS('Egg Tally'!$G:$G,'Egg Tally'!$C:$C,F$1,'Egg Tally'!$A:$A,'Egg Collections'!$A209)</f>
        <v>0</v>
      </c>
      <c r="G209" s="273">
        <f>SUMIFS('Egg Tally'!$G:$G,'Egg Tally'!$C:$C,G$1,'Egg Tally'!$A:$A,'Egg Collections'!$A209)</f>
        <v>0</v>
      </c>
      <c r="H209" s="273">
        <f>SUMIFS('Egg Tally'!$G:$G,'Egg Tally'!$C:$C,H$1,'Egg Tally'!$A:$A,'Egg Collections'!$A209)</f>
        <v>0</v>
      </c>
      <c r="I209" s="2">
        <f t="shared" si="80"/>
        <v>0</v>
      </c>
      <c r="J209" s="17"/>
      <c r="K209" s="10"/>
      <c r="L209" s="10"/>
      <c r="M209" s="10"/>
      <c r="N209" s="10"/>
      <c r="O209" s="10"/>
      <c r="P209" s="10"/>
      <c r="Q209" s="10"/>
      <c r="R209" s="2"/>
      <c r="S209" s="273"/>
      <c r="T209" s="273"/>
      <c r="U209" s="273"/>
      <c r="V209" s="9"/>
      <c r="W209" s="273"/>
      <c r="X209" s="273"/>
      <c r="Y209" s="9"/>
      <c r="Z209" s="273"/>
      <c r="AA209" s="273"/>
      <c r="AB209" s="9">
        <f t="shared" si="72"/>
        <v>0</v>
      </c>
      <c r="AC209" s="273"/>
      <c r="AD209" s="273" t="e">
        <f t="shared" si="73"/>
        <v>#DIV/0!</v>
      </c>
      <c r="AE209" s="9">
        <f t="shared" si="81"/>
        <v>0</v>
      </c>
      <c r="AF209" s="273"/>
      <c r="AG209" s="273" t="e">
        <f t="shared" si="82"/>
        <v>#DIV/0!</v>
      </c>
      <c r="AH209" s="9">
        <f t="shared" si="83"/>
        <v>0</v>
      </c>
      <c r="AI209" s="273"/>
      <c r="AJ209" s="273" t="e">
        <f t="shared" si="84"/>
        <v>#DIV/0!</v>
      </c>
      <c r="AK209" s="9">
        <f t="shared" si="85"/>
        <v>0</v>
      </c>
      <c r="AL209" s="273"/>
      <c r="AM209" s="273" t="e">
        <f t="shared" si="86"/>
        <v>#DIV/0!</v>
      </c>
      <c r="AN209" s="9">
        <f t="shared" si="87"/>
        <v>0</v>
      </c>
      <c r="AO209" s="273"/>
      <c r="AP209" s="273" t="e">
        <f t="shared" si="88"/>
        <v>#DIV/0!</v>
      </c>
      <c r="AQ209" s="9"/>
      <c r="AR209" s="273"/>
      <c r="AS209" s="39"/>
    </row>
    <row r="210" spans="1:45" ht="12.75">
      <c r="A210" s="163">
        <v>44144</v>
      </c>
      <c r="B210" s="273">
        <f>SUMIFS('Egg Tally'!$G:$G,'Egg Tally'!$C:$C,"M",'Egg Tally'!$A:$A,'Egg Collections'!$A210)</f>
        <v>0</v>
      </c>
      <c r="C210" s="273"/>
      <c r="D210" s="273">
        <f>SUMIFS('Egg Tally'!$G:$G,'Egg Tally'!$C:$C,D$1,'Egg Tally'!$A:$A,'Egg Collections'!$A210)</f>
        <v>2.0096000000000007</v>
      </c>
      <c r="E210" s="273">
        <f>SUMIFS('Egg Tally'!$G:$G,'Egg Tally'!$C:$C,E$1,'Egg Tally'!$A:$A,'Egg Collections'!$A210)</f>
        <v>0</v>
      </c>
      <c r="F210" s="273">
        <f>SUMIFS('Egg Tally'!$G:$G,'Egg Tally'!$C:$C,F$1,'Egg Tally'!$A:$A,'Egg Collections'!$A210)</f>
        <v>0.34380000000000077</v>
      </c>
      <c r="G210" s="273">
        <f>SUMIFS('Egg Tally'!$G:$G,'Egg Tally'!$C:$C,G$1,'Egg Tally'!$A:$A,'Egg Collections'!$A210)</f>
        <v>1.2021999999999995</v>
      </c>
      <c r="H210" s="273">
        <f>SUMIFS('Egg Tally'!$G:$G,'Egg Tally'!$C:$C,H$1,'Egg Tally'!$A:$A,'Egg Collections'!$A210)</f>
        <v>0.16029999999999944</v>
      </c>
      <c r="I210" s="2">
        <f t="shared" si="80"/>
        <v>3.7159000000000004</v>
      </c>
      <c r="J210" s="17"/>
      <c r="K210" s="10"/>
      <c r="L210" s="10"/>
      <c r="M210" s="10"/>
      <c r="N210" s="10"/>
      <c r="O210" s="10"/>
      <c r="P210" s="10"/>
      <c r="Q210" s="10"/>
      <c r="R210" s="2"/>
      <c r="S210" s="273"/>
      <c r="T210" s="273"/>
      <c r="U210" s="273"/>
      <c r="V210" s="9"/>
      <c r="W210" s="273"/>
      <c r="X210" s="273"/>
      <c r="Y210" s="9"/>
      <c r="Z210" s="273"/>
      <c r="AA210" s="273"/>
      <c r="AB210" s="9">
        <f t="shared" si="72"/>
        <v>74429.629629629664</v>
      </c>
      <c r="AC210" s="273"/>
      <c r="AD210" s="273">
        <f t="shared" si="73"/>
        <v>0</v>
      </c>
      <c r="AE210" s="9">
        <f t="shared" si="81"/>
        <v>0</v>
      </c>
      <c r="AF210" s="273"/>
      <c r="AG210" s="273" t="e">
        <f t="shared" si="82"/>
        <v>#DIV/0!</v>
      </c>
      <c r="AH210" s="9">
        <f t="shared" si="83"/>
        <v>12733.333333333363</v>
      </c>
      <c r="AI210" s="273"/>
      <c r="AJ210" s="273">
        <f t="shared" si="84"/>
        <v>0</v>
      </c>
      <c r="AK210" s="9">
        <f t="shared" si="85"/>
        <v>44525.925925925905</v>
      </c>
      <c r="AL210" s="273"/>
      <c r="AM210" s="273">
        <f t="shared" si="86"/>
        <v>0</v>
      </c>
      <c r="AN210" s="9">
        <f t="shared" si="87"/>
        <v>5937.0370370370165</v>
      </c>
      <c r="AO210" s="273"/>
      <c r="AP210" s="273">
        <f t="shared" si="88"/>
        <v>0</v>
      </c>
      <c r="AQ210" s="9"/>
      <c r="AR210" s="273"/>
      <c r="AS210" s="39"/>
    </row>
    <row r="211" spans="1:45" ht="12.75">
      <c r="A211" s="163">
        <v>44145</v>
      </c>
      <c r="B211" s="273">
        <f>SUMIFS('Egg Tally'!$G:$G,'Egg Tally'!$C:$C,"M",'Egg Tally'!$A:$A,'Egg Collections'!$A211)</f>
        <v>0</v>
      </c>
      <c r="C211" s="273"/>
      <c r="D211" s="273">
        <f>SUMIFS('Egg Tally'!$G:$G,'Egg Tally'!$C:$C,D$1,'Egg Tally'!$A:$A,'Egg Collections'!$A211)</f>
        <v>0</v>
      </c>
      <c r="E211" s="273">
        <f>SUMIFS('Egg Tally'!$G:$G,'Egg Tally'!$C:$C,E$1,'Egg Tally'!$A:$A,'Egg Collections'!$A211)</f>
        <v>0</v>
      </c>
      <c r="F211" s="273">
        <f>SUMIFS('Egg Tally'!$G:$G,'Egg Tally'!$C:$C,F$1,'Egg Tally'!$A:$A,'Egg Collections'!$A211)</f>
        <v>0</v>
      </c>
      <c r="G211" s="273">
        <f>SUMIFS('Egg Tally'!$G:$G,'Egg Tally'!$C:$C,G$1,'Egg Tally'!$A:$A,'Egg Collections'!$A211)</f>
        <v>0</v>
      </c>
      <c r="H211" s="273">
        <f>SUMIFS('Egg Tally'!$G:$G,'Egg Tally'!$C:$C,H$1,'Egg Tally'!$A:$A,'Egg Collections'!$A211)</f>
        <v>0</v>
      </c>
      <c r="I211" s="2">
        <f t="shared" si="80"/>
        <v>0</v>
      </c>
      <c r="J211" s="17"/>
      <c r="K211" s="10"/>
      <c r="L211" s="10"/>
      <c r="M211" s="10"/>
      <c r="N211" s="10"/>
      <c r="O211" s="10"/>
      <c r="P211" s="10"/>
      <c r="Q211" s="10"/>
      <c r="R211" s="2"/>
      <c r="S211" s="273"/>
      <c r="T211" s="273"/>
      <c r="U211" s="273"/>
      <c r="V211" s="9"/>
      <c r="W211" s="273"/>
      <c r="X211" s="273"/>
      <c r="Y211" s="9"/>
      <c r="Z211" s="273"/>
      <c r="AA211" s="273"/>
      <c r="AB211" s="9">
        <f t="shared" si="72"/>
        <v>0</v>
      </c>
      <c r="AC211" s="273"/>
      <c r="AD211" s="273" t="e">
        <f t="shared" si="73"/>
        <v>#DIV/0!</v>
      </c>
      <c r="AE211" s="9">
        <f t="shared" si="81"/>
        <v>0</v>
      </c>
      <c r="AF211" s="273"/>
      <c r="AG211" s="273" t="e">
        <f t="shared" si="82"/>
        <v>#DIV/0!</v>
      </c>
      <c r="AH211" s="9">
        <f t="shared" si="83"/>
        <v>0</v>
      </c>
      <c r="AI211" s="273"/>
      <c r="AJ211" s="273" t="e">
        <f t="shared" si="84"/>
        <v>#DIV/0!</v>
      </c>
      <c r="AK211" s="9">
        <f t="shared" si="85"/>
        <v>0</v>
      </c>
      <c r="AL211" s="273"/>
      <c r="AM211" s="273" t="e">
        <f t="shared" si="86"/>
        <v>#DIV/0!</v>
      </c>
      <c r="AN211" s="9">
        <f t="shared" si="87"/>
        <v>0</v>
      </c>
      <c r="AO211" s="273"/>
      <c r="AP211" s="273" t="e">
        <f t="shared" si="88"/>
        <v>#DIV/0!</v>
      </c>
      <c r="AQ211" s="9"/>
      <c r="AR211" s="273"/>
      <c r="AS211" s="39"/>
    </row>
    <row r="212" spans="1:45" ht="12.75">
      <c r="A212" s="163">
        <v>44146</v>
      </c>
      <c r="B212" s="273">
        <f>SUMIFS('Egg Tally'!$G:$G,'Egg Tally'!$C:$C,"M",'Egg Tally'!$A:$A,'Egg Collections'!$A212)</f>
        <v>0</v>
      </c>
      <c r="C212" s="273"/>
      <c r="D212" s="273">
        <f>SUMIFS('Egg Tally'!$G:$G,'Egg Tally'!$C:$C,D$1,'Egg Tally'!$A:$A,'Egg Collections'!$A212)</f>
        <v>3.3208000000000011</v>
      </c>
      <c r="E212" s="273">
        <f>SUMIFS('Egg Tally'!$G:$G,'Egg Tally'!$C:$C,E$1,'Egg Tally'!$A:$A,'Egg Collections'!$A212)</f>
        <v>0</v>
      </c>
      <c r="F212" s="273">
        <f>SUMIFS('Egg Tally'!$G:$G,'Egg Tally'!$C:$C,F$1,'Egg Tally'!$A:$A,'Egg Collections'!$A212)</f>
        <v>1.2169999999999996</v>
      </c>
      <c r="G212" s="273">
        <f>SUMIFS('Egg Tally'!$G:$G,'Egg Tally'!$C:$C,G$1,'Egg Tally'!$A:$A,'Egg Collections'!$A212)</f>
        <v>0.69590000000000085</v>
      </c>
      <c r="H212" s="273">
        <f>SUMIFS('Egg Tally'!$G:$G,'Egg Tally'!$C:$C,H$1,'Egg Tally'!$A:$A,'Egg Collections'!$A212)</f>
        <v>4.1400000000000325E-2</v>
      </c>
      <c r="I212" s="2">
        <f t="shared" si="80"/>
        <v>5.2751000000000019</v>
      </c>
      <c r="J212" s="17"/>
      <c r="K212" s="10"/>
      <c r="L212" s="10"/>
      <c r="M212" s="10"/>
      <c r="N212" s="10"/>
      <c r="O212" s="10"/>
      <c r="P212" s="10"/>
      <c r="Q212" s="10"/>
      <c r="R212" s="2"/>
      <c r="S212" s="273"/>
      <c r="T212" s="273"/>
      <c r="U212" s="273"/>
      <c r="V212" s="9"/>
      <c r="W212" s="273"/>
      <c r="X212" s="273"/>
      <c r="Y212" s="9"/>
      <c r="Z212" s="273"/>
      <c r="AA212" s="273"/>
      <c r="AB212" s="9">
        <f t="shared" si="72"/>
        <v>122992.59259259264</v>
      </c>
      <c r="AC212" s="273"/>
      <c r="AD212" s="273">
        <f t="shared" si="73"/>
        <v>0</v>
      </c>
      <c r="AE212" s="9">
        <f t="shared" si="81"/>
        <v>0</v>
      </c>
      <c r="AF212" s="273"/>
      <c r="AG212" s="273" t="e">
        <f t="shared" si="82"/>
        <v>#DIV/0!</v>
      </c>
      <c r="AH212" s="9">
        <f t="shared" si="83"/>
        <v>45074.074074074066</v>
      </c>
      <c r="AI212" s="273"/>
      <c r="AJ212" s="273">
        <f t="shared" si="84"/>
        <v>0</v>
      </c>
      <c r="AK212" s="9">
        <f t="shared" si="85"/>
        <v>25774.074074074106</v>
      </c>
      <c r="AL212" s="273"/>
      <c r="AM212" s="273">
        <f t="shared" si="86"/>
        <v>0</v>
      </c>
      <c r="AN212" s="9">
        <f t="shared" si="87"/>
        <v>1533.3333333333455</v>
      </c>
      <c r="AO212" s="273"/>
      <c r="AP212" s="273">
        <f t="shared" si="88"/>
        <v>0</v>
      </c>
      <c r="AQ212" s="9"/>
      <c r="AR212" s="273"/>
      <c r="AS212" s="39"/>
    </row>
    <row r="213" spans="1:45" ht="12.75">
      <c r="A213" s="163">
        <v>44147</v>
      </c>
      <c r="B213" s="273">
        <f>SUMIFS('Egg Tally'!$G:$G,'Egg Tally'!$C:$C,"M",'Egg Tally'!$A:$A,'Egg Collections'!$A213)</f>
        <v>0</v>
      </c>
      <c r="C213" s="273"/>
      <c r="D213" s="273">
        <f>SUMIFS('Egg Tally'!$G:$G,'Egg Tally'!$C:$C,D$1,'Egg Tally'!$A:$A,'Egg Collections'!$A213)</f>
        <v>0</v>
      </c>
      <c r="E213" s="273">
        <f>SUMIFS('Egg Tally'!$G:$G,'Egg Tally'!$C:$C,E$1,'Egg Tally'!$A:$A,'Egg Collections'!$A213)</f>
        <v>0</v>
      </c>
      <c r="F213" s="273">
        <f>SUMIFS('Egg Tally'!$G:$G,'Egg Tally'!$C:$C,F$1,'Egg Tally'!$A:$A,'Egg Collections'!$A213)</f>
        <v>0</v>
      </c>
      <c r="G213" s="273">
        <f>SUMIFS('Egg Tally'!$G:$G,'Egg Tally'!$C:$C,G$1,'Egg Tally'!$A:$A,'Egg Collections'!$A213)</f>
        <v>0</v>
      </c>
      <c r="H213" s="273">
        <f>SUMIFS('Egg Tally'!$G:$G,'Egg Tally'!$C:$C,H$1,'Egg Tally'!$A:$A,'Egg Collections'!$A213)</f>
        <v>0</v>
      </c>
      <c r="I213" s="2">
        <f t="shared" si="80"/>
        <v>0</v>
      </c>
      <c r="J213" s="17"/>
      <c r="K213" s="10"/>
      <c r="L213" s="10"/>
      <c r="M213" s="10"/>
      <c r="N213" s="10"/>
      <c r="O213" s="10"/>
      <c r="P213" s="10"/>
      <c r="Q213" s="10"/>
      <c r="R213" s="2"/>
      <c r="S213" s="273"/>
      <c r="T213" s="273"/>
      <c r="U213" s="273"/>
      <c r="V213" s="9"/>
      <c r="W213" s="273"/>
      <c r="X213" s="273"/>
      <c r="Y213" s="9"/>
      <c r="Z213" s="273"/>
      <c r="AA213" s="273"/>
      <c r="AB213" s="9">
        <f t="shared" si="72"/>
        <v>0</v>
      </c>
      <c r="AC213" s="273"/>
      <c r="AD213" s="273" t="e">
        <f t="shared" si="73"/>
        <v>#DIV/0!</v>
      </c>
      <c r="AE213" s="9">
        <f t="shared" si="81"/>
        <v>0</v>
      </c>
      <c r="AF213" s="273"/>
      <c r="AG213" s="273" t="e">
        <f t="shared" si="82"/>
        <v>#DIV/0!</v>
      </c>
      <c r="AH213" s="9">
        <f t="shared" si="83"/>
        <v>0</v>
      </c>
      <c r="AI213" s="273"/>
      <c r="AJ213" s="273" t="e">
        <f t="shared" si="84"/>
        <v>#DIV/0!</v>
      </c>
      <c r="AK213" s="9">
        <f t="shared" si="85"/>
        <v>0</v>
      </c>
      <c r="AL213" s="273"/>
      <c r="AM213" s="273" t="e">
        <f t="shared" si="86"/>
        <v>#DIV/0!</v>
      </c>
      <c r="AN213" s="9">
        <f t="shared" si="87"/>
        <v>0</v>
      </c>
      <c r="AO213" s="273"/>
      <c r="AP213" s="273" t="e">
        <f t="shared" si="88"/>
        <v>#DIV/0!</v>
      </c>
      <c r="AQ213" s="9"/>
      <c r="AR213" s="273"/>
      <c r="AS213" s="39"/>
    </row>
    <row r="214" spans="1:45" ht="12.75">
      <c r="A214" s="163">
        <v>44148</v>
      </c>
      <c r="B214" s="273">
        <f>SUMIFS('Egg Tally'!$G:$G,'Egg Tally'!$C:$C,"M",'Egg Tally'!$A:$A,'Egg Collections'!$A214)</f>
        <v>0</v>
      </c>
      <c r="C214" s="273"/>
      <c r="D214" s="273">
        <f>SUMIFS('Egg Tally'!$G:$G,'Egg Tally'!$C:$C,D$1,'Egg Tally'!$A:$A,'Egg Collections'!$A214)</f>
        <v>1.6912000000000003</v>
      </c>
      <c r="E214" s="273">
        <f>SUMIFS('Egg Tally'!$G:$G,'Egg Tally'!$C:$C,E$1,'Egg Tally'!$A:$A,'Egg Collections'!$A214)</f>
        <v>0</v>
      </c>
      <c r="F214" s="273">
        <f>SUMIFS('Egg Tally'!$G:$G,'Egg Tally'!$C:$C,F$1,'Egg Tally'!$A:$A,'Egg Collections'!$A214)</f>
        <v>0.62700000000000067</v>
      </c>
      <c r="G214" s="273">
        <f>SUMIFS('Egg Tally'!$G:$G,'Egg Tally'!$C:$C,G$1,'Egg Tally'!$A:$A,'Egg Collections'!$A214)</f>
        <v>8.6700000000000443E-2</v>
      </c>
      <c r="H214" s="273">
        <f>SUMIFS('Egg Tally'!$G:$G,'Egg Tally'!$C:$C,H$1,'Egg Tally'!$A:$A,'Egg Collections'!$A214)</f>
        <v>0.50180000000000025</v>
      </c>
      <c r="I214" s="2">
        <f t="shared" si="80"/>
        <v>2.9067000000000016</v>
      </c>
      <c r="J214" s="17"/>
      <c r="K214" s="10"/>
      <c r="L214" s="10"/>
      <c r="M214" s="10"/>
      <c r="N214" s="10"/>
      <c r="O214" s="10"/>
      <c r="P214" s="10"/>
      <c r="Q214" s="10"/>
      <c r="R214" s="2"/>
      <c r="S214" s="273"/>
      <c r="T214" s="273"/>
      <c r="U214" s="273"/>
      <c r="V214" s="9"/>
      <c r="W214" s="273"/>
      <c r="X214" s="273"/>
      <c r="Y214" s="9"/>
      <c r="Z214" s="273"/>
      <c r="AA214" s="273"/>
      <c r="AB214" s="9">
        <f t="shared" si="72"/>
        <v>62637.037037037051</v>
      </c>
      <c r="AC214" s="273"/>
      <c r="AD214" s="273">
        <f t="shared" si="73"/>
        <v>0</v>
      </c>
      <c r="AE214" s="9">
        <f t="shared" si="81"/>
        <v>0</v>
      </c>
      <c r="AF214" s="273"/>
      <c r="AG214" s="273" t="e">
        <f t="shared" si="82"/>
        <v>#DIV/0!</v>
      </c>
      <c r="AH214" s="9">
        <f t="shared" si="83"/>
        <v>23222.222222222248</v>
      </c>
      <c r="AI214" s="273"/>
      <c r="AJ214" s="273">
        <f t="shared" si="84"/>
        <v>0</v>
      </c>
      <c r="AK214" s="9">
        <f t="shared" si="85"/>
        <v>3211.1111111111277</v>
      </c>
      <c r="AL214" s="273"/>
      <c r="AM214" s="273">
        <f t="shared" si="86"/>
        <v>0</v>
      </c>
      <c r="AN214" s="9">
        <f t="shared" si="87"/>
        <v>18585.185185185193</v>
      </c>
      <c r="AO214" s="273"/>
      <c r="AP214" s="273">
        <f t="shared" si="88"/>
        <v>0</v>
      </c>
      <c r="AQ214" s="9"/>
      <c r="AR214" s="273"/>
      <c r="AS214" s="39"/>
    </row>
    <row r="215" spans="1:45" ht="12.75">
      <c r="A215" s="163">
        <v>44149</v>
      </c>
      <c r="B215" s="273">
        <f>SUMIFS('Egg Tally'!$G:$G,'Egg Tally'!$C:$C,"M",'Egg Tally'!$A:$A,'Egg Collections'!$A215)</f>
        <v>0</v>
      </c>
      <c r="C215" s="273"/>
      <c r="D215" s="273">
        <f>SUMIFS('Egg Tally'!$G:$G,'Egg Tally'!$C:$C,D$1,'Egg Tally'!$A:$A,'Egg Collections'!$A215)</f>
        <v>0</v>
      </c>
      <c r="E215" s="273">
        <f>SUMIFS('Egg Tally'!$G:$G,'Egg Tally'!$C:$C,E$1,'Egg Tally'!$A:$A,'Egg Collections'!$A215)</f>
        <v>0</v>
      </c>
      <c r="F215" s="273">
        <f>SUMIFS('Egg Tally'!$G:$G,'Egg Tally'!$C:$C,F$1,'Egg Tally'!$A:$A,'Egg Collections'!$A215)</f>
        <v>0</v>
      </c>
      <c r="G215" s="273">
        <f>SUMIFS('Egg Tally'!$G:$G,'Egg Tally'!$C:$C,G$1,'Egg Tally'!$A:$A,'Egg Collections'!$A215)</f>
        <v>0</v>
      </c>
      <c r="H215" s="273">
        <f>SUMIFS('Egg Tally'!$G:$G,'Egg Tally'!$C:$C,H$1,'Egg Tally'!$A:$A,'Egg Collections'!$A215)</f>
        <v>0</v>
      </c>
      <c r="I215" s="2">
        <f t="shared" si="80"/>
        <v>0</v>
      </c>
      <c r="J215" s="17"/>
      <c r="K215" s="10"/>
      <c r="L215" s="10"/>
      <c r="M215" s="10"/>
      <c r="N215" s="10"/>
      <c r="O215" s="10"/>
      <c r="P215" s="10"/>
      <c r="Q215" s="10"/>
      <c r="R215" s="2"/>
      <c r="S215" s="273"/>
      <c r="T215" s="273"/>
      <c r="U215" s="273"/>
      <c r="V215" s="9"/>
      <c r="W215" s="273"/>
      <c r="X215" s="273"/>
      <c r="Y215" s="9"/>
      <c r="Z215" s="273"/>
      <c r="AA215" s="273"/>
      <c r="AB215" s="9">
        <f t="shared" si="72"/>
        <v>0</v>
      </c>
      <c r="AC215" s="273"/>
      <c r="AD215" s="273" t="e">
        <f t="shared" si="73"/>
        <v>#DIV/0!</v>
      </c>
      <c r="AE215" s="9">
        <f t="shared" si="81"/>
        <v>0</v>
      </c>
      <c r="AF215" s="273"/>
      <c r="AG215" s="273" t="e">
        <f t="shared" si="82"/>
        <v>#DIV/0!</v>
      </c>
      <c r="AH215" s="9">
        <f t="shared" si="83"/>
        <v>0</v>
      </c>
      <c r="AI215" s="273"/>
      <c r="AJ215" s="273" t="e">
        <f t="shared" si="84"/>
        <v>#DIV/0!</v>
      </c>
      <c r="AK215" s="9">
        <f t="shared" si="85"/>
        <v>0</v>
      </c>
      <c r="AL215" s="273"/>
      <c r="AM215" s="273" t="e">
        <f t="shared" si="86"/>
        <v>#DIV/0!</v>
      </c>
      <c r="AN215" s="9">
        <f t="shared" si="87"/>
        <v>0</v>
      </c>
      <c r="AO215" s="273"/>
      <c r="AP215" s="273" t="e">
        <f t="shared" si="88"/>
        <v>#DIV/0!</v>
      </c>
      <c r="AQ215" s="9"/>
      <c r="AR215" s="273"/>
      <c r="AS215" s="39"/>
    </row>
    <row r="216" spans="1:45" ht="12.75">
      <c r="A216" s="163">
        <v>44150</v>
      </c>
      <c r="B216" s="273">
        <f>SUMIFS('Egg Tally'!$G:$G,'Egg Tally'!$C:$C,"M",'Egg Tally'!$A:$A,'Egg Collections'!$A216)</f>
        <v>0</v>
      </c>
      <c r="C216" s="273"/>
      <c r="D216" s="273">
        <f>SUMIFS('Egg Tally'!$G:$G,'Egg Tally'!$C:$C,D$1,'Egg Tally'!$A:$A,'Egg Collections'!$A216)</f>
        <v>0</v>
      </c>
      <c r="E216" s="273">
        <f>SUMIFS('Egg Tally'!$G:$G,'Egg Tally'!$C:$C,E$1,'Egg Tally'!$A:$A,'Egg Collections'!$A216)</f>
        <v>0</v>
      </c>
      <c r="F216" s="273">
        <f>SUMIFS('Egg Tally'!$G:$G,'Egg Tally'!$C:$C,F$1,'Egg Tally'!$A:$A,'Egg Collections'!$A216)</f>
        <v>0</v>
      </c>
      <c r="G216" s="273">
        <f>SUMIFS('Egg Tally'!$G:$G,'Egg Tally'!$C:$C,G$1,'Egg Tally'!$A:$A,'Egg Collections'!$A216)</f>
        <v>0</v>
      </c>
      <c r="H216" s="273">
        <f>SUMIFS('Egg Tally'!$G:$G,'Egg Tally'!$C:$C,H$1,'Egg Tally'!$A:$A,'Egg Collections'!$A216)</f>
        <v>0</v>
      </c>
      <c r="I216" s="2">
        <f t="shared" si="80"/>
        <v>0</v>
      </c>
      <c r="J216" s="17"/>
      <c r="K216" s="10"/>
      <c r="L216" s="10"/>
      <c r="M216" s="10"/>
      <c r="N216" s="10"/>
      <c r="O216" s="10"/>
      <c r="P216" s="10"/>
      <c r="Q216" s="10"/>
      <c r="R216" s="2"/>
      <c r="S216" s="273"/>
      <c r="T216" s="273"/>
      <c r="U216" s="273"/>
      <c r="V216" s="9"/>
      <c r="W216" s="273"/>
      <c r="X216" s="273"/>
      <c r="Y216" s="9"/>
      <c r="Z216" s="273"/>
      <c r="AA216" s="273"/>
      <c r="AB216" s="9">
        <f t="shared" si="72"/>
        <v>0</v>
      </c>
      <c r="AC216" s="273"/>
      <c r="AD216" s="273" t="e">
        <f t="shared" si="73"/>
        <v>#DIV/0!</v>
      </c>
      <c r="AE216" s="9">
        <f t="shared" si="81"/>
        <v>0</v>
      </c>
      <c r="AF216" s="273"/>
      <c r="AG216" s="273" t="e">
        <f t="shared" si="82"/>
        <v>#DIV/0!</v>
      </c>
      <c r="AH216" s="9">
        <f t="shared" si="83"/>
        <v>0</v>
      </c>
      <c r="AI216" s="273"/>
      <c r="AJ216" s="273" t="e">
        <f t="shared" si="84"/>
        <v>#DIV/0!</v>
      </c>
      <c r="AK216" s="9">
        <f t="shared" si="85"/>
        <v>0</v>
      </c>
      <c r="AL216" s="273"/>
      <c r="AM216" s="273" t="e">
        <f t="shared" si="86"/>
        <v>#DIV/0!</v>
      </c>
      <c r="AN216" s="9">
        <f t="shared" si="87"/>
        <v>0</v>
      </c>
      <c r="AO216" s="273"/>
      <c r="AP216" s="273" t="e">
        <f t="shared" si="88"/>
        <v>#DIV/0!</v>
      </c>
      <c r="AQ216" s="9"/>
      <c r="AR216" s="273"/>
      <c r="AS216" s="39"/>
    </row>
    <row r="217" spans="1:45" ht="12.75">
      <c r="A217" s="163">
        <v>44151</v>
      </c>
      <c r="B217" s="273">
        <f>SUMIFS('Egg Tally'!$G:$G,'Egg Tally'!$C:$C,"M",'Egg Tally'!$A:$A,'Egg Collections'!$A217)</f>
        <v>0.12950000000000017</v>
      </c>
      <c r="C217" s="273"/>
      <c r="D217" s="273">
        <f>SUMIFS('Egg Tally'!$G:$G,'Egg Tally'!$C:$C,D$1,'Egg Tally'!$A:$A,'Egg Collections'!$A217)</f>
        <v>0.40660000000000096</v>
      </c>
      <c r="E217" s="273">
        <f>SUMIFS('Egg Tally'!$G:$G,'Egg Tally'!$C:$C,E$1,'Egg Tally'!$A:$A,'Egg Collections'!$A217)</f>
        <v>0</v>
      </c>
      <c r="F217" s="273">
        <f>SUMIFS('Egg Tally'!$G:$G,'Egg Tally'!$C:$C,F$1,'Egg Tally'!$A:$A,'Egg Collections'!$A217)</f>
        <v>0.30929999999999946</v>
      </c>
      <c r="G217" s="273">
        <f>SUMIFS('Egg Tally'!$G:$G,'Egg Tally'!$C:$C,G$1,'Egg Tally'!$A:$A,'Egg Collections'!$A217)</f>
        <v>0.64189999999999969</v>
      </c>
      <c r="H217" s="273">
        <f>SUMIFS('Egg Tally'!$G:$G,'Egg Tally'!$C:$C,H$1,'Egg Tally'!$A:$A,'Egg Collections'!$A217)</f>
        <v>0.78720000000000034</v>
      </c>
      <c r="I217" s="2">
        <f t="shared" si="80"/>
        <v>2.2745000000000006</v>
      </c>
      <c r="J217" s="17"/>
      <c r="K217" s="10"/>
      <c r="L217" s="10"/>
      <c r="M217" s="10"/>
      <c r="N217" s="10"/>
      <c r="O217" s="10"/>
      <c r="P217" s="10"/>
      <c r="Q217" s="10"/>
      <c r="R217" s="2"/>
      <c r="S217" s="273"/>
      <c r="T217" s="273"/>
      <c r="U217" s="273"/>
      <c r="V217" s="9"/>
      <c r="W217" s="273"/>
      <c r="X217" s="273"/>
      <c r="Y217" s="9"/>
      <c r="Z217" s="273"/>
      <c r="AA217" s="273"/>
      <c r="AB217" s="9">
        <f t="shared" si="72"/>
        <v>15059.259259259296</v>
      </c>
      <c r="AC217" s="273"/>
      <c r="AD217" s="273">
        <f t="shared" si="73"/>
        <v>0</v>
      </c>
      <c r="AE217" s="9">
        <f t="shared" si="81"/>
        <v>0</v>
      </c>
      <c r="AF217" s="273"/>
      <c r="AG217" s="273" t="e">
        <f t="shared" si="82"/>
        <v>#DIV/0!</v>
      </c>
      <c r="AH217" s="9">
        <f t="shared" si="83"/>
        <v>11455.555555555537</v>
      </c>
      <c r="AI217" s="273"/>
      <c r="AJ217" s="273">
        <f t="shared" si="84"/>
        <v>0</v>
      </c>
      <c r="AK217" s="9">
        <f t="shared" si="85"/>
        <v>23774.074074074062</v>
      </c>
      <c r="AL217" s="273"/>
      <c r="AM217" s="273">
        <f t="shared" si="86"/>
        <v>0</v>
      </c>
      <c r="AN217" s="9">
        <f t="shared" si="87"/>
        <v>29155.555555555569</v>
      </c>
      <c r="AO217" s="273"/>
      <c r="AP217" s="273">
        <f t="shared" si="88"/>
        <v>0</v>
      </c>
      <c r="AQ217" s="9"/>
      <c r="AR217" s="273"/>
      <c r="AS217" s="39"/>
    </row>
    <row r="218" spans="1:45" ht="12.75">
      <c r="A218" s="163">
        <v>44152</v>
      </c>
      <c r="B218" s="273">
        <f>SUMIFS('Egg Tally'!$G:$G,'Egg Tally'!$C:$C,"M",'Egg Tally'!$A:$A,'Egg Collections'!$A218)</f>
        <v>0</v>
      </c>
      <c r="C218" s="273"/>
      <c r="D218" s="273">
        <f>SUMIFS('Egg Tally'!$G:$G,'Egg Tally'!$C:$C,D$1,'Egg Tally'!$A:$A,'Egg Collections'!$A218)</f>
        <v>0</v>
      </c>
      <c r="E218" s="273">
        <f>SUMIFS('Egg Tally'!$G:$G,'Egg Tally'!$C:$C,E$1,'Egg Tally'!$A:$A,'Egg Collections'!$A218)</f>
        <v>0</v>
      </c>
      <c r="F218" s="273">
        <f>SUMIFS('Egg Tally'!$G:$G,'Egg Tally'!$C:$C,F$1,'Egg Tally'!$A:$A,'Egg Collections'!$A218)</f>
        <v>0</v>
      </c>
      <c r="G218" s="273">
        <f>SUMIFS('Egg Tally'!$G:$G,'Egg Tally'!$C:$C,G$1,'Egg Tally'!$A:$A,'Egg Collections'!$A218)</f>
        <v>0</v>
      </c>
      <c r="H218" s="273">
        <f>SUMIFS('Egg Tally'!$G:$G,'Egg Tally'!$C:$C,H$1,'Egg Tally'!$A:$A,'Egg Collections'!$A218)</f>
        <v>0</v>
      </c>
      <c r="I218" s="2">
        <f t="shared" si="80"/>
        <v>0</v>
      </c>
      <c r="J218" s="17"/>
      <c r="K218" s="10"/>
      <c r="L218" s="10"/>
      <c r="M218" s="10"/>
      <c r="N218" s="10"/>
      <c r="O218" s="10"/>
      <c r="P218" s="10"/>
      <c r="Q218" s="10"/>
      <c r="R218" s="2"/>
      <c r="S218" s="273"/>
      <c r="T218" s="273"/>
      <c r="U218" s="273"/>
      <c r="V218" s="9"/>
      <c r="W218" s="273"/>
      <c r="X218" s="273"/>
      <c r="Y218" s="9"/>
      <c r="Z218" s="273"/>
      <c r="AA218" s="273"/>
      <c r="AB218" s="9">
        <f t="shared" si="72"/>
        <v>0</v>
      </c>
      <c r="AC218" s="273"/>
      <c r="AD218" s="273" t="e">
        <f t="shared" si="73"/>
        <v>#DIV/0!</v>
      </c>
      <c r="AE218" s="9">
        <f t="shared" si="81"/>
        <v>0</v>
      </c>
      <c r="AF218" s="273"/>
      <c r="AG218" s="273" t="e">
        <f t="shared" si="82"/>
        <v>#DIV/0!</v>
      </c>
      <c r="AH218" s="9">
        <f t="shared" si="83"/>
        <v>0</v>
      </c>
      <c r="AI218" s="273"/>
      <c r="AJ218" s="273" t="e">
        <f t="shared" si="84"/>
        <v>#DIV/0!</v>
      </c>
      <c r="AK218" s="9">
        <f t="shared" si="85"/>
        <v>0</v>
      </c>
      <c r="AL218" s="273"/>
      <c r="AM218" s="273" t="e">
        <f t="shared" si="86"/>
        <v>#DIV/0!</v>
      </c>
      <c r="AN218" s="9">
        <f t="shared" si="87"/>
        <v>0</v>
      </c>
      <c r="AO218" s="273"/>
      <c r="AP218" s="273" t="e">
        <f t="shared" si="88"/>
        <v>#DIV/0!</v>
      </c>
      <c r="AQ218" s="9"/>
      <c r="AR218" s="273"/>
      <c r="AS218" s="39"/>
    </row>
    <row r="219" spans="1:45" ht="12.75">
      <c r="A219" s="163">
        <v>44153</v>
      </c>
      <c r="B219" s="273">
        <f>SUMIFS('Egg Tally'!$G:$G,'Egg Tally'!$C:$C,"M",'Egg Tally'!$A:$A,'Egg Collections'!$A219)</f>
        <v>0</v>
      </c>
      <c r="C219" s="273"/>
      <c r="D219" s="273">
        <f>SUMIFS('Egg Tally'!$G:$G,'Egg Tally'!$C:$C,D$1,'Egg Tally'!$A:$A,'Egg Collections'!$A219)</f>
        <v>0.16140000000000043</v>
      </c>
      <c r="E219" s="273">
        <f>SUMIFS('Egg Tally'!$G:$G,'Egg Tally'!$C:$C,E$1,'Egg Tally'!$A:$A,'Egg Collections'!$A219)</f>
        <v>3.1348000000000003</v>
      </c>
      <c r="F219" s="273">
        <f>SUMIFS('Egg Tally'!$G:$G,'Egg Tally'!$C:$C,F$1,'Egg Tally'!$A:$A,'Egg Collections'!$A219)</f>
        <v>2.5682999999999998</v>
      </c>
      <c r="G219" s="273">
        <f>SUMIFS('Egg Tally'!$G:$G,'Egg Tally'!$C:$C,G$1,'Egg Tally'!$A:$A,'Egg Collections'!$A219)</f>
        <v>4.6907999999999994</v>
      </c>
      <c r="H219" s="273">
        <f>SUMIFS('Egg Tally'!$G:$G,'Egg Tally'!$C:$C,H$1,'Egg Tally'!$A:$A,'Egg Collections'!$A219)</f>
        <v>1.0562000000000005</v>
      </c>
      <c r="I219" s="2">
        <f t="shared" si="80"/>
        <v>11.611499999999999</v>
      </c>
      <c r="J219" s="17"/>
      <c r="K219" s="10"/>
      <c r="L219" s="10"/>
      <c r="M219" s="10"/>
      <c r="N219" s="10"/>
      <c r="O219" s="10"/>
      <c r="P219" s="10"/>
      <c r="Q219" s="10"/>
      <c r="R219" s="2"/>
      <c r="S219" s="273"/>
      <c r="T219" s="273"/>
      <c r="U219" s="273"/>
      <c r="V219" s="9"/>
      <c r="W219" s="273"/>
      <c r="X219" s="273"/>
      <c r="Y219" s="9"/>
      <c r="Z219" s="273"/>
      <c r="AA219" s="273"/>
      <c r="AB219" s="9">
        <f t="shared" si="72"/>
        <v>5977.7777777777937</v>
      </c>
      <c r="AC219" s="273"/>
      <c r="AD219" s="273">
        <f t="shared" si="73"/>
        <v>0</v>
      </c>
      <c r="AE219" s="9">
        <f t="shared" si="81"/>
        <v>116103.70370370372</v>
      </c>
      <c r="AF219" s="273"/>
      <c r="AG219" s="273">
        <f t="shared" si="82"/>
        <v>0</v>
      </c>
      <c r="AH219" s="9">
        <f t="shared" si="83"/>
        <v>95122.222222222219</v>
      </c>
      <c r="AI219" s="273"/>
      <c r="AJ219" s="273">
        <f t="shared" si="84"/>
        <v>0</v>
      </c>
      <c r="AK219" s="9">
        <f t="shared" si="85"/>
        <v>173733.33333333331</v>
      </c>
      <c r="AL219" s="273"/>
      <c r="AM219" s="273">
        <f t="shared" si="86"/>
        <v>0</v>
      </c>
      <c r="AN219" s="9">
        <f t="shared" si="87"/>
        <v>39118.51851851854</v>
      </c>
      <c r="AO219" s="273"/>
      <c r="AP219" s="273">
        <f t="shared" si="88"/>
        <v>0</v>
      </c>
      <c r="AQ219" s="9"/>
      <c r="AR219" s="273"/>
      <c r="AS219" s="39"/>
    </row>
    <row r="220" spans="1:45" ht="12.75">
      <c r="A220" s="163">
        <v>44154</v>
      </c>
      <c r="B220" s="273">
        <f>SUMIFS('Egg Tally'!$G:$G,'Egg Tally'!$C:$C,"M",'Egg Tally'!$A:$A,'Egg Collections'!$A220)</f>
        <v>0</v>
      </c>
      <c r="C220" s="273"/>
      <c r="D220" s="273">
        <f>SUMIFS('Egg Tally'!$G:$G,'Egg Tally'!$C:$C,D$1,'Egg Tally'!$A:$A,'Egg Collections'!$A220)</f>
        <v>0</v>
      </c>
      <c r="E220" s="273">
        <f>SUMIFS('Egg Tally'!$G:$G,'Egg Tally'!$C:$C,E$1,'Egg Tally'!$A:$A,'Egg Collections'!$A220)</f>
        <v>0</v>
      </c>
      <c r="F220" s="273">
        <f>SUMIFS('Egg Tally'!$G:$G,'Egg Tally'!$C:$C,F$1,'Egg Tally'!$A:$A,'Egg Collections'!$A220)</f>
        <v>0</v>
      </c>
      <c r="G220" s="273">
        <f>SUMIFS('Egg Tally'!$G:$G,'Egg Tally'!$C:$C,G$1,'Egg Tally'!$A:$A,'Egg Collections'!$A220)</f>
        <v>0</v>
      </c>
      <c r="H220" s="273">
        <f>SUMIFS('Egg Tally'!$G:$G,'Egg Tally'!$C:$C,H$1,'Egg Tally'!$A:$A,'Egg Collections'!$A220)</f>
        <v>0</v>
      </c>
      <c r="I220" s="2">
        <f t="shared" si="80"/>
        <v>0</v>
      </c>
      <c r="J220" s="17"/>
      <c r="K220" s="10"/>
      <c r="L220" s="10"/>
      <c r="M220" s="10"/>
      <c r="N220" s="10"/>
      <c r="O220" s="10"/>
      <c r="P220" s="10"/>
      <c r="Q220" s="10"/>
      <c r="R220" s="2"/>
      <c r="S220" s="273"/>
      <c r="T220" s="273"/>
      <c r="U220" s="273"/>
      <c r="V220" s="9"/>
      <c r="W220" s="273"/>
      <c r="X220" s="273"/>
      <c r="Y220" s="9"/>
      <c r="Z220" s="273"/>
      <c r="AA220" s="273"/>
      <c r="AB220" s="9">
        <f t="shared" si="72"/>
        <v>0</v>
      </c>
      <c r="AC220" s="273"/>
      <c r="AD220" s="273" t="e">
        <f t="shared" si="73"/>
        <v>#DIV/0!</v>
      </c>
      <c r="AE220" s="9">
        <f t="shared" si="81"/>
        <v>0</v>
      </c>
      <c r="AF220" s="273"/>
      <c r="AG220" s="273" t="e">
        <f t="shared" si="82"/>
        <v>#DIV/0!</v>
      </c>
      <c r="AH220" s="9">
        <f t="shared" si="83"/>
        <v>0</v>
      </c>
      <c r="AI220" s="273"/>
      <c r="AJ220" s="273" t="e">
        <f t="shared" si="84"/>
        <v>#DIV/0!</v>
      </c>
      <c r="AK220" s="9">
        <f t="shared" si="85"/>
        <v>0</v>
      </c>
      <c r="AL220" s="273"/>
      <c r="AM220" s="273" t="e">
        <f t="shared" si="86"/>
        <v>#DIV/0!</v>
      </c>
      <c r="AN220" s="9">
        <f t="shared" si="87"/>
        <v>0</v>
      </c>
      <c r="AO220" s="273"/>
      <c r="AP220" s="273" t="e">
        <f t="shared" si="88"/>
        <v>#DIV/0!</v>
      </c>
      <c r="AQ220" s="9"/>
      <c r="AR220" s="273"/>
      <c r="AS220" s="39"/>
    </row>
    <row r="221" spans="1:45" ht="12.75">
      <c r="A221" s="163">
        <v>44155</v>
      </c>
      <c r="B221" s="273">
        <f>SUMIFS('Egg Tally'!$G:$G,'Egg Tally'!$C:$C,"M",'Egg Tally'!$A:$A,'Egg Collections'!$A221)</f>
        <v>0.2654999999999994</v>
      </c>
      <c r="C221" s="273"/>
      <c r="D221" s="273">
        <f>SUMIFS('Egg Tally'!$G:$G,'Egg Tally'!$C:$C,D$1,'Egg Tally'!$A:$A,'Egg Collections'!$A221)</f>
        <v>0.59590000000000032</v>
      </c>
      <c r="E221" s="273">
        <f>SUMIFS('Egg Tally'!$G:$G,'Egg Tally'!$C:$C,E$1,'Egg Tally'!$A:$A,'Egg Collections'!$A221)+0.1323</f>
        <v>3.3430000000000009</v>
      </c>
      <c r="F221" s="273">
        <f>SUMIFS('Egg Tally'!$G:$G,'Egg Tally'!$C:$C,F$1,'Egg Tally'!$A:$A,'Egg Collections'!$A221)+0.3633</f>
        <v>0.74999999999999933</v>
      </c>
      <c r="G221" s="273">
        <f>SUMIFS('Egg Tally'!$G:$G,'Egg Tally'!$C:$C,G$1,'Egg Tally'!$A:$A,'Egg Collections'!$A221)</f>
        <v>0</v>
      </c>
      <c r="H221" s="273">
        <f>SUMIFS('Egg Tally'!$G:$G,'Egg Tally'!$C:$C,H$1,'Egg Tally'!$A:$A,'Egg Collections'!$A221)</f>
        <v>0.65159999999999929</v>
      </c>
      <c r="I221" s="2">
        <f t="shared" si="80"/>
        <v>5.605999999999999</v>
      </c>
      <c r="J221" s="17"/>
      <c r="K221" s="10"/>
      <c r="L221" s="10"/>
      <c r="M221" s="10"/>
      <c r="N221" s="10"/>
      <c r="O221" s="10"/>
      <c r="P221" s="10"/>
      <c r="Q221" s="10"/>
      <c r="R221" s="2"/>
      <c r="S221" s="273"/>
      <c r="T221" s="273"/>
      <c r="U221" s="273"/>
      <c r="V221" s="9"/>
      <c r="W221" s="273"/>
      <c r="X221" s="273"/>
      <c r="Y221" s="9"/>
      <c r="Z221" s="273"/>
      <c r="AA221" s="273"/>
      <c r="AB221" s="9">
        <f t="shared" si="72"/>
        <v>22070.370370370383</v>
      </c>
      <c r="AC221" s="273"/>
      <c r="AD221" s="273">
        <f t="shared" si="73"/>
        <v>0</v>
      </c>
      <c r="AE221" s="9">
        <f t="shared" si="81"/>
        <v>123814.81481481485</v>
      </c>
      <c r="AF221" s="273"/>
      <c r="AG221" s="273">
        <f t="shared" si="82"/>
        <v>0</v>
      </c>
      <c r="AH221" s="9">
        <f t="shared" si="83"/>
        <v>27777.777777777756</v>
      </c>
      <c r="AI221" s="273"/>
      <c r="AJ221" s="273">
        <f t="shared" si="84"/>
        <v>0</v>
      </c>
      <c r="AK221" s="9">
        <f t="shared" si="85"/>
        <v>0</v>
      </c>
      <c r="AL221" s="273"/>
      <c r="AM221" s="273" t="e">
        <f t="shared" si="86"/>
        <v>#DIV/0!</v>
      </c>
      <c r="AN221" s="9">
        <f t="shared" si="87"/>
        <v>24133.333333333307</v>
      </c>
      <c r="AO221" s="273"/>
      <c r="AP221" s="273">
        <f t="shared" si="88"/>
        <v>0</v>
      </c>
      <c r="AQ221" s="9"/>
      <c r="AR221" s="273"/>
      <c r="AS221" s="39"/>
    </row>
    <row r="222" spans="1:45" ht="12.75">
      <c r="A222" s="163">
        <v>44156</v>
      </c>
      <c r="B222" s="273">
        <f>SUMIFS('Egg Tally'!$G:$G,'Egg Tally'!$C:$C,"M",'Egg Tally'!$A:$A,'Egg Collections'!$A222)</f>
        <v>0</v>
      </c>
      <c r="C222" s="273"/>
      <c r="D222" s="273">
        <f>SUMIFS('Egg Tally'!$G:$G,'Egg Tally'!$C:$C,D$1,'Egg Tally'!$A:$A,'Egg Collections'!$A222)</f>
        <v>0</v>
      </c>
      <c r="E222" s="273">
        <f>SUMIFS('Egg Tally'!$G:$G,'Egg Tally'!$C:$C,E$1,'Egg Tally'!$A:$A,'Egg Collections'!$A222)</f>
        <v>0</v>
      </c>
      <c r="F222" s="273">
        <f>SUMIFS('Egg Tally'!$G:$G,'Egg Tally'!$C:$C,F$1,'Egg Tally'!$A:$A,'Egg Collections'!$A222)</f>
        <v>0</v>
      </c>
      <c r="G222" s="273">
        <f>SUMIFS('Egg Tally'!$G:$G,'Egg Tally'!$C:$C,G$1,'Egg Tally'!$A:$A,'Egg Collections'!$A222)</f>
        <v>0</v>
      </c>
      <c r="H222" s="273">
        <f>SUMIFS('Egg Tally'!$G:$G,'Egg Tally'!$C:$C,H$1,'Egg Tally'!$A:$A,'Egg Collections'!$A222)</f>
        <v>0</v>
      </c>
      <c r="I222" s="2">
        <f t="shared" si="80"/>
        <v>0</v>
      </c>
      <c r="J222" s="17"/>
      <c r="K222" s="10"/>
      <c r="L222" s="10"/>
      <c r="M222" s="10"/>
      <c r="N222" s="10"/>
      <c r="O222" s="10"/>
      <c r="P222" s="10"/>
      <c r="Q222" s="10"/>
      <c r="R222" s="2"/>
      <c r="S222" s="273"/>
      <c r="T222" s="273"/>
      <c r="U222" s="273"/>
      <c r="V222" s="9"/>
      <c r="W222" s="273"/>
      <c r="X222" s="273"/>
      <c r="Y222" s="9"/>
      <c r="Z222" s="273"/>
      <c r="AA222" s="273"/>
      <c r="AB222" s="9">
        <f t="shared" si="72"/>
        <v>0</v>
      </c>
      <c r="AC222" s="273"/>
      <c r="AD222" s="273" t="e">
        <f t="shared" si="73"/>
        <v>#DIV/0!</v>
      </c>
      <c r="AE222" s="9">
        <f t="shared" si="81"/>
        <v>0</v>
      </c>
      <c r="AF222" s="273"/>
      <c r="AG222" s="273" t="e">
        <f t="shared" si="82"/>
        <v>#DIV/0!</v>
      </c>
      <c r="AH222" s="9">
        <f t="shared" si="83"/>
        <v>0</v>
      </c>
      <c r="AI222" s="273"/>
      <c r="AJ222" s="273" t="e">
        <f t="shared" si="84"/>
        <v>#DIV/0!</v>
      </c>
      <c r="AK222" s="9">
        <f t="shared" si="85"/>
        <v>0</v>
      </c>
      <c r="AL222" s="273"/>
      <c r="AM222" s="273" t="e">
        <f t="shared" si="86"/>
        <v>#DIV/0!</v>
      </c>
      <c r="AN222" s="9">
        <f t="shared" si="87"/>
        <v>0</v>
      </c>
      <c r="AO222" s="273"/>
      <c r="AP222" s="273" t="e">
        <f t="shared" si="88"/>
        <v>#DIV/0!</v>
      </c>
      <c r="AQ222" s="9"/>
      <c r="AR222" s="273"/>
      <c r="AS222" s="39"/>
    </row>
    <row r="223" spans="1:45" ht="12.75">
      <c r="A223" s="163">
        <v>44157</v>
      </c>
      <c r="B223" s="273">
        <f>SUMIFS('Egg Tally'!$G:$G,'Egg Tally'!$C:$C,"M",'Egg Tally'!$A:$A,'Egg Collections'!$A223)</f>
        <v>0</v>
      </c>
      <c r="C223" s="273"/>
      <c r="D223" s="273">
        <f>SUMIFS('Egg Tally'!$G:$G,'Egg Tally'!$C:$C,D$1,'Egg Tally'!$A:$A,'Egg Collections'!$A223)</f>
        <v>0</v>
      </c>
      <c r="E223" s="273">
        <f>SUMIFS('Egg Tally'!$G:$G,'Egg Tally'!$C:$C,E$1,'Egg Tally'!$A:$A,'Egg Collections'!$A223)</f>
        <v>0</v>
      </c>
      <c r="F223" s="273">
        <f>SUMIFS('Egg Tally'!$G:$G,'Egg Tally'!$C:$C,F$1,'Egg Tally'!$A:$A,'Egg Collections'!$A223)</f>
        <v>0</v>
      </c>
      <c r="G223" s="273">
        <f>SUMIFS('Egg Tally'!$G:$G,'Egg Tally'!$C:$C,G$1,'Egg Tally'!$A:$A,'Egg Collections'!$A223)</f>
        <v>0</v>
      </c>
      <c r="H223" s="273">
        <f>SUMIFS('Egg Tally'!$G:$G,'Egg Tally'!$C:$C,H$1,'Egg Tally'!$A:$A,'Egg Collections'!$A223)</f>
        <v>0</v>
      </c>
      <c r="I223" s="2">
        <f t="shared" si="80"/>
        <v>0</v>
      </c>
      <c r="J223" s="17"/>
      <c r="K223" s="10"/>
      <c r="L223" s="10"/>
      <c r="M223" s="10"/>
      <c r="N223" s="10"/>
      <c r="O223" s="10"/>
      <c r="P223" s="10"/>
      <c r="Q223" s="10"/>
      <c r="R223" s="2"/>
      <c r="S223" s="273"/>
      <c r="T223" s="273"/>
      <c r="U223" s="273"/>
      <c r="V223" s="9"/>
      <c r="W223" s="273"/>
      <c r="X223" s="273"/>
      <c r="Y223" s="9"/>
      <c r="Z223" s="273"/>
      <c r="AA223" s="273"/>
      <c r="AB223" s="9">
        <f t="shared" si="72"/>
        <v>0</v>
      </c>
      <c r="AC223" s="273"/>
      <c r="AD223" s="273" t="e">
        <f t="shared" si="73"/>
        <v>#DIV/0!</v>
      </c>
      <c r="AE223" s="9">
        <f t="shared" si="81"/>
        <v>0</v>
      </c>
      <c r="AF223" s="273"/>
      <c r="AG223" s="273" t="e">
        <f t="shared" si="82"/>
        <v>#DIV/0!</v>
      </c>
      <c r="AH223" s="9">
        <f t="shared" si="83"/>
        <v>0</v>
      </c>
      <c r="AI223" s="273"/>
      <c r="AJ223" s="273" t="e">
        <f t="shared" si="84"/>
        <v>#DIV/0!</v>
      </c>
      <c r="AK223" s="9">
        <f t="shared" si="85"/>
        <v>0</v>
      </c>
      <c r="AL223" s="273"/>
      <c r="AM223" s="273" t="e">
        <f t="shared" si="86"/>
        <v>#DIV/0!</v>
      </c>
      <c r="AN223" s="9">
        <f t="shared" si="87"/>
        <v>0</v>
      </c>
      <c r="AO223" s="273"/>
      <c r="AP223" s="273" t="e">
        <f t="shared" si="88"/>
        <v>#DIV/0!</v>
      </c>
      <c r="AQ223" s="9"/>
      <c r="AR223" s="273"/>
      <c r="AS223" s="39"/>
    </row>
    <row r="224" spans="1:45" ht="12.75">
      <c r="A224" s="163">
        <v>44158</v>
      </c>
      <c r="B224" s="273">
        <f>SUMIFS('Egg Tally'!$G:$G,'Egg Tally'!$C:$C,"M",'Egg Tally'!$A:$A,'Egg Collections'!$A224)</f>
        <v>8.6400000000000254E-2</v>
      </c>
      <c r="C224" s="273"/>
      <c r="D224" s="273">
        <f>SUMIFS('Egg Tally'!$G:$G,'Egg Tally'!$C:$C,D$1,'Egg Tally'!$A:$A,'Egg Collections'!$A224)</f>
        <v>0.30899999999999928</v>
      </c>
      <c r="E224" s="273">
        <f>SUMIFS('Egg Tally'!$G:$G,'Egg Tally'!$C:$C,E$1,'Egg Tally'!$A:$A,'Egg Collections'!$A224)</f>
        <v>9.445999999999998</v>
      </c>
      <c r="F224" s="273">
        <f>SUMIFS('Egg Tally'!$G:$G,'Egg Tally'!$C:$C,F$1,'Egg Tally'!$A:$A,'Egg Collections'!$A224)</f>
        <v>0.73170000000000002</v>
      </c>
      <c r="G224" s="273">
        <f>SUMIFS('Egg Tally'!$G:$G,'Egg Tally'!$C:$C,G$1,'Egg Tally'!$A:$A,'Egg Collections'!$A224)</f>
        <v>0.84430000000000049</v>
      </c>
      <c r="H224" s="273">
        <f>SUMIFS('Egg Tally'!$G:$G,'Egg Tally'!$C:$C,H$1,'Egg Tally'!$A:$A,'Egg Collections'!$A224)</f>
        <v>0.30059999999999931</v>
      </c>
      <c r="I224" s="2">
        <f t="shared" si="80"/>
        <v>11.717999999999996</v>
      </c>
      <c r="J224" s="17"/>
      <c r="K224" s="10"/>
      <c r="L224" s="10"/>
      <c r="M224" s="10"/>
      <c r="N224" s="10"/>
      <c r="O224" s="10"/>
      <c r="P224" s="10"/>
      <c r="Q224" s="10"/>
      <c r="R224" s="2"/>
      <c r="S224" s="273"/>
      <c r="T224" s="273"/>
      <c r="U224" s="273"/>
      <c r="V224" s="9"/>
      <c r="W224" s="273"/>
      <c r="X224" s="273"/>
      <c r="Y224" s="9"/>
      <c r="Z224" s="273"/>
      <c r="AA224" s="273"/>
      <c r="AB224" s="9">
        <f t="shared" si="72"/>
        <v>11444.444444444418</v>
      </c>
      <c r="AC224" s="273"/>
      <c r="AD224" s="273">
        <f t="shared" si="73"/>
        <v>0</v>
      </c>
      <c r="AE224" s="9">
        <f t="shared" si="81"/>
        <v>349851.8518518518</v>
      </c>
      <c r="AF224" s="273"/>
      <c r="AG224" s="273">
        <f t="shared" si="82"/>
        <v>0</v>
      </c>
      <c r="AH224" s="9">
        <f t="shared" si="83"/>
        <v>27100</v>
      </c>
      <c r="AI224" s="273"/>
      <c r="AJ224" s="273">
        <f t="shared" si="84"/>
        <v>0</v>
      </c>
      <c r="AK224" s="9">
        <f t="shared" si="85"/>
        <v>31270.37037037039</v>
      </c>
      <c r="AL224" s="273"/>
      <c r="AM224" s="273">
        <f t="shared" si="86"/>
        <v>0</v>
      </c>
      <c r="AN224" s="9">
        <f t="shared" si="87"/>
        <v>11133.333333333308</v>
      </c>
      <c r="AO224" s="273"/>
      <c r="AP224" s="273">
        <f t="shared" si="88"/>
        <v>0</v>
      </c>
      <c r="AQ224" s="9"/>
      <c r="AR224" s="273"/>
      <c r="AS224" s="39"/>
    </row>
    <row r="225" spans="1:45" ht="12.75">
      <c r="A225" s="163">
        <v>44159</v>
      </c>
      <c r="B225" s="273">
        <f>SUMIFS('Egg Tally'!$G:$G,'Egg Tally'!$C:$C,"M",'Egg Tally'!$A:$A,'Egg Collections'!$A225)</f>
        <v>0</v>
      </c>
      <c r="C225" s="273"/>
      <c r="D225" s="273">
        <f>SUMIFS('Egg Tally'!$G:$G,'Egg Tally'!$C:$C,D$1,'Egg Tally'!$A:$A,'Egg Collections'!$A225)</f>
        <v>0</v>
      </c>
      <c r="E225" s="273">
        <f>SUMIFS('Egg Tally'!$G:$G,'Egg Tally'!$C:$C,E$1,'Egg Tally'!$A:$A,'Egg Collections'!$A225)</f>
        <v>0</v>
      </c>
      <c r="F225" s="273">
        <f>SUMIFS('Egg Tally'!$G:$G,'Egg Tally'!$C:$C,F$1,'Egg Tally'!$A:$A,'Egg Collections'!$A225)</f>
        <v>0</v>
      </c>
      <c r="G225" s="273">
        <f>SUMIFS('Egg Tally'!$G:$G,'Egg Tally'!$C:$C,G$1,'Egg Tally'!$A:$A,'Egg Collections'!$A225)</f>
        <v>0</v>
      </c>
      <c r="H225" s="273">
        <f>SUMIFS('Egg Tally'!$G:$G,'Egg Tally'!$C:$C,H$1,'Egg Tally'!$A:$A,'Egg Collections'!$A225)</f>
        <v>0</v>
      </c>
      <c r="I225" s="2">
        <f t="shared" si="80"/>
        <v>0</v>
      </c>
      <c r="J225" s="17"/>
      <c r="K225" s="10"/>
      <c r="L225" s="10"/>
      <c r="M225" s="10"/>
      <c r="N225" s="10"/>
      <c r="O225" s="10"/>
      <c r="P225" s="10"/>
      <c r="Q225" s="10"/>
      <c r="R225" s="2"/>
      <c r="S225" s="273"/>
      <c r="T225" s="273"/>
      <c r="U225" s="273"/>
      <c r="V225" s="9"/>
      <c r="W225" s="273"/>
      <c r="X225" s="273"/>
      <c r="Y225" s="9"/>
      <c r="Z225" s="273"/>
      <c r="AA225" s="273"/>
      <c r="AB225" s="9">
        <f t="shared" si="72"/>
        <v>0</v>
      </c>
      <c r="AC225" s="273"/>
      <c r="AD225" s="273" t="e">
        <f t="shared" si="73"/>
        <v>#DIV/0!</v>
      </c>
      <c r="AE225" s="9">
        <f t="shared" si="81"/>
        <v>0</v>
      </c>
      <c r="AF225" s="273"/>
      <c r="AG225" s="273" t="e">
        <f t="shared" si="82"/>
        <v>#DIV/0!</v>
      </c>
      <c r="AH225" s="9">
        <f t="shared" si="83"/>
        <v>0</v>
      </c>
      <c r="AI225" s="273"/>
      <c r="AJ225" s="273" t="e">
        <f t="shared" si="84"/>
        <v>#DIV/0!</v>
      </c>
      <c r="AK225" s="9">
        <f t="shared" si="85"/>
        <v>0</v>
      </c>
      <c r="AL225" s="273"/>
      <c r="AM225" s="273" t="e">
        <f t="shared" si="86"/>
        <v>#DIV/0!</v>
      </c>
      <c r="AN225" s="9">
        <f t="shared" si="87"/>
        <v>0</v>
      </c>
      <c r="AO225" s="273"/>
      <c r="AP225" s="273" t="e">
        <f t="shared" si="88"/>
        <v>#DIV/0!</v>
      </c>
      <c r="AQ225" s="9"/>
      <c r="AR225" s="273"/>
      <c r="AS225" s="39"/>
    </row>
    <row r="226" spans="1:45" ht="12.75">
      <c r="A226" s="163">
        <v>44160</v>
      </c>
      <c r="B226" s="273">
        <f>SUMIFS('Egg Tally'!$G:$G,'Egg Tally'!$C:$C,"M",'Egg Tally'!$A:$A,'Egg Collections'!$A226)</f>
        <v>7.6200000000000045E-2</v>
      </c>
      <c r="C226" s="273"/>
      <c r="D226" s="273">
        <f>SUMIFS('Egg Tally'!$G:$G,'Egg Tally'!$C:$C,D$1,'Egg Tally'!$A:$A,'Egg Collections'!$A226)</f>
        <v>0.39909999999999979</v>
      </c>
      <c r="E226" s="273">
        <f>SUMIFS('Egg Tally'!$G:$G,'Egg Tally'!$C:$C,E$1,'Egg Tally'!$A:$A,'Egg Collections'!$A226)</f>
        <v>11.724300000000001</v>
      </c>
      <c r="F226" s="273">
        <f>SUMIFS('Egg Tally'!$G:$G,'Egg Tally'!$C:$C,F$1,'Egg Tally'!$A:$A,'Egg Collections'!$A226)</f>
        <v>0.98750000000000071</v>
      </c>
      <c r="G226" s="273">
        <f>SUMIFS('Egg Tally'!$G:$G,'Egg Tally'!$C:$C,G$1,'Egg Tally'!$A:$A,'Egg Collections'!$A226)</f>
        <v>1.3084000000000007</v>
      </c>
      <c r="H226" s="273">
        <f>SUMIFS('Egg Tally'!$G:$G,'Egg Tally'!$C:$C,H$1,'Egg Tally'!$A:$A,'Egg Collections'!$A226)</f>
        <v>2.7906999999999993</v>
      </c>
      <c r="I226" s="2">
        <f t="shared" si="80"/>
        <v>17.286200000000001</v>
      </c>
      <c r="J226" s="17"/>
      <c r="K226" s="10"/>
      <c r="L226" s="10"/>
      <c r="M226" s="10"/>
      <c r="N226" s="10"/>
      <c r="O226" s="10"/>
      <c r="P226" s="10"/>
      <c r="Q226" s="10"/>
      <c r="R226" s="2"/>
      <c r="S226" s="273"/>
      <c r="T226" s="273"/>
      <c r="U226" s="273"/>
      <c r="V226" s="9"/>
      <c r="W226" s="273"/>
      <c r="X226" s="273"/>
      <c r="Y226" s="9"/>
      <c r="Z226" s="273"/>
      <c r="AA226" s="273"/>
      <c r="AB226" s="9">
        <f t="shared" si="72"/>
        <v>14781.481481481474</v>
      </c>
      <c r="AC226" s="273"/>
      <c r="AD226" s="273">
        <f t="shared" si="73"/>
        <v>0</v>
      </c>
      <c r="AE226" s="9">
        <f t="shared" si="81"/>
        <v>434233.33333333337</v>
      </c>
      <c r="AF226" s="273"/>
      <c r="AG226" s="273">
        <f t="shared" si="82"/>
        <v>0</v>
      </c>
      <c r="AH226" s="9">
        <f t="shared" si="83"/>
        <v>36574.074074074102</v>
      </c>
      <c r="AI226" s="273"/>
      <c r="AJ226" s="273">
        <f t="shared" si="84"/>
        <v>0</v>
      </c>
      <c r="AK226" s="9">
        <f t="shared" si="85"/>
        <v>48459.259259259285</v>
      </c>
      <c r="AL226" s="273"/>
      <c r="AM226" s="273">
        <f t="shared" si="86"/>
        <v>0</v>
      </c>
      <c r="AN226" s="9">
        <f t="shared" si="87"/>
        <v>103359.25925925924</v>
      </c>
      <c r="AO226" s="273"/>
      <c r="AP226" s="273">
        <f t="shared" si="88"/>
        <v>0</v>
      </c>
      <c r="AQ226" s="9"/>
      <c r="AR226" s="273"/>
      <c r="AS226" s="39"/>
    </row>
    <row r="227" spans="1:45" ht="12.75">
      <c r="A227" s="163">
        <v>44161</v>
      </c>
      <c r="B227" s="273">
        <f>SUMIFS('Egg Tally'!$G:$G,'Egg Tally'!$C:$C,"M",'Egg Tally'!$A:$A,'Egg Collections'!$A227)</f>
        <v>0</v>
      </c>
      <c r="C227" s="273"/>
      <c r="D227" s="273">
        <f>SUMIFS('Egg Tally'!$G:$G,'Egg Tally'!$C:$C,D$1,'Egg Tally'!$A:$A,'Egg Collections'!$A227)</f>
        <v>0</v>
      </c>
      <c r="E227" s="273">
        <f>SUMIFS('Egg Tally'!$G:$G,'Egg Tally'!$C:$C,E$1,'Egg Tally'!$A:$A,'Egg Collections'!$A227)</f>
        <v>0</v>
      </c>
      <c r="F227" s="273">
        <f>SUMIFS('Egg Tally'!$G:$G,'Egg Tally'!$C:$C,F$1,'Egg Tally'!$A:$A,'Egg Collections'!$A227)</f>
        <v>0</v>
      </c>
      <c r="G227" s="273">
        <f>SUMIFS('Egg Tally'!$G:$G,'Egg Tally'!$C:$C,G$1,'Egg Tally'!$A:$A,'Egg Collections'!$A227)</f>
        <v>0</v>
      </c>
      <c r="H227" s="273">
        <f>SUMIFS('Egg Tally'!$G:$G,'Egg Tally'!$C:$C,H$1,'Egg Tally'!$A:$A,'Egg Collections'!$A227)</f>
        <v>0</v>
      </c>
      <c r="I227" s="2">
        <f t="shared" si="80"/>
        <v>0</v>
      </c>
      <c r="J227" s="17"/>
      <c r="K227" s="10"/>
      <c r="L227" s="10"/>
      <c r="M227" s="10"/>
      <c r="N227" s="10"/>
      <c r="O227" s="10"/>
      <c r="P227" s="10"/>
      <c r="Q227" s="10"/>
      <c r="R227" s="2"/>
      <c r="S227" s="273"/>
      <c r="T227" s="273"/>
      <c r="U227" s="273"/>
      <c r="V227" s="9"/>
      <c r="W227" s="273"/>
      <c r="X227" s="273"/>
      <c r="Y227" s="9"/>
      <c r="Z227" s="273"/>
      <c r="AA227" s="273"/>
      <c r="AB227" s="9">
        <f t="shared" si="72"/>
        <v>0</v>
      </c>
      <c r="AC227" s="273"/>
      <c r="AD227" s="273" t="e">
        <f t="shared" si="73"/>
        <v>#DIV/0!</v>
      </c>
      <c r="AE227" s="9">
        <f t="shared" si="81"/>
        <v>0</v>
      </c>
      <c r="AF227" s="273"/>
      <c r="AG227" s="273" t="e">
        <f t="shared" si="82"/>
        <v>#DIV/0!</v>
      </c>
      <c r="AH227" s="9">
        <f t="shared" si="83"/>
        <v>0</v>
      </c>
      <c r="AI227" s="273"/>
      <c r="AJ227" s="273" t="e">
        <f t="shared" si="84"/>
        <v>#DIV/0!</v>
      </c>
      <c r="AK227" s="9">
        <f t="shared" si="85"/>
        <v>0</v>
      </c>
      <c r="AL227" s="273"/>
      <c r="AM227" s="273" t="e">
        <f t="shared" si="86"/>
        <v>#DIV/0!</v>
      </c>
      <c r="AN227" s="9">
        <f t="shared" si="87"/>
        <v>0</v>
      </c>
      <c r="AO227" s="273"/>
      <c r="AP227" s="273" t="e">
        <f t="shared" si="88"/>
        <v>#DIV/0!</v>
      </c>
      <c r="AQ227" s="9"/>
      <c r="AR227" s="273"/>
      <c r="AS227" s="39"/>
    </row>
    <row r="228" spans="1:45" ht="12.75">
      <c r="A228" s="163">
        <v>44162</v>
      </c>
      <c r="B228" s="273">
        <f>SUMIFS('Egg Tally'!$G:$G,'Egg Tally'!$C:$C,"M",'Egg Tally'!$A:$A,'Egg Collections'!$A228)</f>
        <v>0</v>
      </c>
      <c r="C228" s="273"/>
      <c r="D228" s="273">
        <f>SUMIFS('Egg Tally'!$G:$G,'Egg Tally'!$C:$C,D$1,'Egg Tally'!$A:$A,'Egg Collections'!$A228)</f>
        <v>0</v>
      </c>
      <c r="E228" s="273">
        <f>SUMIFS('Egg Tally'!$G:$G,'Egg Tally'!$C:$C,E$1,'Egg Tally'!$A:$A,'Egg Collections'!$A228)</f>
        <v>10.104199999999999</v>
      </c>
      <c r="F228" s="273">
        <f>SUMIFS('Egg Tally'!$G:$G,'Egg Tally'!$C:$C,F$1,'Egg Tally'!$A:$A,'Egg Collections'!$A228)</f>
        <v>0.74829999999999997</v>
      </c>
      <c r="G228" s="273">
        <f>SUMIFS('Egg Tally'!$G:$G,'Egg Tally'!$C:$C,G$1,'Egg Tally'!$A:$A,'Egg Collections'!$A228)</f>
        <v>0.45349999999999896</v>
      </c>
      <c r="H228" s="273">
        <f>SUMIFS('Egg Tally'!$G:$G,'Egg Tally'!$C:$C,H$1,'Egg Tally'!$A:$A,'Egg Collections'!$A228)</f>
        <v>3.56E-2</v>
      </c>
      <c r="I228" s="2">
        <f t="shared" si="80"/>
        <v>11.341599999999998</v>
      </c>
      <c r="J228" s="17"/>
      <c r="K228" s="10"/>
      <c r="L228" s="10"/>
      <c r="M228" s="10"/>
      <c r="N228" s="10"/>
      <c r="O228" s="10"/>
      <c r="P228" s="10"/>
      <c r="Q228" s="10"/>
      <c r="R228" s="2"/>
      <c r="S228" s="273"/>
      <c r="T228" s="273"/>
      <c r="U228" s="273"/>
      <c r="V228" s="9"/>
      <c r="W228" s="273"/>
      <c r="X228" s="273"/>
      <c r="Y228" s="9"/>
      <c r="Z228" s="273"/>
      <c r="AA228" s="273"/>
      <c r="AB228" s="9">
        <f t="shared" si="72"/>
        <v>0</v>
      </c>
      <c r="AC228" s="273"/>
      <c r="AD228" s="273" t="e">
        <f t="shared" si="73"/>
        <v>#DIV/0!</v>
      </c>
      <c r="AE228" s="9">
        <f t="shared" si="81"/>
        <v>374229.62962962961</v>
      </c>
      <c r="AF228" s="273"/>
      <c r="AG228" s="273">
        <f t="shared" si="82"/>
        <v>0</v>
      </c>
      <c r="AH228" s="9">
        <f t="shared" si="83"/>
        <v>27714.814814814814</v>
      </c>
      <c r="AI228" s="273"/>
      <c r="AJ228" s="273">
        <f t="shared" si="84"/>
        <v>0</v>
      </c>
      <c r="AK228" s="9">
        <f t="shared" si="85"/>
        <v>16796.296296296259</v>
      </c>
      <c r="AL228" s="273"/>
      <c r="AM228" s="273">
        <f t="shared" si="86"/>
        <v>0</v>
      </c>
      <c r="AN228" s="9">
        <f t="shared" si="87"/>
        <v>1318.5185185185185</v>
      </c>
      <c r="AO228" s="273"/>
      <c r="AP228" s="273">
        <f t="shared" si="88"/>
        <v>0</v>
      </c>
      <c r="AQ228" s="9"/>
      <c r="AR228" s="273"/>
      <c r="AS228" s="39"/>
    </row>
    <row r="229" spans="1:45" ht="12.75">
      <c r="A229" s="163">
        <v>44163</v>
      </c>
      <c r="B229" s="273">
        <f>SUMIFS('Egg Tally'!$G:$G,'Egg Tally'!$C:$C,"M",'Egg Tally'!$A:$A,'Egg Collections'!$A229)</f>
        <v>0</v>
      </c>
      <c r="C229" s="273"/>
      <c r="D229" s="273">
        <f>SUMIFS('Egg Tally'!$G:$G,'Egg Tally'!$C:$C,D$1,'Egg Tally'!$A:$A,'Egg Collections'!$A229)</f>
        <v>0</v>
      </c>
      <c r="E229" s="273">
        <f>SUMIFS('Egg Tally'!$G:$G,'Egg Tally'!$C:$C,E$1,'Egg Tally'!$A:$A,'Egg Collections'!$A229)</f>
        <v>0</v>
      </c>
      <c r="F229" s="273">
        <f>SUMIFS('Egg Tally'!$G:$G,'Egg Tally'!$C:$C,F$1,'Egg Tally'!$A:$A,'Egg Collections'!$A229)</f>
        <v>0</v>
      </c>
      <c r="G229" s="273">
        <f>SUMIFS('Egg Tally'!$G:$G,'Egg Tally'!$C:$C,G$1,'Egg Tally'!$A:$A,'Egg Collections'!$A229)</f>
        <v>0</v>
      </c>
      <c r="H229" s="273">
        <f>SUMIFS('Egg Tally'!$G:$G,'Egg Tally'!$C:$C,H$1,'Egg Tally'!$A:$A,'Egg Collections'!$A229)</f>
        <v>0</v>
      </c>
      <c r="I229" s="2">
        <f t="shared" si="80"/>
        <v>0</v>
      </c>
      <c r="J229" s="17"/>
      <c r="K229" s="10"/>
      <c r="L229" s="10"/>
      <c r="M229" s="10"/>
      <c r="N229" s="10"/>
      <c r="O229" s="10"/>
      <c r="P229" s="10"/>
      <c r="Q229" s="10"/>
      <c r="R229" s="2"/>
      <c r="S229" s="273"/>
      <c r="T229" s="273"/>
      <c r="U229" s="273"/>
      <c r="V229" s="9"/>
      <c r="W229" s="273"/>
      <c r="X229" s="273"/>
      <c r="Y229" s="9"/>
      <c r="Z229" s="273"/>
      <c r="AA229" s="273"/>
      <c r="AB229" s="9">
        <f t="shared" si="72"/>
        <v>0</v>
      </c>
      <c r="AC229" s="273"/>
      <c r="AD229" s="273" t="e">
        <f t="shared" si="73"/>
        <v>#DIV/0!</v>
      </c>
      <c r="AE229" s="9">
        <f t="shared" si="81"/>
        <v>0</v>
      </c>
      <c r="AF229" s="273"/>
      <c r="AG229" s="273" t="e">
        <f t="shared" si="82"/>
        <v>#DIV/0!</v>
      </c>
      <c r="AH229" s="9">
        <f t="shared" si="83"/>
        <v>0</v>
      </c>
      <c r="AI229" s="273"/>
      <c r="AJ229" s="273" t="e">
        <f t="shared" si="84"/>
        <v>#DIV/0!</v>
      </c>
      <c r="AK229" s="9">
        <f t="shared" si="85"/>
        <v>0</v>
      </c>
      <c r="AL229" s="273"/>
      <c r="AM229" s="273" t="e">
        <f t="shared" si="86"/>
        <v>#DIV/0!</v>
      </c>
      <c r="AN229" s="9">
        <f t="shared" si="87"/>
        <v>0</v>
      </c>
      <c r="AO229" s="273"/>
      <c r="AP229" s="273" t="e">
        <f t="shared" si="88"/>
        <v>#DIV/0!</v>
      </c>
      <c r="AQ229" s="9"/>
      <c r="AR229" s="273"/>
      <c r="AS229" s="39"/>
    </row>
    <row r="230" spans="1:45" ht="12.75">
      <c r="A230" s="163">
        <v>44164</v>
      </c>
      <c r="B230" s="273">
        <f>SUMIFS('Egg Tally'!$G:$G,'Egg Tally'!$C:$C,"M",'Egg Tally'!$A:$A,'Egg Collections'!$A230)</f>
        <v>0</v>
      </c>
      <c r="C230" s="273"/>
      <c r="D230" s="273">
        <f>SUMIFS('Egg Tally'!$G:$G,'Egg Tally'!$C:$C,D$1,'Egg Tally'!$A:$A,'Egg Collections'!$A230)</f>
        <v>0</v>
      </c>
      <c r="E230" s="273">
        <f>SUMIFS('Egg Tally'!$G:$G,'Egg Tally'!$C:$C,E$1,'Egg Tally'!$A:$A,'Egg Collections'!$A230)</f>
        <v>0</v>
      </c>
      <c r="F230" s="273">
        <f>SUMIFS('Egg Tally'!$G:$G,'Egg Tally'!$C:$C,F$1,'Egg Tally'!$A:$A,'Egg Collections'!$A230)</f>
        <v>0</v>
      </c>
      <c r="G230" s="273">
        <f>SUMIFS('Egg Tally'!$G:$G,'Egg Tally'!$C:$C,G$1,'Egg Tally'!$A:$A,'Egg Collections'!$A230)</f>
        <v>0</v>
      </c>
      <c r="H230" s="273">
        <f>SUMIFS('Egg Tally'!$G:$G,'Egg Tally'!$C:$C,H$1,'Egg Tally'!$A:$A,'Egg Collections'!$A230)</f>
        <v>0</v>
      </c>
      <c r="I230" s="2">
        <f t="shared" si="80"/>
        <v>0</v>
      </c>
      <c r="J230" s="17"/>
      <c r="K230" s="10"/>
      <c r="L230" s="10"/>
      <c r="M230" s="10"/>
      <c r="N230" s="10"/>
      <c r="O230" s="10"/>
      <c r="P230" s="10"/>
      <c r="Q230" s="10"/>
      <c r="R230" s="2"/>
      <c r="S230" s="273"/>
      <c r="T230" s="273"/>
      <c r="U230" s="273"/>
      <c r="V230" s="9"/>
      <c r="W230" s="273"/>
      <c r="X230" s="273"/>
      <c r="Y230" s="9"/>
      <c r="Z230" s="273"/>
      <c r="AA230" s="273"/>
      <c r="AB230" s="9">
        <f t="shared" si="72"/>
        <v>0</v>
      </c>
      <c r="AC230" s="273"/>
      <c r="AD230" s="273" t="e">
        <f t="shared" si="73"/>
        <v>#DIV/0!</v>
      </c>
      <c r="AE230" s="9">
        <f t="shared" si="81"/>
        <v>0</v>
      </c>
      <c r="AF230" s="273"/>
      <c r="AG230" s="273" t="e">
        <f t="shared" si="82"/>
        <v>#DIV/0!</v>
      </c>
      <c r="AH230" s="9">
        <f t="shared" si="83"/>
        <v>0</v>
      </c>
      <c r="AI230" s="273"/>
      <c r="AJ230" s="273" t="e">
        <f t="shared" si="84"/>
        <v>#DIV/0!</v>
      </c>
      <c r="AK230" s="9">
        <f t="shared" si="85"/>
        <v>0</v>
      </c>
      <c r="AL230" s="273"/>
      <c r="AM230" s="273" t="e">
        <f t="shared" si="86"/>
        <v>#DIV/0!</v>
      </c>
      <c r="AN230" s="9">
        <f t="shared" si="87"/>
        <v>0</v>
      </c>
      <c r="AO230" s="273"/>
      <c r="AP230" s="273" t="e">
        <f t="shared" si="88"/>
        <v>#DIV/0!</v>
      </c>
      <c r="AQ230" s="9"/>
      <c r="AR230" s="273"/>
      <c r="AS230" s="39"/>
    </row>
    <row r="231" spans="1:45" ht="12.75">
      <c r="A231" s="163">
        <v>44165</v>
      </c>
      <c r="B231" s="273">
        <f>SUMIFS('Egg Tally'!$G:$G,'Egg Tally'!$C:$C,"M",'Egg Tally'!$A:$A,'Egg Collections'!$A231)</f>
        <v>0</v>
      </c>
      <c r="C231" s="273"/>
      <c r="D231" s="273">
        <f>SUMIFS('Egg Tally'!$G:$G,'Egg Tally'!$C:$C,D$1,'Egg Tally'!$A:$A,'Egg Collections'!$A231)</f>
        <v>0</v>
      </c>
      <c r="E231" s="273">
        <f>SUMIFS('Egg Tally'!$G:$G,'Egg Tally'!$C:$C,E$1,'Egg Tally'!$A:$A,'Egg Collections'!$A231)</f>
        <v>7.7416</v>
      </c>
      <c r="F231" s="273">
        <f>SUMIFS('Egg Tally'!$G:$G,'Egg Tally'!$C:$C,F$1,'Egg Tally'!$A:$A,'Egg Collections'!$A231)</f>
        <v>3.0991</v>
      </c>
      <c r="G231" s="273">
        <f>SUMIFS('Egg Tally'!$G:$G,'Egg Tally'!$C:$C,G$1,'Egg Tally'!$A:$A,'Egg Collections'!$A231)</f>
        <v>-2.689999999999948E-2</v>
      </c>
      <c r="H231" s="273">
        <f>SUMIFS('Egg Tally'!$G:$G,'Egg Tally'!$C:$C,H$1,'Egg Tally'!$A:$A,'Egg Collections'!$A231)</f>
        <v>0</v>
      </c>
      <c r="I231" s="2">
        <f t="shared" si="80"/>
        <v>10.813800000000001</v>
      </c>
      <c r="J231" s="17"/>
      <c r="K231" s="10"/>
      <c r="L231" s="10"/>
      <c r="M231" s="10"/>
      <c r="N231" s="10"/>
      <c r="O231" s="10"/>
      <c r="P231" s="10"/>
      <c r="Q231" s="10"/>
      <c r="R231" s="2"/>
      <c r="S231" s="273"/>
      <c r="T231" s="273"/>
      <c r="U231" s="273"/>
      <c r="V231" s="9"/>
      <c r="W231" s="273"/>
      <c r="X231" s="273"/>
      <c r="Y231" s="9"/>
      <c r="Z231" s="273"/>
      <c r="AA231" s="273"/>
      <c r="AB231" s="9">
        <f t="shared" si="72"/>
        <v>0</v>
      </c>
      <c r="AC231" s="273"/>
      <c r="AD231" s="273" t="e">
        <f t="shared" si="73"/>
        <v>#DIV/0!</v>
      </c>
      <c r="AE231" s="9">
        <f t="shared" si="81"/>
        <v>286725.92592592596</v>
      </c>
      <c r="AF231" s="273"/>
      <c r="AG231" s="273">
        <f t="shared" si="82"/>
        <v>0</v>
      </c>
      <c r="AH231" s="9">
        <f t="shared" si="83"/>
        <v>114781.48148148149</v>
      </c>
      <c r="AI231" s="273"/>
      <c r="AJ231" s="273">
        <f t="shared" si="84"/>
        <v>0</v>
      </c>
      <c r="AK231" s="9">
        <f t="shared" si="85"/>
        <v>-996.29629629627709</v>
      </c>
      <c r="AL231" s="273"/>
      <c r="AM231" s="273">
        <f t="shared" si="86"/>
        <v>0</v>
      </c>
      <c r="AN231" s="9">
        <f t="shared" si="87"/>
        <v>0</v>
      </c>
      <c r="AO231" s="273"/>
      <c r="AP231" s="273" t="e">
        <f t="shared" si="88"/>
        <v>#DIV/0!</v>
      </c>
      <c r="AQ231" s="9"/>
      <c r="AR231" s="273"/>
      <c r="AS231" s="39"/>
    </row>
    <row r="232" spans="1:45" ht="12.75">
      <c r="A232" s="163">
        <v>44166</v>
      </c>
      <c r="B232" s="273">
        <f>SUMIFS('Egg Tally'!$G:$G,'Egg Tally'!$C:$C,"M",'Egg Tally'!$A:$A,'Egg Collections'!$A232)</f>
        <v>0</v>
      </c>
      <c r="C232" s="273"/>
      <c r="D232" s="273">
        <f>SUMIFS('Egg Tally'!$G:$G,'Egg Tally'!$C:$C,D$1,'Egg Tally'!$A:$A,'Egg Collections'!$A232)</f>
        <v>0</v>
      </c>
      <c r="E232" s="273">
        <f>SUMIFS('Egg Tally'!$G:$G,'Egg Tally'!$C:$C,E$1,'Egg Tally'!$A:$A,'Egg Collections'!$A232)</f>
        <v>0</v>
      </c>
      <c r="F232" s="273">
        <f>SUMIFS('Egg Tally'!$G:$G,'Egg Tally'!$C:$C,F$1,'Egg Tally'!$A:$A,'Egg Collections'!$A232)</f>
        <v>0</v>
      </c>
      <c r="G232" s="273">
        <f>SUMIFS('Egg Tally'!$G:$G,'Egg Tally'!$C:$C,G$1,'Egg Tally'!$A:$A,'Egg Collections'!$A232)</f>
        <v>0</v>
      </c>
      <c r="H232" s="273">
        <f>SUMIFS('Egg Tally'!$G:$G,'Egg Tally'!$C:$C,H$1,'Egg Tally'!$A:$A,'Egg Collections'!$A232)</f>
        <v>0</v>
      </c>
      <c r="I232" s="2">
        <f t="shared" si="80"/>
        <v>0</v>
      </c>
      <c r="J232" s="17"/>
      <c r="K232" s="10"/>
      <c r="L232" s="10"/>
      <c r="M232" s="10"/>
      <c r="N232" s="10"/>
      <c r="O232" s="10"/>
      <c r="P232" s="10"/>
      <c r="Q232" s="10"/>
      <c r="R232" s="2"/>
      <c r="S232" s="273"/>
      <c r="T232" s="273"/>
      <c r="U232" s="273"/>
      <c r="V232" s="9"/>
      <c r="W232" s="273"/>
      <c r="X232" s="273"/>
      <c r="Y232" s="9"/>
      <c r="Z232" s="273"/>
      <c r="AA232" s="273"/>
      <c r="AB232" s="9">
        <f t="shared" si="72"/>
        <v>0</v>
      </c>
      <c r="AC232" s="273"/>
      <c r="AD232" s="273" t="e">
        <f t="shared" si="73"/>
        <v>#DIV/0!</v>
      </c>
      <c r="AE232" s="9">
        <f t="shared" si="81"/>
        <v>0</v>
      </c>
      <c r="AF232" s="273"/>
      <c r="AG232" s="273" t="e">
        <f t="shared" si="82"/>
        <v>#DIV/0!</v>
      </c>
      <c r="AH232" s="9">
        <f t="shared" si="83"/>
        <v>0</v>
      </c>
      <c r="AI232" s="273"/>
      <c r="AJ232" s="273" t="e">
        <f t="shared" si="84"/>
        <v>#DIV/0!</v>
      </c>
      <c r="AK232" s="9">
        <f t="shared" si="85"/>
        <v>0</v>
      </c>
      <c r="AL232" s="273"/>
      <c r="AM232" s="273" t="e">
        <f t="shared" si="86"/>
        <v>#DIV/0!</v>
      </c>
      <c r="AN232" s="9">
        <f t="shared" si="87"/>
        <v>0</v>
      </c>
      <c r="AO232" s="273"/>
      <c r="AP232" s="273" t="e">
        <f t="shared" si="88"/>
        <v>#DIV/0!</v>
      </c>
      <c r="AQ232" s="9"/>
      <c r="AR232" s="273"/>
      <c r="AS232" s="39"/>
    </row>
    <row r="233" spans="1:45" ht="12.75">
      <c r="A233" s="163">
        <v>44167</v>
      </c>
      <c r="B233" s="273">
        <f>SUMIFS('Egg Tally'!$G:$G,'Egg Tally'!$C:$C,"M",'Egg Tally'!$A:$A,'Egg Collections'!$A233)</f>
        <v>0</v>
      </c>
      <c r="C233" s="273"/>
      <c r="D233" s="273">
        <f>SUMIFS('Egg Tally'!$G:$G,'Egg Tally'!$C:$C,D$1,'Egg Tally'!$A:$A,'Egg Collections'!$A233)</f>
        <v>0</v>
      </c>
      <c r="E233" s="273">
        <f>SUMIFS('Egg Tally'!$G:$G,'Egg Tally'!$C:$C,E$1,'Egg Tally'!$A:$A,'Egg Collections'!$A233)</f>
        <v>4.6569000000000003</v>
      </c>
      <c r="F233" s="273">
        <f>SUMIFS('Egg Tally'!$G:$G,'Egg Tally'!$C:$C,F$1,'Egg Tally'!$A:$A,'Egg Collections'!$A233)</f>
        <v>15.890899999999998</v>
      </c>
      <c r="G233" s="273">
        <f>SUMIFS('Egg Tally'!$G:$G,'Egg Tally'!$C:$C,G$1,'Egg Tally'!$A:$A,'Egg Collections'!$A233)</f>
        <v>10.652499999999998</v>
      </c>
      <c r="H233" s="273">
        <f>SUMIFS('Egg Tally'!$G:$G,'Egg Tally'!$C:$C,H$1,'Egg Tally'!$A:$A,'Egg Collections'!$A233)</f>
        <v>0.24509999999999987</v>
      </c>
      <c r="I233" s="2">
        <f t="shared" si="80"/>
        <v>31.445399999999999</v>
      </c>
      <c r="J233" s="17"/>
      <c r="K233" s="10"/>
      <c r="L233" s="10"/>
      <c r="M233" s="10"/>
      <c r="N233" s="10"/>
      <c r="O233" s="10"/>
      <c r="P233" s="10"/>
      <c r="Q233" s="10"/>
      <c r="R233" s="2"/>
      <c r="S233" s="273"/>
      <c r="T233" s="273"/>
      <c r="U233" s="273"/>
      <c r="V233" s="9"/>
      <c r="W233" s="273"/>
      <c r="X233" s="273"/>
      <c r="Y233" s="9"/>
      <c r="Z233" s="273"/>
      <c r="AA233" s="273"/>
      <c r="AB233" s="9">
        <f t="shared" si="72"/>
        <v>0</v>
      </c>
      <c r="AC233" s="273"/>
      <c r="AD233" s="273" t="e">
        <f t="shared" si="73"/>
        <v>#DIV/0!</v>
      </c>
      <c r="AE233" s="9">
        <f t="shared" si="81"/>
        <v>172477.77777777778</v>
      </c>
      <c r="AF233" s="273"/>
      <c r="AG233" s="273">
        <f t="shared" si="82"/>
        <v>0</v>
      </c>
      <c r="AH233" s="9">
        <f t="shared" si="83"/>
        <v>588551.8518518518</v>
      </c>
      <c r="AI233" s="273"/>
      <c r="AJ233" s="273">
        <f t="shared" si="84"/>
        <v>0</v>
      </c>
      <c r="AK233" s="9">
        <f t="shared" si="85"/>
        <v>394537.03703703696</v>
      </c>
      <c r="AL233" s="273"/>
      <c r="AM233" s="273">
        <f t="shared" si="86"/>
        <v>0</v>
      </c>
      <c r="AN233" s="9">
        <f t="shared" si="87"/>
        <v>9077.7777777777737</v>
      </c>
      <c r="AO233" s="273"/>
      <c r="AP233" s="273">
        <f t="shared" si="88"/>
        <v>0</v>
      </c>
      <c r="AQ233" s="9"/>
      <c r="AR233" s="273"/>
      <c r="AS233" s="39"/>
    </row>
    <row r="234" spans="1:45" ht="12.75">
      <c r="A234" s="163">
        <v>44168</v>
      </c>
      <c r="B234" s="273">
        <f>SUMIFS('Egg Tally'!$G:$G,'Egg Tally'!$C:$C,"M",'Egg Tally'!$A:$A,'Egg Collections'!$A234)</f>
        <v>0</v>
      </c>
      <c r="C234" s="273"/>
      <c r="D234" s="273">
        <f>SUMIFS('Egg Tally'!$G:$G,'Egg Tally'!$C:$C,D$1,'Egg Tally'!$A:$A,'Egg Collections'!$A234)</f>
        <v>0</v>
      </c>
      <c r="E234" s="273">
        <f>SUMIFS('Egg Tally'!$G:$G,'Egg Tally'!$C:$C,E$1,'Egg Tally'!$A:$A,'Egg Collections'!$A234)</f>
        <v>0</v>
      </c>
      <c r="F234" s="273">
        <f>SUMIFS('Egg Tally'!$G:$G,'Egg Tally'!$C:$C,F$1,'Egg Tally'!$A:$A,'Egg Collections'!$A234)</f>
        <v>0</v>
      </c>
      <c r="G234" s="273">
        <f>SUMIFS('Egg Tally'!$G:$G,'Egg Tally'!$C:$C,G$1,'Egg Tally'!$A:$A,'Egg Collections'!$A234)</f>
        <v>0</v>
      </c>
      <c r="H234" s="273">
        <f>SUMIFS('Egg Tally'!$G:$G,'Egg Tally'!$C:$C,H$1,'Egg Tally'!$A:$A,'Egg Collections'!$A234)</f>
        <v>0</v>
      </c>
      <c r="I234" s="2">
        <f t="shared" si="80"/>
        <v>0</v>
      </c>
      <c r="J234" s="17"/>
      <c r="K234" s="10"/>
      <c r="L234" s="10"/>
      <c r="M234" s="10"/>
      <c r="N234" s="10"/>
      <c r="O234" s="10"/>
      <c r="P234" s="10"/>
      <c r="Q234" s="10"/>
      <c r="R234" s="2"/>
      <c r="S234" s="273"/>
      <c r="T234" s="273"/>
      <c r="U234" s="273"/>
      <c r="V234" s="9"/>
      <c r="W234" s="273"/>
      <c r="X234" s="273"/>
      <c r="Y234" s="9"/>
      <c r="Z234" s="273"/>
      <c r="AA234" s="273"/>
      <c r="AB234" s="9">
        <f t="shared" si="72"/>
        <v>0</v>
      </c>
      <c r="AC234" s="273"/>
      <c r="AD234" s="273" t="e">
        <f t="shared" si="73"/>
        <v>#DIV/0!</v>
      </c>
      <c r="AE234" s="9">
        <f t="shared" si="81"/>
        <v>0</v>
      </c>
      <c r="AF234" s="273"/>
      <c r="AG234" s="273" t="e">
        <f t="shared" si="82"/>
        <v>#DIV/0!</v>
      </c>
      <c r="AH234" s="9">
        <f t="shared" si="83"/>
        <v>0</v>
      </c>
      <c r="AI234" s="273"/>
      <c r="AJ234" s="273" t="e">
        <f t="shared" si="84"/>
        <v>#DIV/0!</v>
      </c>
      <c r="AK234" s="9">
        <f t="shared" si="85"/>
        <v>0</v>
      </c>
      <c r="AL234" s="273"/>
      <c r="AM234" s="273" t="e">
        <f t="shared" si="86"/>
        <v>#DIV/0!</v>
      </c>
      <c r="AN234" s="9">
        <f t="shared" si="87"/>
        <v>0</v>
      </c>
      <c r="AO234" s="273"/>
      <c r="AP234" s="273" t="e">
        <f t="shared" si="88"/>
        <v>#DIV/0!</v>
      </c>
      <c r="AQ234" s="9"/>
      <c r="AR234" s="273"/>
      <c r="AS234" s="39"/>
    </row>
    <row r="235" spans="1:45" ht="12.75">
      <c r="A235" s="163">
        <v>44169</v>
      </c>
      <c r="B235" s="273">
        <f>SUMIFS('Egg Tally'!$G:$G,'Egg Tally'!$C:$C,"M",'Egg Tally'!$A:$A,'Egg Collections'!$A235)</f>
        <v>0</v>
      </c>
      <c r="C235" s="273"/>
      <c r="D235" s="273">
        <f>SUMIFS('Egg Tally'!$G:$G,'Egg Tally'!$C:$C,D$1,'Egg Tally'!$A:$A,'Egg Collections'!$A235)</f>
        <v>0</v>
      </c>
      <c r="E235" s="273">
        <f>SUMIFS('Egg Tally'!$G:$G,'Egg Tally'!$C:$C,E$1,'Egg Tally'!$A:$A,'Egg Collections'!$A235)</f>
        <v>1.9142000000000001</v>
      </c>
      <c r="F235" s="273">
        <f>SUMIFS('Egg Tally'!$G:$G,'Egg Tally'!$C:$C,F$1,'Egg Tally'!$A:$A,'Egg Collections'!$A235)</f>
        <v>10.2879</v>
      </c>
      <c r="G235" s="273">
        <f>SUMIFS('Egg Tally'!$G:$G,'Egg Tally'!$C:$C,G$1,'Egg Tally'!$A:$A,'Egg Collections'!$A235)</f>
        <v>6.1060999999999996</v>
      </c>
      <c r="H235" s="273">
        <f>SUMIFS('Egg Tally'!$G:$G,'Egg Tally'!$C:$C,H$1,'Egg Tally'!$A:$A,'Egg Collections'!$A235)</f>
        <v>0</v>
      </c>
      <c r="I235" s="2">
        <f t="shared" si="80"/>
        <v>18.308199999999999</v>
      </c>
      <c r="J235" s="17"/>
      <c r="K235" s="10"/>
      <c r="L235" s="10"/>
      <c r="M235" s="10"/>
      <c r="N235" s="10"/>
      <c r="O235" s="10"/>
      <c r="P235" s="10"/>
      <c r="Q235" s="10"/>
      <c r="R235" s="2"/>
      <c r="S235" s="273"/>
      <c r="T235" s="273"/>
      <c r="U235" s="273"/>
      <c r="V235" s="9"/>
      <c r="W235" s="273"/>
      <c r="X235" s="273"/>
      <c r="Y235" s="9"/>
      <c r="Z235" s="273"/>
      <c r="AA235" s="273"/>
      <c r="AB235" s="9">
        <f t="shared" si="72"/>
        <v>0</v>
      </c>
      <c r="AC235" s="273"/>
      <c r="AD235" s="273" t="e">
        <f t="shared" si="73"/>
        <v>#DIV/0!</v>
      </c>
      <c r="AE235" s="9">
        <f t="shared" si="81"/>
        <v>70896.296296296307</v>
      </c>
      <c r="AF235" s="273"/>
      <c r="AG235" s="273">
        <f t="shared" si="82"/>
        <v>0</v>
      </c>
      <c r="AH235" s="9">
        <f t="shared" si="83"/>
        <v>381033.33333333337</v>
      </c>
      <c r="AI235" s="273"/>
      <c r="AJ235" s="273">
        <f t="shared" si="84"/>
        <v>0</v>
      </c>
      <c r="AK235" s="9">
        <f t="shared" si="85"/>
        <v>226151.85185185185</v>
      </c>
      <c r="AL235" s="273"/>
      <c r="AM235" s="273">
        <f t="shared" si="86"/>
        <v>0</v>
      </c>
      <c r="AN235" s="9">
        <f t="shared" si="87"/>
        <v>0</v>
      </c>
      <c r="AO235" s="273"/>
      <c r="AP235" s="273" t="e">
        <f t="shared" si="88"/>
        <v>#DIV/0!</v>
      </c>
      <c r="AQ235" s="9"/>
      <c r="AR235" s="273"/>
      <c r="AS235" s="39"/>
    </row>
    <row r="236" spans="1:45" ht="12.75">
      <c r="A236" s="163">
        <v>44170</v>
      </c>
      <c r="B236" s="273">
        <f>SUMIFS('Egg Tally'!$G:$G,'Egg Tally'!$C:$C,"M",'Egg Tally'!$A:$A,'Egg Collections'!$A236)</f>
        <v>0</v>
      </c>
      <c r="C236" s="273"/>
      <c r="D236" s="273">
        <f>SUMIFS('Egg Tally'!$G:$G,'Egg Tally'!$C:$C,D$1,'Egg Tally'!$A:$A,'Egg Collections'!$A236)</f>
        <v>0</v>
      </c>
      <c r="E236" s="273">
        <f>SUMIFS('Egg Tally'!$G:$G,'Egg Tally'!$C:$C,E$1,'Egg Tally'!$A:$A,'Egg Collections'!$A236)</f>
        <v>0</v>
      </c>
      <c r="F236" s="273">
        <f>SUMIFS('Egg Tally'!$G:$G,'Egg Tally'!$C:$C,F$1,'Egg Tally'!$A:$A,'Egg Collections'!$A236)</f>
        <v>0</v>
      </c>
      <c r="G236" s="273">
        <f>SUMIFS('Egg Tally'!$G:$G,'Egg Tally'!$C:$C,G$1,'Egg Tally'!$A:$A,'Egg Collections'!$A236)</f>
        <v>0</v>
      </c>
      <c r="H236" s="273">
        <f>SUMIFS('Egg Tally'!$G:$G,'Egg Tally'!$C:$C,H$1,'Egg Tally'!$A:$A,'Egg Collections'!$A236)</f>
        <v>0</v>
      </c>
      <c r="I236" s="2">
        <f t="shared" si="80"/>
        <v>0</v>
      </c>
      <c r="J236" s="17"/>
      <c r="K236" s="10"/>
      <c r="L236" s="10"/>
      <c r="M236" s="10"/>
      <c r="N236" s="10"/>
      <c r="O236" s="10"/>
      <c r="P236" s="10"/>
      <c r="Q236" s="10"/>
      <c r="R236" s="2"/>
      <c r="S236" s="273"/>
      <c r="T236" s="273"/>
      <c r="U236" s="273"/>
      <c r="V236" s="9"/>
      <c r="W236" s="273"/>
      <c r="X236" s="273"/>
      <c r="Y236" s="9"/>
      <c r="Z236" s="273"/>
      <c r="AA236" s="273"/>
      <c r="AB236" s="9">
        <f t="shared" si="72"/>
        <v>0</v>
      </c>
      <c r="AC236" s="273"/>
      <c r="AD236" s="273" t="e">
        <f t="shared" si="73"/>
        <v>#DIV/0!</v>
      </c>
      <c r="AE236" s="9">
        <f t="shared" si="81"/>
        <v>0</v>
      </c>
      <c r="AF236" s="273"/>
      <c r="AG236" s="273" t="e">
        <f t="shared" si="82"/>
        <v>#DIV/0!</v>
      </c>
      <c r="AH236" s="9">
        <f t="shared" si="83"/>
        <v>0</v>
      </c>
      <c r="AI236" s="273"/>
      <c r="AJ236" s="273" t="e">
        <f t="shared" si="84"/>
        <v>#DIV/0!</v>
      </c>
      <c r="AK236" s="9">
        <f t="shared" si="85"/>
        <v>0</v>
      </c>
      <c r="AL236" s="273"/>
      <c r="AM236" s="273" t="e">
        <f t="shared" si="86"/>
        <v>#DIV/0!</v>
      </c>
      <c r="AN236" s="9">
        <f t="shared" si="87"/>
        <v>0</v>
      </c>
      <c r="AO236" s="273"/>
      <c r="AP236" s="273" t="e">
        <f t="shared" si="88"/>
        <v>#DIV/0!</v>
      </c>
      <c r="AQ236" s="9"/>
      <c r="AR236" s="273"/>
      <c r="AS236" s="39"/>
    </row>
    <row r="237" spans="1:45" ht="12.75">
      <c r="A237" s="163">
        <v>44171</v>
      </c>
      <c r="B237" s="273">
        <f>SUMIFS('Egg Tally'!$G:$G,'Egg Tally'!$C:$C,"M",'Egg Tally'!$A:$A,'Egg Collections'!$A237)</f>
        <v>0</v>
      </c>
      <c r="C237" s="273"/>
      <c r="D237" s="273">
        <f>SUMIFS('Egg Tally'!$G:$G,'Egg Tally'!$C:$C,D$1,'Egg Tally'!$A:$A,'Egg Collections'!$A237)</f>
        <v>0</v>
      </c>
      <c r="E237" s="273">
        <f>SUMIFS('Egg Tally'!$G:$G,'Egg Tally'!$C:$C,E$1,'Egg Tally'!$A:$A,'Egg Collections'!$A237)</f>
        <v>0</v>
      </c>
      <c r="F237" s="273">
        <f>SUMIFS('Egg Tally'!$G:$G,'Egg Tally'!$C:$C,F$1,'Egg Tally'!$A:$A,'Egg Collections'!$A237)</f>
        <v>0</v>
      </c>
      <c r="G237" s="273">
        <f>SUMIFS('Egg Tally'!$G:$G,'Egg Tally'!$C:$C,G$1,'Egg Tally'!$A:$A,'Egg Collections'!$A237)</f>
        <v>0</v>
      </c>
      <c r="H237" s="273">
        <f>SUMIFS('Egg Tally'!$G:$G,'Egg Tally'!$C:$C,H$1,'Egg Tally'!$A:$A,'Egg Collections'!$A237)</f>
        <v>0</v>
      </c>
      <c r="I237" s="2">
        <f t="shared" si="80"/>
        <v>0</v>
      </c>
      <c r="J237" s="17"/>
      <c r="K237" s="10"/>
      <c r="L237" s="10"/>
      <c r="M237" s="10"/>
      <c r="N237" s="10"/>
      <c r="O237" s="10"/>
      <c r="P237" s="10"/>
      <c r="Q237" s="10"/>
      <c r="R237" s="2"/>
      <c r="S237" s="273"/>
      <c r="T237" s="273"/>
      <c r="U237" s="273"/>
      <c r="V237" s="9"/>
      <c r="W237" s="273"/>
      <c r="X237" s="273"/>
      <c r="Y237" s="9"/>
      <c r="Z237" s="273"/>
      <c r="AA237" s="273"/>
      <c r="AB237" s="9">
        <f t="shared" si="72"/>
        <v>0</v>
      </c>
      <c r="AC237" s="273"/>
      <c r="AD237" s="273" t="e">
        <f t="shared" si="73"/>
        <v>#DIV/0!</v>
      </c>
      <c r="AE237" s="9">
        <f t="shared" si="81"/>
        <v>0</v>
      </c>
      <c r="AF237" s="273"/>
      <c r="AG237" s="273" t="e">
        <f t="shared" si="82"/>
        <v>#DIV/0!</v>
      </c>
      <c r="AH237" s="9">
        <f t="shared" si="83"/>
        <v>0</v>
      </c>
      <c r="AI237" s="273"/>
      <c r="AJ237" s="273" t="e">
        <f t="shared" si="84"/>
        <v>#DIV/0!</v>
      </c>
      <c r="AK237" s="9">
        <f t="shared" si="85"/>
        <v>0</v>
      </c>
      <c r="AL237" s="273"/>
      <c r="AM237" s="273" t="e">
        <f t="shared" si="86"/>
        <v>#DIV/0!</v>
      </c>
      <c r="AN237" s="9">
        <f t="shared" si="87"/>
        <v>0</v>
      </c>
      <c r="AO237" s="273"/>
      <c r="AP237" s="273" t="e">
        <f t="shared" si="88"/>
        <v>#DIV/0!</v>
      </c>
      <c r="AQ237" s="9"/>
      <c r="AR237" s="273"/>
      <c r="AS237" s="39"/>
    </row>
    <row r="238" spans="1:45" ht="12.75">
      <c r="A238" s="163">
        <v>44172</v>
      </c>
      <c r="B238" s="273">
        <f>SUMIFS('Egg Tally'!$G:$G,'Egg Tally'!$C:$C,"M",'Egg Tally'!$A:$A,'Egg Collections'!$A238)</f>
        <v>0</v>
      </c>
      <c r="C238" s="273"/>
      <c r="D238" s="273">
        <f>SUMIFS('Egg Tally'!$G:$G,'Egg Tally'!$C:$C,D$1,'Egg Tally'!$A:$A,'Egg Collections'!$A238)</f>
        <v>0</v>
      </c>
      <c r="E238" s="273">
        <f>SUMIFS('Egg Tally'!$G:$G,'Egg Tally'!$C:$C,E$1,'Egg Tally'!$A:$A,'Egg Collections'!$A238)</f>
        <v>0.38120000000000021</v>
      </c>
      <c r="F238" s="273">
        <f>SUMIFS('Egg Tally'!$G:$G,'Egg Tally'!$C:$C,F$1,'Egg Tally'!$A:$A,'Egg Collections'!$A238)</f>
        <v>4.4528000000000008</v>
      </c>
      <c r="G238" s="273">
        <f>SUMIFS('Egg Tally'!$G:$G,'Egg Tally'!$C:$C,G$1,'Egg Tally'!$A:$A,'Egg Collections'!$A238)</f>
        <v>2.7364000000000015</v>
      </c>
      <c r="H238" s="273">
        <f>SUMIFS('Egg Tally'!$G:$G,'Egg Tally'!$C:$C,H$1,'Egg Tally'!$A:$A,'Egg Collections'!$A238)</f>
        <v>0</v>
      </c>
      <c r="I238" s="2">
        <f t="shared" si="80"/>
        <v>7.5704000000000029</v>
      </c>
      <c r="J238" s="17"/>
      <c r="K238" s="10"/>
      <c r="L238" s="10"/>
      <c r="M238" s="10"/>
      <c r="N238" s="10"/>
      <c r="O238" s="10"/>
      <c r="P238" s="10"/>
      <c r="Q238" s="10"/>
      <c r="R238" s="2"/>
      <c r="S238" s="273"/>
      <c r="T238" s="273"/>
      <c r="U238" s="273"/>
      <c r="V238" s="9"/>
      <c r="W238" s="273"/>
      <c r="X238" s="273"/>
      <c r="Y238" s="9"/>
      <c r="Z238" s="273"/>
      <c r="AA238" s="273"/>
      <c r="AB238" s="9">
        <f t="shared" si="72"/>
        <v>0</v>
      </c>
      <c r="AC238" s="273"/>
      <c r="AD238" s="273" t="e">
        <f t="shared" si="73"/>
        <v>#DIV/0!</v>
      </c>
      <c r="AE238" s="9">
        <f t="shared" si="81"/>
        <v>14118.518518518527</v>
      </c>
      <c r="AF238" s="273"/>
      <c r="AG238" s="273">
        <f t="shared" si="82"/>
        <v>0</v>
      </c>
      <c r="AH238" s="9">
        <f t="shared" si="83"/>
        <v>164918.51851851854</v>
      </c>
      <c r="AI238" s="273"/>
      <c r="AJ238" s="273">
        <f t="shared" si="84"/>
        <v>0</v>
      </c>
      <c r="AK238" s="9">
        <f t="shared" si="85"/>
        <v>101348.1481481482</v>
      </c>
      <c r="AL238" s="273"/>
      <c r="AM238" s="273">
        <f t="shared" si="86"/>
        <v>0</v>
      </c>
      <c r="AN238" s="9">
        <f t="shared" si="87"/>
        <v>0</v>
      </c>
      <c r="AO238" s="273"/>
      <c r="AP238" s="273" t="e">
        <f t="shared" si="88"/>
        <v>#DIV/0!</v>
      </c>
      <c r="AQ238" s="9"/>
      <c r="AR238" s="273"/>
      <c r="AS238" s="39"/>
    </row>
    <row r="239" spans="1:45" ht="12.75">
      <c r="A239" s="163">
        <v>44173</v>
      </c>
      <c r="B239" s="273">
        <f>SUMIFS('Egg Tally'!$G:$G,'Egg Tally'!$C:$C,"M",'Egg Tally'!$A:$A,'Egg Collections'!$A239)</f>
        <v>0</v>
      </c>
      <c r="C239" s="273"/>
      <c r="D239" s="273">
        <f>SUMIFS('Egg Tally'!$G:$G,'Egg Tally'!$C:$C,D$1,'Egg Tally'!$A:$A,'Egg Collections'!$A239)</f>
        <v>0</v>
      </c>
      <c r="E239" s="273">
        <f>SUMIFS('Egg Tally'!$G:$G,'Egg Tally'!$C:$C,E$1,'Egg Tally'!$A:$A,'Egg Collections'!$A239)</f>
        <v>0</v>
      </c>
      <c r="F239" s="273">
        <f>SUMIFS('Egg Tally'!$G:$G,'Egg Tally'!$C:$C,F$1,'Egg Tally'!$A:$A,'Egg Collections'!$A239)</f>
        <v>0</v>
      </c>
      <c r="G239" s="273">
        <f>SUMIFS('Egg Tally'!$G:$G,'Egg Tally'!$C:$C,G$1,'Egg Tally'!$A:$A,'Egg Collections'!$A239)</f>
        <v>0</v>
      </c>
      <c r="H239" s="273">
        <f>SUMIFS('Egg Tally'!$G:$G,'Egg Tally'!$C:$C,H$1,'Egg Tally'!$A:$A,'Egg Collections'!$A239)</f>
        <v>0</v>
      </c>
      <c r="I239" s="2">
        <f t="shared" si="80"/>
        <v>0</v>
      </c>
      <c r="J239" s="17"/>
      <c r="K239" s="10"/>
      <c r="L239" s="10"/>
      <c r="M239" s="10"/>
      <c r="N239" s="10"/>
      <c r="O239" s="10"/>
      <c r="P239" s="10"/>
      <c r="Q239" s="10"/>
      <c r="R239" s="2"/>
      <c r="S239" s="273"/>
      <c r="T239" s="273"/>
      <c r="U239" s="273"/>
      <c r="V239" s="9"/>
      <c r="W239" s="273"/>
      <c r="X239" s="273"/>
      <c r="Y239" s="9"/>
      <c r="Z239" s="273"/>
      <c r="AA239" s="273"/>
      <c r="AB239" s="9">
        <f t="shared" si="72"/>
        <v>0</v>
      </c>
      <c r="AC239" s="273"/>
      <c r="AD239" s="273" t="e">
        <f t="shared" si="73"/>
        <v>#DIV/0!</v>
      </c>
      <c r="AE239" s="9">
        <f t="shared" si="81"/>
        <v>0</v>
      </c>
      <c r="AF239" s="273"/>
      <c r="AG239" s="273" t="e">
        <f t="shared" si="82"/>
        <v>#DIV/0!</v>
      </c>
      <c r="AH239" s="9">
        <f t="shared" si="83"/>
        <v>0</v>
      </c>
      <c r="AI239" s="273"/>
      <c r="AJ239" s="273" t="e">
        <f t="shared" si="84"/>
        <v>#DIV/0!</v>
      </c>
      <c r="AK239" s="9">
        <f t="shared" si="85"/>
        <v>0</v>
      </c>
      <c r="AL239" s="273"/>
      <c r="AM239" s="273" t="e">
        <f t="shared" si="86"/>
        <v>#DIV/0!</v>
      </c>
      <c r="AN239" s="9">
        <f t="shared" si="87"/>
        <v>0</v>
      </c>
      <c r="AO239" s="273"/>
      <c r="AP239" s="273" t="e">
        <f t="shared" si="88"/>
        <v>#DIV/0!</v>
      </c>
      <c r="AQ239" s="9"/>
      <c r="AR239" s="273"/>
      <c r="AS239" s="39"/>
    </row>
    <row r="240" spans="1:45" ht="12.75">
      <c r="A240" s="163">
        <v>44174</v>
      </c>
      <c r="B240" s="273">
        <f>SUMIFS('Egg Tally'!$G:$G,'Egg Tally'!$C:$C,"M",'Egg Tally'!$A:$A,'Egg Collections'!$A240)</f>
        <v>0</v>
      </c>
      <c r="C240" s="273"/>
      <c r="D240" s="273">
        <f>SUMIFS('Egg Tally'!$G:$G,'Egg Tally'!$C:$C,D$1,'Egg Tally'!$A:$A,'Egg Collections'!$A240)</f>
        <v>2.3592000000000004</v>
      </c>
      <c r="E240" s="273">
        <f>SUMIFS('Egg Tally'!$G:$G,'Egg Tally'!$C:$C,E$1,'Egg Tally'!$A:$A,'Egg Collections'!$A240)</f>
        <v>6.5499999999999226E-2</v>
      </c>
      <c r="F240" s="273">
        <f>SUMIFS('Egg Tally'!$G:$G,'Egg Tally'!$C:$C,F$1,'Egg Tally'!$A:$A,'Egg Collections'!$A240)</f>
        <v>2.7055999999999996</v>
      </c>
      <c r="G240" s="273">
        <f>SUMIFS('Egg Tally'!$G:$G,'Egg Tally'!$C:$C,G$1,'Egg Tally'!$A:$A,'Egg Collections'!$A240)</f>
        <v>1.0849000000000002</v>
      </c>
      <c r="H240" s="273">
        <f>SUMIFS('Egg Tally'!$G:$G,'Egg Tally'!$C:$C,H$1,'Egg Tally'!$A:$A,'Egg Collections'!$A240)</f>
        <v>0</v>
      </c>
      <c r="I240" s="2">
        <f t="shared" si="80"/>
        <v>6.2151999999999994</v>
      </c>
      <c r="J240" s="17"/>
      <c r="K240" s="10"/>
      <c r="L240" s="10"/>
      <c r="M240" s="10"/>
      <c r="N240" s="10"/>
      <c r="O240" s="10"/>
      <c r="P240" s="10"/>
      <c r="Q240" s="10"/>
      <c r="R240" s="2"/>
      <c r="S240" s="273"/>
      <c r="T240" s="273"/>
      <c r="U240" s="273"/>
      <c r="V240" s="9"/>
      <c r="W240" s="273"/>
      <c r="X240" s="273"/>
      <c r="Y240" s="9"/>
      <c r="Z240" s="273"/>
      <c r="AA240" s="273"/>
      <c r="AB240" s="9">
        <f t="shared" si="72"/>
        <v>87377.777777777796</v>
      </c>
      <c r="AC240" s="273"/>
      <c r="AD240" s="273">
        <f t="shared" si="73"/>
        <v>0</v>
      </c>
      <c r="AE240" s="9">
        <f t="shared" si="81"/>
        <v>2425.9259259258974</v>
      </c>
      <c r="AF240" s="273"/>
      <c r="AG240" s="273">
        <f t="shared" si="82"/>
        <v>0</v>
      </c>
      <c r="AH240" s="9">
        <f t="shared" si="83"/>
        <v>100207.4074074074</v>
      </c>
      <c r="AI240" s="273"/>
      <c r="AJ240" s="273">
        <f t="shared" si="84"/>
        <v>0</v>
      </c>
      <c r="AK240" s="9">
        <f t="shared" si="85"/>
        <v>40181.481481481489</v>
      </c>
      <c r="AL240" s="273"/>
      <c r="AM240" s="273">
        <f t="shared" si="86"/>
        <v>0</v>
      </c>
      <c r="AN240" s="9">
        <f t="shared" si="87"/>
        <v>0</v>
      </c>
      <c r="AO240" s="273"/>
      <c r="AP240" s="273" t="e">
        <f t="shared" si="88"/>
        <v>#DIV/0!</v>
      </c>
      <c r="AQ240" s="9"/>
      <c r="AR240" s="273"/>
      <c r="AS240" s="39"/>
    </row>
    <row r="241" spans="1:45" ht="12.75">
      <c r="A241" s="163">
        <v>44175</v>
      </c>
      <c r="B241" s="273">
        <f>SUMIFS('Egg Tally'!$G:$G,'Egg Tally'!$C:$C,"M",'Egg Tally'!$A:$A,'Egg Collections'!$A241)</f>
        <v>0</v>
      </c>
      <c r="C241" s="273"/>
      <c r="D241" s="273">
        <f>SUMIFS('Egg Tally'!$G:$G,'Egg Tally'!$C:$C,D$1,'Egg Tally'!$A:$A,'Egg Collections'!$A241)</f>
        <v>0</v>
      </c>
      <c r="E241" s="273">
        <f>SUMIFS('Egg Tally'!$G:$G,'Egg Tally'!$C:$C,E$1,'Egg Tally'!$A:$A,'Egg Collections'!$A241)</f>
        <v>0</v>
      </c>
      <c r="F241" s="273">
        <f>SUMIFS('Egg Tally'!$G:$G,'Egg Tally'!$C:$C,F$1,'Egg Tally'!$A:$A,'Egg Collections'!$A241)</f>
        <v>0</v>
      </c>
      <c r="G241" s="273">
        <f>SUMIFS('Egg Tally'!$G:$G,'Egg Tally'!$C:$C,G$1,'Egg Tally'!$A:$A,'Egg Collections'!$A241)</f>
        <v>0</v>
      </c>
      <c r="H241" s="273">
        <f>SUMIFS('Egg Tally'!$G:$G,'Egg Tally'!$C:$C,H$1,'Egg Tally'!$A:$A,'Egg Collections'!$A241)</f>
        <v>0</v>
      </c>
      <c r="I241" s="2">
        <f t="shared" si="80"/>
        <v>0</v>
      </c>
      <c r="J241" s="17"/>
      <c r="K241" s="10"/>
      <c r="L241" s="10"/>
      <c r="M241" s="10"/>
      <c r="N241" s="10"/>
      <c r="O241" s="10"/>
      <c r="P241" s="10"/>
      <c r="Q241" s="10"/>
      <c r="R241" s="2"/>
      <c r="S241" s="273"/>
      <c r="T241" s="273"/>
      <c r="U241" s="273"/>
      <c r="V241" s="9"/>
      <c r="W241" s="273"/>
      <c r="X241" s="273"/>
      <c r="Y241" s="9"/>
      <c r="Z241" s="273"/>
      <c r="AA241" s="273"/>
      <c r="AB241" s="9">
        <f t="shared" si="72"/>
        <v>0</v>
      </c>
      <c r="AC241" s="273"/>
      <c r="AD241" s="273" t="e">
        <f t="shared" si="73"/>
        <v>#DIV/0!</v>
      </c>
      <c r="AE241" s="9">
        <f t="shared" si="81"/>
        <v>0</v>
      </c>
      <c r="AF241" s="273"/>
      <c r="AG241" s="273" t="e">
        <f t="shared" si="82"/>
        <v>#DIV/0!</v>
      </c>
      <c r="AH241" s="9">
        <f t="shared" si="83"/>
        <v>0</v>
      </c>
      <c r="AI241" s="273"/>
      <c r="AJ241" s="273" t="e">
        <f t="shared" si="84"/>
        <v>#DIV/0!</v>
      </c>
      <c r="AK241" s="9">
        <f t="shared" si="85"/>
        <v>0</v>
      </c>
      <c r="AL241" s="273"/>
      <c r="AM241" s="273" t="e">
        <f t="shared" si="86"/>
        <v>#DIV/0!</v>
      </c>
      <c r="AN241" s="9">
        <f t="shared" si="87"/>
        <v>0</v>
      </c>
      <c r="AO241" s="273"/>
      <c r="AP241" s="273" t="e">
        <f t="shared" si="88"/>
        <v>#DIV/0!</v>
      </c>
      <c r="AQ241" s="9"/>
      <c r="AR241" s="273"/>
      <c r="AS241" s="39"/>
    </row>
    <row r="242" spans="1:45" ht="12.75">
      <c r="A242" s="163">
        <v>44176</v>
      </c>
      <c r="B242" s="273">
        <f>SUMIFS('Egg Tally'!$G:$G,'Egg Tally'!$C:$C,"M",'Egg Tally'!$A:$A,'Egg Collections'!$A242)</f>
        <v>0</v>
      </c>
      <c r="C242" s="273"/>
      <c r="D242" s="273">
        <v>1.5321</v>
      </c>
      <c r="E242" s="273">
        <f>SUMIFS('Egg Tally'!$G:$G,'Egg Tally'!$C:$C,E$1,'Egg Tally'!$A:$A,'Egg Collections'!$A242)</f>
        <v>0</v>
      </c>
      <c r="F242" s="273">
        <f>SUMIFS('Egg Tally'!$G:$G,'Egg Tally'!$C:$C,F$1,'Egg Tally'!$A:$A,'Egg Collections'!$A242)</f>
        <v>2.6912999999999991</v>
      </c>
      <c r="G242" s="273">
        <f>SUMIFS('Egg Tally'!$G:$G,'Egg Tally'!$C:$C,G$1,'Egg Tally'!$A:$A,'Egg Collections'!$A242)</f>
        <v>0.42859999999999943</v>
      </c>
      <c r="H242" s="273">
        <f>SUMIFS('Egg Tally'!$G:$G,'Egg Tally'!$C:$C,H$1,'Egg Tally'!$A:$A,'Egg Collections'!$A242)</f>
        <v>3.3943999999999992</v>
      </c>
      <c r="I242" s="2">
        <f t="shared" si="80"/>
        <v>8.0463999999999984</v>
      </c>
      <c r="J242" s="17"/>
      <c r="K242" s="10"/>
      <c r="L242" s="10"/>
      <c r="M242" s="10"/>
      <c r="N242" s="10"/>
      <c r="O242" s="10"/>
      <c r="P242" s="10"/>
      <c r="Q242" s="10"/>
      <c r="R242" s="2"/>
      <c r="S242" s="273"/>
      <c r="T242" s="273"/>
      <c r="U242" s="273"/>
      <c r="V242" s="9"/>
      <c r="W242" s="273"/>
      <c r="X242" s="273"/>
      <c r="Y242" s="9"/>
      <c r="Z242" s="273"/>
      <c r="AA242" s="273"/>
      <c r="AB242" s="9">
        <f t="shared" si="72"/>
        <v>56744.444444444445</v>
      </c>
      <c r="AC242" s="273"/>
      <c r="AD242" s="273">
        <f t="shared" si="73"/>
        <v>0</v>
      </c>
      <c r="AE242" s="9">
        <f t="shared" si="81"/>
        <v>0</v>
      </c>
      <c r="AF242" s="273"/>
      <c r="AG242" s="273" t="e">
        <f t="shared" si="82"/>
        <v>#DIV/0!</v>
      </c>
      <c r="AH242" s="9">
        <f t="shared" si="83"/>
        <v>99677.777777777752</v>
      </c>
      <c r="AI242" s="273"/>
      <c r="AJ242" s="273">
        <f t="shared" si="84"/>
        <v>0</v>
      </c>
      <c r="AK242" s="9">
        <f t="shared" si="85"/>
        <v>15874.074074074053</v>
      </c>
      <c r="AL242" s="273"/>
      <c r="AM242" s="273">
        <f t="shared" si="86"/>
        <v>0</v>
      </c>
      <c r="AN242" s="9">
        <f t="shared" si="87"/>
        <v>125718.5185185185</v>
      </c>
      <c r="AO242" s="273"/>
      <c r="AP242" s="273">
        <f t="shared" si="88"/>
        <v>0</v>
      </c>
      <c r="AQ242" s="9"/>
      <c r="AR242" s="273"/>
      <c r="AS242" s="39"/>
    </row>
    <row r="243" spans="1:45" ht="12.75">
      <c r="A243" s="163">
        <v>44177</v>
      </c>
      <c r="B243" s="273">
        <f>SUMIFS('Egg Tally'!$G:$G,'Egg Tally'!$C:$C,"M",'Egg Tally'!$A:$A,'Egg Collections'!$A243)</f>
        <v>0</v>
      </c>
      <c r="C243" s="273"/>
      <c r="D243" s="273">
        <f>SUMIFS('Egg Tally'!$G:$G,'Egg Tally'!$C:$C,D$1,'Egg Tally'!$A:$A,'Egg Collections'!$A243)</f>
        <v>0</v>
      </c>
      <c r="E243" s="273">
        <f>SUMIFS('Egg Tally'!$G:$G,'Egg Tally'!$C:$C,E$1,'Egg Tally'!$A:$A,'Egg Collections'!$A243)</f>
        <v>0</v>
      </c>
      <c r="F243" s="273">
        <f>SUMIFS('Egg Tally'!$G:$G,'Egg Tally'!$C:$C,F$1,'Egg Tally'!$A:$A,'Egg Collections'!$A243)</f>
        <v>0</v>
      </c>
      <c r="G243" s="273">
        <f>SUMIFS('Egg Tally'!$G:$G,'Egg Tally'!$C:$C,G$1,'Egg Tally'!$A:$A,'Egg Collections'!$A243)</f>
        <v>0</v>
      </c>
      <c r="H243" s="273">
        <f>SUMIFS('Egg Tally'!$G:$G,'Egg Tally'!$C:$C,H$1,'Egg Tally'!$A:$A,'Egg Collections'!$A243)</f>
        <v>0</v>
      </c>
      <c r="I243" s="2">
        <f t="shared" si="80"/>
        <v>0</v>
      </c>
      <c r="J243" s="17"/>
      <c r="K243" s="10"/>
      <c r="L243" s="10"/>
      <c r="M243" s="10"/>
      <c r="N243" s="10"/>
      <c r="O243" s="10"/>
      <c r="P243" s="10"/>
      <c r="Q243" s="10"/>
      <c r="R243" s="2"/>
      <c r="S243" s="273"/>
      <c r="T243" s="273"/>
      <c r="U243" s="273"/>
      <c r="V243" s="9"/>
      <c r="W243" s="273"/>
      <c r="X243" s="273"/>
      <c r="Y243" s="9"/>
      <c r="Z243" s="273"/>
      <c r="AA243" s="273"/>
      <c r="AB243" s="9">
        <f t="shared" ref="AB243:AB249" si="89">D243/$U$1</f>
        <v>0</v>
      </c>
      <c r="AC243" s="273"/>
      <c r="AD243" s="273" t="e">
        <f t="shared" ref="AD243:AD249" si="90">AC243/AB243%</f>
        <v>#DIV/0!</v>
      </c>
      <c r="AE243" s="9">
        <f t="shared" si="81"/>
        <v>0</v>
      </c>
      <c r="AF243" s="273"/>
      <c r="AG243" s="273" t="e">
        <f t="shared" si="82"/>
        <v>#DIV/0!</v>
      </c>
      <c r="AH243" s="9">
        <f t="shared" si="83"/>
        <v>0</v>
      </c>
      <c r="AI243" s="273"/>
      <c r="AJ243" s="273" t="e">
        <f t="shared" si="84"/>
        <v>#DIV/0!</v>
      </c>
      <c r="AK243" s="9">
        <f t="shared" si="85"/>
        <v>0</v>
      </c>
      <c r="AL243" s="273"/>
      <c r="AM243" s="273" t="e">
        <f t="shared" si="86"/>
        <v>#DIV/0!</v>
      </c>
      <c r="AN243" s="9">
        <f t="shared" si="87"/>
        <v>0</v>
      </c>
      <c r="AO243" s="273"/>
      <c r="AP243" s="273" t="e">
        <f t="shared" si="88"/>
        <v>#DIV/0!</v>
      </c>
      <c r="AQ243" s="9"/>
      <c r="AR243" s="273"/>
      <c r="AS243" s="39"/>
    </row>
    <row r="244" spans="1:45" ht="12.75">
      <c r="A244" s="163">
        <v>44178</v>
      </c>
      <c r="B244" s="273">
        <f>SUMIFS('Egg Tally'!$G:$G,'Egg Tally'!$C:$C,"M",'Egg Tally'!$A:$A,'Egg Collections'!$A244)</f>
        <v>0</v>
      </c>
      <c r="C244" s="273"/>
      <c r="D244" s="273">
        <f>SUMIFS('Egg Tally'!$G:$G,'Egg Tally'!$C:$C,D$1,'Egg Tally'!$A:$A,'Egg Collections'!$A244)</f>
        <v>0</v>
      </c>
      <c r="E244" s="273">
        <f>SUMIFS('Egg Tally'!$G:$G,'Egg Tally'!$C:$C,E$1,'Egg Tally'!$A:$A,'Egg Collections'!$A244)</f>
        <v>0</v>
      </c>
      <c r="F244" s="273">
        <f>SUMIFS('Egg Tally'!$G:$G,'Egg Tally'!$C:$C,F$1,'Egg Tally'!$A:$A,'Egg Collections'!$A244)</f>
        <v>0</v>
      </c>
      <c r="G244" s="273">
        <f>SUMIFS('Egg Tally'!$G:$G,'Egg Tally'!$C:$C,G$1,'Egg Tally'!$A:$A,'Egg Collections'!$A244)</f>
        <v>0</v>
      </c>
      <c r="H244" s="273">
        <f>SUMIFS('Egg Tally'!$G:$G,'Egg Tally'!$C:$C,H$1,'Egg Tally'!$A:$A,'Egg Collections'!$A244)</f>
        <v>0</v>
      </c>
      <c r="I244" s="2">
        <f t="shared" si="80"/>
        <v>0</v>
      </c>
      <c r="J244" s="17"/>
      <c r="K244" s="10"/>
      <c r="L244" s="10"/>
      <c r="M244" s="10"/>
      <c r="N244" s="10"/>
      <c r="O244" s="10"/>
      <c r="P244" s="10"/>
      <c r="Q244" s="10"/>
      <c r="R244" s="2"/>
      <c r="S244" s="273"/>
      <c r="T244" s="273"/>
      <c r="U244" s="273"/>
      <c r="V244" s="9"/>
      <c r="W244" s="273"/>
      <c r="X244" s="273"/>
      <c r="Y244" s="9"/>
      <c r="Z244" s="273"/>
      <c r="AA244" s="273"/>
      <c r="AB244" s="9">
        <f t="shared" si="89"/>
        <v>0</v>
      </c>
      <c r="AC244" s="273"/>
      <c r="AD244" s="273" t="e">
        <f t="shared" si="90"/>
        <v>#DIV/0!</v>
      </c>
      <c r="AE244" s="9">
        <f t="shared" si="81"/>
        <v>0</v>
      </c>
      <c r="AF244" s="273"/>
      <c r="AG244" s="273" t="e">
        <f t="shared" si="82"/>
        <v>#DIV/0!</v>
      </c>
      <c r="AH244" s="9">
        <f t="shared" si="83"/>
        <v>0</v>
      </c>
      <c r="AI244" s="273"/>
      <c r="AJ244" s="273" t="e">
        <f t="shared" si="84"/>
        <v>#DIV/0!</v>
      </c>
      <c r="AK244" s="9">
        <f t="shared" si="85"/>
        <v>0</v>
      </c>
      <c r="AL244" s="273"/>
      <c r="AM244" s="273" t="e">
        <f t="shared" si="86"/>
        <v>#DIV/0!</v>
      </c>
      <c r="AN244" s="9">
        <f t="shared" si="87"/>
        <v>0</v>
      </c>
      <c r="AO244" s="273"/>
      <c r="AP244" s="273" t="e">
        <f t="shared" si="88"/>
        <v>#DIV/0!</v>
      </c>
      <c r="AQ244" s="9"/>
      <c r="AR244" s="273"/>
      <c r="AS244" s="39"/>
    </row>
    <row r="245" spans="1:45" ht="12.75">
      <c r="A245" s="163">
        <v>44179</v>
      </c>
      <c r="B245" s="273">
        <f>SUMIFS('Egg Tally'!$G:$G,'Egg Tally'!$C:$C,"M",'Egg Tally'!$A:$A,'Egg Collections'!$A245)</f>
        <v>0</v>
      </c>
      <c r="C245" s="273"/>
      <c r="D245" s="273">
        <f>SUMIFS('Egg Tally'!$G:$G,'Egg Tally'!$C:$C,D$1,'Egg Tally'!$A:$A,'Egg Collections'!$A245)</f>
        <v>5.6566999999999998</v>
      </c>
      <c r="E245" s="273">
        <f>SUMIFS('Egg Tally'!$G:$G,'Egg Tally'!$C:$C,E$1,'Egg Tally'!$A:$A,'Egg Collections'!$A245)</f>
        <v>0</v>
      </c>
      <c r="F245" s="273">
        <f>SUMIFS('Egg Tally'!$G:$G,'Egg Tally'!$C:$C,F$1,'Egg Tally'!$A:$A,'Egg Collections'!$A245)</f>
        <v>3.6079000000000008</v>
      </c>
      <c r="G245" s="273">
        <f>SUMIFS('Egg Tally'!$G:$G,'Egg Tally'!$C:$C,G$1,'Egg Tally'!$A:$A,'Egg Collections'!$A245)</f>
        <v>0.16829999999999989</v>
      </c>
      <c r="H245" s="273">
        <f>SUMIFS('Egg Tally'!$G:$G,'Egg Tally'!$C:$C,H$1,'Egg Tally'!$A:$A,'Egg Collections'!$A245)</f>
        <v>0.99089999999999989</v>
      </c>
      <c r="I245" s="2">
        <f t="shared" ref="I245:I250" si="91">SUM(B245:H245)</f>
        <v>10.423800000000002</v>
      </c>
      <c r="J245" s="17"/>
      <c r="K245" s="10"/>
      <c r="L245" s="10"/>
      <c r="M245" s="10"/>
      <c r="N245" s="10"/>
      <c r="O245" s="10"/>
      <c r="P245" s="10"/>
      <c r="Q245" s="10"/>
      <c r="R245" s="2"/>
      <c r="S245" s="273"/>
      <c r="T245" s="273"/>
      <c r="U245" s="273"/>
      <c r="V245" s="9"/>
      <c r="W245" s="273"/>
      <c r="X245" s="273"/>
      <c r="Y245" s="9"/>
      <c r="Z245" s="273"/>
      <c r="AA245" s="273"/>
      <c r="AB245" s="9">
        <f t="shared" si="89"/>
        <v>209507.40740740742</v>
      </c>
      <c r="AC245" s="273"/>
      <c r="AD245" s="273">
        <f t="shared" si="90"/>
        <v>0</v>
      </c>
      <c r="AE245" s="9">
        <f t="shared" ref="AE245:AE249" si="92">E245/$U$1</f>
        <v>0</v>
      </c>
      <c r="AF245" s="273"/>
      <c r="AG245" s="273" t="e">
        <f t="shared" ref="AG245:AG249" si="93">AF245/AE245%</f>
        <v>#DIV/0!</v>
      </c>
      <c r="AH245" s="9">
        <f t="shared" ref="AH245:AH249" si="94">F245/$U$1</f>
        <v>133625.92592592596</v>
      </c>
      <c r="AI245" s="273"/>
      <c r="AJ245" s="273">
        <f t="shared" ref="AJ245:AJ249" si="95">AI245/AH245%</f>
        <v>0</v>
      </c>
      <c r="AK245" s="9">
        <f t="shared" ref="AK245:AK249" si="96">G245/$U$1</f>
        <v>6233.3333333333294</v>
      </c>
      <c r="AL245" s="273"/>
      <c r="AM245" s="273">
        <f t="shared" ref="AM245:AM249" si="97">AL245/AK245%</f>
        <v>0</v>
      </c>
      <c r="AN245" s="9">
        <f t="shared" ref="AN245:AN249" si="98">H245/$U$1</f>
        <v>36700</v>
      </c>
      <c r="AO245" s="273"/>
      <c r="AP245" s="273">
        <f t="shared" ref="AP245:AP249" si="99">AO245/AN245%</f>
        <v>0</v>
      </c>
      <c r="AQ245" s="9"/>
      <c r="AR245" s="273"/>
      <c r="AS245" s="39"/>
    </row>
    <row r="246" spans="1:45" ht="12.75">
      <c r="A246" s="163">
        <v>44180</v>
      </c>
      <c r="B246" s="273">
        <f>SUMIFS('Egg Tally'!$G:$G,'Egg Tally'!$C:$C,"M",'Egg Tally'!$A:$A,'Egg Collections'!$A246)</f>
        <v>0</v>
      </c>
      <c r="C246" s="273"/>
      <c r="D246" s="273">
        <f>SUMIFS('Egg Tally'!$G:$G,'Egg Tally'!$C:$C,D$1,'Egg Tally'!$A:$A,'Egg Collections'!$A246)</f>
        <v>0</v>
      </c>
      <c r="E246" s="273">
        <f>SUMIFS('Egg Tally'!$G:$G,'Egg Tally'!$C:$C,E$1,'Egg Tally'!$A:$A,'Egg Collections'!$A246)</f>
        <v>0</v>
      </c>
      <c r="F246" s="273">
        <f>SUMIFS('Egg Tally'!$G:$G,'Egg Tally'!$C:$C,F$1,'Egg Tally'!$A:$A,'Egg Collections'!$A246)</f>
        <v>0</v>
      </c>
      <c r="G246" s="273">
        <f>SUMIFS('Egg Tally'!$G:$G,'Egg Tally'!$C:$C,G$1,'Egg Tally'!$A:$A,'Egg Collections'!$A246)</f>
        <v>0</v>
      </c>
      <c r="H246" s="273">
        <f>SUMIFS('Egg Tally'!$G:$G,'Egg Tally'!$C:$C,H$1,'Egg Tally'!$A:$A,'Egg Collections'!$A246)</f>
        <v>8.5842999999999989</v>
      </c>
      <c r="I246" s="2">
        <f t="shared" si="91"/>
        <v>8.5842999999999989</v>
      </c>
      <c r="J246" s="17"/>
      <c r="K246" s="10"/>
      <c r="L246" s="10"/>
      <c r="M246" s="10"/>
      <c r="N246" s="10"/>
      <c r="O246" s="10"/>
      <c r="P246" s="10"/>
      <c r="Q246" s="10"/>
      <c r="R246" s="2"/>
      <c r="S246" s="273"/>
      <c r="T246" s="273"/>
      <c r="U246" s="273"/>
      <c r="V246" s="9"/>
      <c r="W246" s="273"/>
      <c r="X246" s="273"/>
      <c r="Y246" s="9"/>
      <c r="Z246" s="273"/>
      <c r="AA246" s="273"/>
      <c r="AB246" s="9">
        <f t="shared" si="89"/>
        <v>0</v>
      </c>
      <c r="AC246" s="273"/>
      <c r="AD246" s="273" t="e">
        <f t="shared" si="90"/>
        <v>#DIV/0!</v>
      </c>
      <c r="AE246" s="9">
        <f t="shared" si="92"/>
        <v>0</v>
      </c>
      <c r="AF246" s="273"/>
      <c r="AG246" s="273" t="e">
        <f t="shared" si="93"/>
        <v>#DIV/0!</v>
      </c>
      <c r="AH246" s="9">
        <f t="shared" si="94"/>
        <v>0</v>
      </c>
      <c r="AI246" s="273"/>
      <c r="AJ246" s="273" t="e">
        <f t="shared" si="95"/>
        <v>#DIV/0!</v>
      </c>
      <c r="AK246" s="9">
        <f t="shared" si="96"/>
        <v>0</v>
      </c>
      <c r="AL246" s="273"/>
      <c r="AM246" s="273" t="e">
        <f t="shared" si="97"/>
        <v>#DIV/0!</v>
      </c>
      <c r="AN246" s="9">
        <f t="shared" si="98"/>
        <v>317937.03703703702</v>
      </c>
      <c r="AO246" s="273"/>
      <c r="AP246" s="273">
        <f t="shared" si="99"/>
        <v>0</v>
      </c>
      <c r="AQ246" s="9"/>
      <c r="AR246" s="273"/>
      <c r="AS246" s="39"/>
    </row>
    <row r="247" spans="1:45" ht="12.75">
      <c r="A247" s="163">
        <v>44181</v>
      </c>
      <c r="B247" s="273">
        <f>SUMIFS('Egg Tally'!$G:$G,'Egg Tally'!$C:$C,"M",'Egg Tally'!$A:$A,'Egg Collections'!$A247)</f>
        <v>0</v>
      </c>
      <c r="C247" s="273"/>
      <c r="D247" s="273">
        <f>SUMIFS('Egg Tally'!$G:$G,'Egg Tally'!$C:$C,D$1,'Egg Tally'!$A:$A,'Egg Collections'!$A247)</f>
        <v>10.541200000000003</v>
      </c>
      <c r="E247" s="273">
        <f>SUMIFS('Egg Tally'!$G:$G,'Egg Tally'!$C:$C,E$1,'Egg Tally'!$A:$A,'Egg Collections'!$A247)</f>
        <v>0</v>
      </c>
      <c r="F247" s="273">
        <f>SUMIFS('Egg Tally'!$G:$G,'Egg Tally'!$C:$C,F$1,'Egg Tally'!$A:$A,'Egg Collections'!$A247)</f>
        <v>4.4398999999999988</v>
      </c>
      <c r="G247" s="273">
        <f>SUMIFS('Egg Tally'!$G:$G,'Egg Tally'!$C:$C,G$1,'Egg Tally'!$A:$A,'Egg Collections'!$A247)</f>
        <v>0.19150000000000045</v>
      </c>
      <c r="H247" s="273">
        <f>SUMIFS('Egg Tally'!$G:$G,'Egg Tally'!$C:$C,H$1,'Egg Tally'!$A:$A,'Egg Collections'!$A247)</f>
        <v>3.8166000000000002</v>
      </c>
      <c r="I247" s="2">
        <f t="shared" si="91"/>
        <v>18.989200000000004</v>
      </c>
      <c r="J247" s="17"/>
      <c r="K247" s="10"/>
      <c r="L247" s="10"/>
      <c r="M247" s="10"/>
      <c r="N247" s="10"/>
      <c r="O247" s="10"/>
      <c r="P247" s="10"/>
      <c r="Q247" s="10"/>
      <c r="R247" s="2"/>
      <c r="S247" s="273"/>
      <c r="T247" s="273"/>
      <c r="U247" s="273"/>
      <c r="V247" s="9"/>
      <c r="W247" s="273"/>
      <c r="X247" s="273"/>
      <c r="Y247" s="9"/>
      <c r="Z247" s="273"/>
      <c r="AA247" s="273"/>
      <c r="AB247" s="9">
        <f t="shared" si="89"/>
        <v>390414.81481481495</v>
      </c>
      <c r="AC247" s="273"/>
      <c r="AD247" s="273">
        <f t="shared" si="90"/>
        <v>0</v>
      </c>
      <c r="AE247" s="9">
        <f t="shared" si="92"/>
        <v>0</v>
      </c>
      <c r="AF247" s="273"/>
      <c r="AG247" s="273" t="e">
        <f t="shared" si="93"/>
        <v>#DIV/0!</v>
      </c>
      <c r="AH247" s="9">
        <f t="shared" si="94"/>
        <v>164440.7407407407</v>
      </c>
      <c r="AI247" s="273"/>
      <c r="AJ247" s="273">
        <f t="shared" si="95"/>
        <v>0</v>
      </c>
      <c r="AK247" s="9">
        <f t="shared" si="96"/>
        <v>7092.5925925926094</v>
      </c>
      <c r="AL247" s="273"/>
      <c r="AM247" s="273">
        <f t="shared" si="97"/>
        <v>0</v>
      </c>
      <c r="AN247" s="9">
        <f t="shared" si="98"/>
        <v>141355.55555555556</v>
      </c>
      <c r="AO247" s="273"/>
      <c r="AP247" s="273">
        <f t="shared" si="99"/>
        <v>0</v>
      </c>
      <c r="AQ247" s="9"/>
      <c r="AR247" s="273"/>
      <c r="AS247" s="39"/>
    </row>
    <row r="248" spans="1:45" ht="12.75">
      <c r="A248" s="163">
        <v>44182</v>
      </c>
      <c r="B248" s="273">
        <f>SUMIFS('Egg Tally'!$G:$G,'Egg Tally'!$C:$C,"M",'Egg Tally'!$A:$A,'Egg Collections'!$A248)</f>
        <v>0</v>
      </c>
      <c r="C248" s="273"/>
      <c r="D248" s="273">
        <f>SUMIFS('Egg Tally'!$G:$G,'Egg Tally'!$C:$C,D$1,'Egg Tally'!$A:$A,'Egg Collections'!$A248)</f>
        <v>0</v>
      </c>
      <c r="E248" s="273">
        <f>SUMIFS('Egg Tally'!$G:$G,'Egg Tally'!$C:$C,E$1,'Egg Tally'!$A:$A,'Egg Collections'!$A248)</f>
        <v>0</v>
      </c>
      <c r="F248" s="273">
        <f>SUMIFS('Egg Tally'!$G:$G,'Egg Tally'!$C:$C,F$1,'Egg Tally'!$A:$A,'Egg Collections'!$A248)</f>
        <v>0</v>
      </c>
      <c r="G248" s="273">
        <f>SUMIFS('Egg Tally'!$G:$G,'Egg Tally'!$C:$C,G$1,'Egg Tally'!$A:$A,'Egg Collections'!$A248)</f>
        <v>0</v>
      </c>
      <c r="H248" s="273">
        <f>SUMIFS('Egg Tally'!$G:$G,'Egg Tally'!$C:$C,H$1,'Egg Tally'!$A:$A,'Egg Collections'!$A248)</f>
        <v>0</v>
      </c>
      <c r="I248" s="2">
        <f t="shared" si="91"/>
        <v>0</v>
      </c>
      <c r="J248" s="17"/>
      <c r="K248" s="10"/>
      <c r="L248" s="10"/>
      <c r="M248" s="10"/>
      <c r="N248" s="10"/>
      <c r="O248" s="10"/>
      <c r="P248" s="10"/>
      <c r="Q248" s="10"/>
      <c r="R248" s="2"/>
      <c r="S248" s="273"/>
      <c r="T248" s="273"/>
      <c r="U248" s="273"/>
      <c r="V248" s="9"/>
      <c r="W248" s="273"/>
      <c r="X248" s="273"/>
      <c r="Y248" s="9"/>
      <c r="Z248" s="273"/>
      <c r="AA248" s="273"/>
      <c r="AB248" s="9">
        <f t="shared" si="89"/>
        <v>0</v>
      </c>
      <c r="AC248" s="273"/>
      <c r="AD248" s="273" t="e">
        <f t="shared" si="90"/>
        <v>#DIV/0!</v>
      </c>
      <c r="AE248" s="9">
        <f t="shared" si="92"/>
        <v>0</v>
      </c>
      <c r="AF248" s="273"/>
      <c r="AG248" s="273" t="e">
        <f t="shared" si="93"/>
        <v>#DIV/0!</v>
      </c>
      <c r="AH248" s="9">
        <f t="shared" si="94"/>
        <v>0</v>
      </c>
      <c r="AI248" s="273"/>
      <c r="AJ248" s="273" t="e">
        <f t="shared" si="95"/>
        <v>#DIV/0!</v>
      </c>
      <c r="AK248" s="9">
        <f t="shared" si="96"/>
        <v>0</v>
      </c>
      <c r="AL248" s="273"/>
      <c r="AM248" s="273" t="e">
        <f t="shared" si="97"/>
        <v>#DIV/0!</v>
      </c>
      <c r="AN248" s="9">
        <f t="shared" si="98"/>
        <v>0</v>
      </c>
      <c r="AO248" s="273"/>
      <c r="AP248" s="273" t="e">
        <f t="shared" si="99"/>
        <v>#DIV/0!</v>
      </c>
      <c r="AQ248" s="9"/>
      <c r="AR248" s="273"/>
      <c r="AS248" s="39"/>
    </row>
    <row r="249" spans="1:45" ht="12.75">
      <c r="A249" s="163">
        <v>44183</v>
      </c>
      <c r="B249" s="273">
        <f>SUMIFS('Egg Tally'!$G:$G,'Egg Tally'!$C:$C,"M",'Egg Tally'!$A:$A,'Egg Collections'!$A249)</f>
        <v>0</v>
      </c>
      <c r="C249" s="273"/>
      <c r="D249" s="273">
        <f>SUMIFS('Egg Tally'!$G:$G,'Egg Tally'!$C:$C,D$1,'Egg Tally'!$A:$A,'Egg Collections'!$A249)</f>
        <v>4.7481999999999989</v>
      </c>
      <c r="E249" s="273">
        <f>SUMIFS('Egg Tally'!$G:$G,'Egg Tally'!$C:$C,E$1,'Egg Tally'!$A:$A,'Egg Collections'!$A249)</f>
        <v>0</v>
      </c>
      <c r="F249" s="273">
        <f>SUMIFS('Egg Tally'!$G:$G,'Egg Tally'!$C:$C,F$1,'Egg Tally'!$A:$A,'Egg Collections'!$A249)</f>
        <v>3.1486999999999998</v>
      </c>
      <c r="G249" s="273">
        <f>SUMIFS('Egg Tally'!$G:$G,'Egg Tally'!$C:$C,G$1,'Egg Tally'!$A:$A,'Egg Collections'!$A249)</f>
        <v>2.8390599999999999</v>
      </c>
      <c r="H249" s="273">
        <f>SUMIFS('Egg Tally'!$G:$G,'Egg Tally'!$C:$C,H$1,'Egg Tally'!$A:$A,'Egg Collections'!$A249)</f>
        <v>15.687199999999997</v>
      </c>
      <c r="I249" s="2">
        <f t="shared" si="91"/>
        <v>26.423159999999996</v>
      </c>
      <c r="J249" s="17"/>
      <c r="K249" s="10"/>
      <c r="L249" s="10"/>
      <c r="M249" s="10"/>
      <c r="N249" s="10"/>
      <c r="O249" s="10"/>
      <c r="P249" s="10"/>
      <c r="Q249" s="10"/>
      <c r="R249" s="2"/>
      <c r="S249" s="273"/>
      <c r="T249" s="273"/>
      <c r="U249" s="273"/>
      <c r="V249" s="9"/>
      <c r="W249" s="273"/>
      <c r="X249" s="273"/>
      <c r="Y249" s="9"/>
      <c r="Z249" s="273"/>
      <c r="AA249" s="273"/>
      <c r="AB249" s="9">
        <f t="shared" si="89"/>
        <v>175859.25925925921</v>
      </c>
      <c r="AC249" s="273"/>
      <c r="AD249" s="273">
        <f t="shared" si="90"/>
        <v>0</v>
      </c>
      <c r="AE249" s="9">
        <f t="shared" si="92"/>
        <v>0</v>
      </c>
      <c r="AF249" s="273"/>
      <c r="AG249" s="273" t="e">
        <f t="shared" si="93"/>
        <v>#DIV/0!</v>
      </c>
      <c r="AH249" s="9">
        <f t="shared" si="94"/>
        <v>116618.51851851851</v>
      </c>
      <c r="AI249" s="273"/>
      <c r="AJ249" s="273">
        <f t="shared" si="95"/>
        <v>0</v>
      </c>
      <c r="AK249" s="9">
        <f t="shared" si="96"/>
        <v>105150.37037037036</v>
      </c>
      <c r="AL249" s="273"/>
      <c r="AM249" s="273">
        <f t="shared" si="97"/>
        <v>0</v>
      </c>
      <c r="AN249" s="9">
        <f t="shared" si="98"/>
        <v>581007.4074074073</v>
      </c>
      <c r="AO249" s="273"/>
      <c r="AP249" s="273">
        <f t="shared" si="99"/>
        <v>0</v>
      </c>
      <c r="AQ249" s="9"/>
      <c r="AR249" s="273"/>
      <c r="AS249" s="39"/>
    </row>
    <row r="250" spans="1:45" ht="12.75">
      <c r="A250" s="163">
        <v>44184</v>
      </c>
      <c r="B250" s="273">
        <f>SUMIFS('Egg Tally'!$G:$G,'Egg Tally'!$C:$C,"M",'Egg Tally'!$A:$A,'Egg Collections'!$A250)</f>
        <v>0</v>
      </c>
      <c r="C250" s="273"/>
      <c r="D250" s="273">
        <f>SUMIFS('Egg Tally'!$G:$G,'Egg Tally'!$C:$C,D$1,'Egg Tally'!$A:$A,'Egg Collections'!$A250)</f>
        <v>0</v>
      </c>
      <c r="E250" s="273">
        <f>SUMIFS('Egg Tally'!$G:$G,'Egg Tally'!$C:$C,E$1,'Egg Tally'!$A:$A,'Egg Collections'!$A250)</f>
        <v>0</v>
      </c>
      <c r="F250" s="273">
        <f>SUMIFS('Egg Tally'!$G:$G,'Egg Tally'!$C:$C,F$1,'Egg Tally'!$A:$A,'Egg Collections'!$A250)</f>
        <v>0</v>
      </c>
      <c r="G250" s="273">
        <f>SUMIFS('Egg Tally'!$G:$G,'Egg Tally'!$C:$C,G$1,'Egg Tally'!$A:$A,'Egg Collections'!$A250)</f>
        <v>0</v>
      </c>
      <c r="H250" s="273">
        <f>SUMIFS('Egg Tally'!$G:$G,'Egg Tally'!$C:$C,H$1,'Egg Tally'!$A:$A,'Egg Collections'!$A250)</f>
        <v>0</v>
      </c>
      <c r="I250" s="2">
        <f t="shared" si="91"/>
        <v>0</v>
      </c>
      <c r="J250" s="17"/>
      <c r="K250" s="10"/>
      <c r="L250" s="10"/>
      <c r="M250" s="10"/>
      <c r="N250" s="10"/>
      <c r="O250" s="10"/>
      <c r="P250" s="10"/>
      <c r="Q250" s="10"/>
      <c r="R250" s="2"/>
      <c r="S250" s="273"/>
      <c r="T250" s="273"/>
      <c r="U250" s="273"/>
      <c r="V250" s="9"/>
      <c r="W250" s="273"/>
      <c r="X250" s="273"/>
      <c r="Y250" s="9"/>
      <c r="Z250" s="273"/>
      <c r="AA250" s="273"/>
      <c r="AB250" s="9"/>
      <c r="AC250" s="273"/>
      <c r="AD250" s="273"/>
      <c r="AE250" s="9"/>
      <c r="AF250" s="273"/>
      <c r="AG250" s="273"/>
      <c r="AH250" s="9"/>
      <c r="AI250" s="273"/>
      <c r="AJ250" s="273"/>
      <c r="AK250" s="9"/>
      <c r="AL250" s="273"/>
      <c r="AM250" s="273"/>
      <c r="AN250" s="9"/>
      <c r="AO250" s="273"/>
      <c r="AP250" s="273"/>
      <c r="AQ250" s="9"/>
      <c r="AR250" s="273"/>
      <c r="AS250" s="39"/>
    </row>
    <row r="251" spans="1:45" ht="12.75">
      <c r="A251" s="163">
        <v>44185</v>
      </c>
      <c r="B251" s="273">
        <f>SUMIFS('Egg Tally'!$G:$G,'Egg Tally'!$C:$C,"M",'Egg Tally'!$A:$A,'Egg Collections'!$A251)</f>
        <v>0</v>
      </c>
      <c r="C251" s="273"/>
      <c r="D251" s="273">
        <f>SUMIFS('Egg Tally'!$G:$G,'Egg Tally'!$C:$C,D$1,'Egg Tally'!$A:$A,'Egg Collections'!$A251)</f>
        <v>0</v>
      </c>
      <c r="E251" s="273">
        <f>SUMIFS('Egg Tally'!$G:$G,'Egg Tally'!$C:$C,E$1,'Egg Tally'!$A:$A,'Egg Collections'!$A251)</f>
        <v>0</v>
      </c>
      <c r="F251" s="273">
        <f>SUMIFS('Egg Tally'!$G:$G,'Egg Tally'!$C:$C,F$1,'Egg Tally'!$A:$A,'Egg Collections'!$A251)</f>
        <v>0</v>
      </c>
      <c r="G251" s="273">
        <f>SUMIFS('Egg Tally'!$G:$G,'Egg Tally'!$C:$C,G$1,'Egg Tally'!$A:$A,'Egg Collections'!$A251)</f>
        <v>0</v>
      </c>
      <c r="H251" s="273">
        <f>SUMIFS('Egg Tally'!$G:$G,'Egg Tally'!$C:$C,H$1,'Egg Tally'!$A:$A,'Egg Collections'!$A251)</f>
        <v>0</v>
      </c>
      <c r="I251" s="2">
        <f t="shared" ref="I251:I263" si="100">SUM(B251:H251)</f>
        <v>0</v>
      </c>
      <c r="J251" s="17"/>
      <c r="K251" s="10"/>
      <c r="L251" s="10"/>
      <c r="M251" s="10"/>
      <c r="N251" s="10"/>
      <c r="O251" s="10"/>
      <c r="P251" s="10"/>
      <c r="Q251" s="10"/>
      <c r="R251" s="2"/>
      <c r="S251" s="273"/>
      <c r="T251" s="273"/>
      <c r="U251" s="273"/>
      <c r="V251" s="9"/>
      <c r="W251" s="273"/>
      <c r="X251" s="273"/>
      <c r="Y251" s="9"/>
      <c r="Z251" s="273"/>
      <c r="AA251" s="273"/>
      <c r="AB251" s="9"/>
      <c r="AC251" s="273"/>
      <c r="AD251" s="273"/>
      <c r="AE251" s="9"/>
      <c r="AF251" s="273"/>
      <c r="AG251" s="273"/>
      <c r="AH251" s="9"/>
      <c r="AI251" s="273"/>
      <c r="AJ251" s="273"/>
      <c r="AK251" s="9"/>
      <c r="AL251" s="273"/>
      <c r="AM251" s="273"/>
      <c r="AN251" s="9"/>
      <c r="AO251" s="273"/>
      <c r="AP251" s="273"/>
      <c r="AQ251" s="9"/>
      <c r="AR251" s="273"/>
      <c r="AS251" s="39"/>
    </row>
    <row r="252" spans="1:45" ht="12.75">
      <c r="A252" s="163">
        <v>44186</v>
      </c>
      <c r="B252" s="273">
        <f>SUMIFS('Egg Tally'!$G:$G,'Egg Tally'!$C:$C,"M",'Egg Tally'!$A:$A,'Egg Collections'!$A252)</f>
        <v>0</v>
      </c>
      <c r="C252" s="273"/>
      <c r="D252" s="273">
        <f>SUMIFS('Egg Tally'!$G:$G,'Egg Tally'!$C:$C,D$1,'Egg Tally'!$A:$A,'Egg Collections'!$A252)</f>
        <v>6.5985000000000005</v>
      </c>
      <c r="E252" s="273">
        <f>SUMIFS('Egg Tally'!$G:$G,'Egg Tally'!$C:$C,E$1,'Egg Tally'!$A:$A,'Egg Collections'!$A252)</f>
        <v>0</v>
      </c>
      <c r="F252" s="273">
        <f>SUMIFS('Egg Tally'!$G:$G,'Egg Tally'!$C:$C,F$1,'Egg Tally'!$A:$A,'Egg Collections'!$A252)</f>
        <v>3.0834000000000001</v>
      </c>
      <c r="G252" s="273">
        <f>SUMIFS('Egg Tally'!$G:$G,'Egg Tally'!$C:$C,G$1,'Egg Tally'!$A:$A,'Egg Collections'!$A252)</f>
        <v>6.7363</v>
      </c>
      <c r="H252" s="273">
        <f>SUMIFS('Egg Tally'!$G:$G,'Egg Tally'!$C:$C,H$1,'Egg Tally'!$A:$A,'Egg Collections'!$A252)</f>
        <v>10.617900000000001</v>
      </c>
      <c r="I252" s="2">
        <f t="shared" si="100"/>
        <v>27.036099999999998</v>
      </c>
      <c r="J252" s="17"/>
      <c r="K252" s="10"/>
      <c r="L252" s="10"/>
      <c r="M252" s="10"/>
      <c r="N252" s="10"/>
      <c r="O252" s="10"/>
      <c r="P252" s="10"/>
      <c r="Q252" s="10"/>
      <c r="R252" s="2"/>
      <c r="S252" s="273"/>
      <c r="T252" s="273"/>
      <c r="U252" s="273"/>
      <c r="V252" s="9"/>
      <c r="W252" s="273"/>
      <c r="X252" s="273"/>
      <c r="Y252" s="9"/>
      <c r="Z252" s="273"/>
      <c r="AA252" s="273"/>
      <c r="AB252" s="9"/>
      <c r="AC252" s="273"/>
      <c r="AD252" s="273"/>
      <c r="AE252" s="9"/>
      <c r="AF252" s="273"/>
      <c r="AG252" s="273"/>
      <c r="AH252" s="9"/>
      <c r="AI252" s="273"/>
      <c r="AJ252" s="273"/>
      <c r="AK252" s="9"/>
      <c r="AL252" s="273"/>
      <c r="AM252" s="273"/>
      <c r="AN252" s="9"/>
      <c r="AO252" s="273"/>
      <c r="AP252" s="273"/>
      <c r="AQ252" s="9"/>
      <c r="AR252" s="273"/>
      <c r="AS252" s="39"/>
    </row>
    <row r="253" spans="1:45" ht="12.75">
      <c r="A253" s="163">
        <v>44187</v>
      </c>
      <c r="B253" s="273">
        <f>SUMIFS('Egg Tally'!$G:$G,'Egg Tally'!$C:$C,"M",'Egg Tally'!$A:$A,'Egg Collections'!$A253)</f>
        <v>0</v>
      </c>
      <c r="C253" s="273"/>
      <c r="D253" s="273">
        <f>SUMIFS('Egg Tally'!$G:$G,'Egg Tally'!$C:$C,D$1,'Egg Tally'!$A:$A,'Egg Collections'!$A253)</f>
        <v>0</v>
      </c>
      <c r="E253" s="273">
        <f>SUMIFS('Egg Tally'!$G:$G,'Egg Tally'!$C:$C,E$1,'Egg Tally'!$A:$A,'Egg Collections'!$A253)</f>
        <v>0</v>
      </c>
      <c r="F253" s="273">
        <f>SUMIFS('Egg Tally'!$G:$G,'Egg Tally'!$C:$C,F$1,'Egg Tally'!$A:$A,'Egg Collections'!$A253)</f>
        <v>0</v>
      </c>
      <c r="G253" s="273">
        <f>SUMIFS('Egg Tally'!$G:$G,'Egg Tally'!$C:$C,G$1,'Egg Tally'!$A:$A,'Egg Collections'!$A253)</f>
        <v>0</v>
      </c>
      <c r="H253" s="273">
        <f>SUMIFS('Egg Tally'!$G:$G,'Egg Tally'!$C:$C,H$1,'Egg Tally'!$A:$A,'Egg Collections'!$A253)</f>
        <v>0</v>
      </c>
      <c r="I253" s="2">
        <f t="shared" si="100"/>
        <v>0</v>
      </c>
      <c r="J253" s="17"/>
      <c r="K253" s="10"/>
      <c r="L253" s="10"/>
      <c r="M253" s="10"/>
      <c r="N253" s="10"/>
      <c r="O253" s="10"/>
      <c r="P253" s="10"/>
      <c r="Q253" s="10"/>
      <c r="R253" s="2"/>
      <c r="S253" s="273"/>
      <c r="T253" s="273"/>
      <c r="U253" s="273"/>
      <c r="V253" s="9"/>
      <c r="W253" s="273"/>
      <c r="X253" s="273"/>
      <c r="Y253" s="9"/>
      <c r="Z253" s="273"/>
      <c r="AA253" s="273"/>
      <c r="AB253" s="9"/>
      <c r="AC253" s="273"/>
      <c r="AD253" s="273"/>
      <c r="AE253" s="9"/>
      <c r="AF253" s="273"/>
      <c r="AG253" s="273"/>
      <c r="AH253" s="9"/>
      <c r="AI253" s="273"/>
      <c r="AJ253" s="273"/>
      <c r="AK253" s="9"/>
      <c r="AL253" s="273"/>
      <c r="AM253" s="273"/>
      <c r="AN253" s="9"/>
      <c r="AO253" s="273"/>
      <c r="AP253" s="273"/>
      <c r="AQ253" s="9"/>
      <c r="AR253" s="273"/>
      <c r="AS253" s="39"/>
    </row>
    <row r="254" spans="1:45" ht="12.75">
      <c r="A254" s="163">
        <v>44188</v>
      </c>
      <c r="B254" s="273">
        <f>SUMIFS('Egg Tally'!$G:$G,'Egg Tally'!$C:$C,"M",'Egg Tally'!$A:$A,'Egg Collections'!$A254)</f>
        <v>0</v>
      </c>
      <c r="C254" s="273"/>
      <c r="D254" s="273">
        <f>SUMIFS('Egg Tally'!$G:$G,'Egg Tally'!$C:$C,D$1,'Egg Tally'!$A:$A,'Egg Collections'!$A254)</f>
        <v>2.9896999999999991</v>
      </c>
      <c r="E254" s="273">
        <f>SUMIFS('Egg Tally'!$G:$G,'Egg Tally'!$C:$C,E$1,'Egg Tally'!$A:$A,'Egg Collections'!$A254)</f>
        <v>0</v>
      </c>
      <c r="F254" s="273">
        <f>SUMIFS('Egg Tally'!$G:$G,'Egg Tally'!$C:$C,F$1,'Egg Tally'!$A:$A,'Egg Collections'!$A254)</f>
        <v>1.2410000000000005</v>
      </c>
      <c r="G254" s="273">
        <f>SUMIFS('Egg Tally'!$G:$G,'Egg Tally'!$C:$C,G$1,'Egg Tally'!$A:$A,'Egg Collections'!$A254)</f>
        <v>2.9303000000000003</v>
      </c>
      <c r="H254" s="273">
        <f>SUMIFS('Egg Tally'!$G:$G,'Egg Tally'!$C:$C,H$1,'Egg Tally'!$A:$A,'Egg Collections'!$A254)</f>
        <v>5.3635000000000002</v>
      </c>
      <c r="I254" s="2">
        <f t="shared" si="100"/>
        <v>12.5245</v>
      </c>
      <c r="J254" s="17"/>
      <c r="K254" s="10"/>
      <c r="L254" s="10"/>
      <c r="M254" s="10"/>
      <c r="N254" s="10"/>
      <c r="O254" s="10"/>
      <c r="P254" s="10"/>
      <c r="Q254" s="10"/>
      <c r="R254" s="2"/>
      <c r="S254" s="273"/>
      <c r="T254" s="273"/>
      <c r="U254" s="273"/>
      <c r="V254" s="9"/>
      <c r="W254" s="273"/>
      <c r="X254" s="273"/>
      <c r="Y254" s="9"/>
      <c r="Z254" s="273"/>
      <c r="AA254" s="273"/>
      <c r="AB254" s="9"/>
      <c r="AC254" s="273"/>
      <c r="AD254" s="273"/>
      <c r="AE254" s="9"/>
      <c r="AF254" s="273"/>
      <c r="AG254" s="273"/>
      <c r="AH254" s="9"/>
      <c r="AI254" s="273"/>
      <c r="AJ254" s="273"/>
      <c r="AK254" s="9"/>
      <c r="AL254" s="273"/>
      <c r="AM254" s="273"/>
      <c r="AN254" s="9"/>
      <c r="AO254" s="273"/>
      <c r="AP254" s="273"/>
      <c r="AQ254" s="9"/>
      <c r="AR254" s="273"/>
      <c r="AS254" s="39"/>
    </row>
    <row r="255" spans="1:45" ht="12.75">
      <c r="A255" s="163">
        <v>44189</v>
      </c>
      <c r="B255" s="273">
        <f>SUMIFS('Egg Tally'!$G:$G,'Egg Tally'!$C:$C,"M",'Egg Tally'!$A:$A,'Egg Collections'!$A255)</f>
        <v>0</v>
      </c>
      <c r="C255" s="273"/>
      <c r="D255" s="273">
        <f>SUMIFS('Egg Tally'!$G:$G,'Egg Tally'!$C:$C,D$1,'Egg Tally'!$A:$A,'Egg Collections'!$A255)</f>
        <v>0</v>
      </c>
      <c r="E255" s="273">
        <f>SUMIFS('Egg Tally'!$G:$G,'Egg Tally'!$C:$C,E$1,'Egg Tally'!$A:$A,'Egg Collections'!$A255)</f>
        <v>0</v>
      </c>
      <c r="F255" s="273">
        <f>SUMIFS('Egg Tally'!$G:$G,'Egg Tally'!$C:$C,F$1,'Egg Tally'!$A:$A,'Egg Collections'!$A255)</f>
        <v>0</v>
      </c>
      <c r="G255" s="273">
        <f>SUMIFS('Egg Tally'!$G:$G,'Egg Tally'!$C:$C,G$1,'Egg Tally'!$A:$A,'Egg Collections'!$A255)</f>
        <v>0</v>
      </c>
      <c r="H255" s="273">
        <f>SUMIFS('Egg Tally'!$G:$G,'Egg Tally'!$C:$C,H$1,'Egg Tally'!$A:$A,'Egg Collections'!$A255)</f>
        <v>0</v>
      </c>
      <c r="I255" s="2">
        <v>50</v>
      </c>
      <c r="J255" s="17" t="s">
        <v>57</v>
      </c>
      <c r="K255" s="10"/>
      <c r="L255" s="10"/>
      <c r="M255" s="10"/>
      <c r="N255" s="10"/>
      <c r="O255" s="10"/>
      <c r="P255" s="10"/>
      <c r="Q255" s="10"/>
      <c r="R255" s="2"/>
      <c r="S255" s="273"/>
      <c r="T255" s="273"/>
      <c r="U255" s="273"/>
      <c r="V255" s="9"/>
      <c r="W255" s="273"/>
      <c r="X255" s="273"/>
      <c r="Y255" s="9"/>
      <c r="Z255" s="273"/>
      <c r="AA255" s="273"/>
      <c r="AB255" s="9"/>
      <c r="AC255" s="273"/>
      <c r="AD255" s="273"/>
      <c r="AE255" s="9"/>
      <c r="AF255" s="273"/>
      <c r="AG255" s="273"/>
      <c r="AH255" s="9"/>
      <c r="AI255" s="273"/>
      <c r="AJ255" s="273"/>
      <c r="AK255" s="9"/>
      <c r="AL255" s="273"/>
      <c r="AM255" s="273"/>
      <c r="AN255" s="9"/>
      <c r="AO255" s="273"/>
      <c r="AP255" s="273"/>
      <c r="AQ255" s="9"/>
      <c r="AR255" s="273"/>
      <c r="AS255" s="39"/>
    </row>
    <row r="256" spans="1:45" ht="12.75">
      <c r="A256" s="163">
        <v>44190</v>
      </c>
      <c r="B256" s="273">
        <f>SUMIFS('Egg Tally'!$G:$G,'Egg Tally'!$C:$C,"M",'Egg Tally'!$A:$A,'Egg Collections'!$A256)</f>
        <v>0</v>
      </c>
      <c r="C256" s="273"/>
      <c r="D256" s="273">
        <f>SUMIFS('Egg Tally'!$G:$G,'Egg Tally'!$C:$C,D$1,'Egg Tally'!$A:$A,'Egg Collections'!$A256)</f>
        <v>0</v>
      </c>
      <c r="E256" s="273">
        <f>SUMIFS('Egg Tally'!$G:$G,'Egg Tally'!$C:$C,E$1,'Egg Tally'!$A:$A,'Egg Collections'!$A256)</f>
        <v>0</v>
      </c>
      <c r="F256" s="273">
        <f>SUMIFS('Egg Tally'!$G:$G,'Egg Tally'!$C:$C,F$1,'Egg Tally'!$A:$A,'Egg Collections'!$A256)</f>
        <v>0</v>
      </c>
      <c r="G256" s="273">
        <f>SUMIFS('Egg Tally'!$G:$G,'Egg Tally'!$C:$C,G$1,'Egg Tally'!$A:$A,'Egg Collections'!$A256)</f>
        <v>0</v>
      </c>
      <c r="H256" s="273">
        <f>SUMIFS('Egg Tally'!$G:$G,'Egg Tally'!$C:$C,H$1,'Egg Tally'!$A:$A,'Egg Collections'!$A256)</f>
        <v>0</v>
      </c>
      <c r="I256" s="2">
        <f t="shared" si="100"/>
        <v>0</v>
      </c>
      <c r="J256" s="17"/>
      <c r="K256" s="10"/>
      <c r="L256" s="10"/>
      <c r="M256" s="10"/>
      <c r="N256" s="10"/>
      <c r="O256" s="10"/>
      <c r="P256" s="10"/>
      <c r="Q256" s="10"/>
      <c r="R256" s="2"/>
      <c r="S256" s="273"/>
      <c r="T256" s="273"/>
      <c r="U256" s="273"/>
      <c r="V256" s="9"/>
      <c r="W256" s="273"/>
      <c r="X256" s="273"/>
      <c r="Y256" s="9"/>
      <c r="Z256" s="273"/>
      <c r="AA256" s="273"/>
      <c r="AB256" s="9"/>
      <c r="AC256" s="273"/>
      <c r="AD256" s="273"/>
      <c r="AE256" s="9"/>
      <c r="AF256" s="273"/>
      <c r="AG256" s="273"/>
      <c r="AH256" s="9"/>
      <c r="AI256" s="273"/>
      <c r="AJ256" s="273"/>
      <c r="AK256" s="9"/>
      <c r="AL256" s="273"/>
      <c r="AM256" s="273"/>
      <c r="AN256" s="9"/>
      <c r="AO256" s="273"/>
      <c r="AP256" s="273"/>
      <c r="AQ256" s="9"/>
      <c r="AR256" s="273"/>
      <c r="AS256" s="39"/>
    </row>
    <row r="257" spans="1:45" ht="12.75">
      <c r="A257" s="163">
        <v>44191</v>
      </c>
      <c r="B257" s="273">
        <f>SUMIFS('Egg Tally'!$G:$G,'Egg Tally'!$C:$C,"M",'Egg Tally'!$A:$A,'Egg Collections'!$A257)</f>
        <v>0</v>
      </c>
      <c r="C257" s="273"/>
      <c r="D257" s="273">
        <f>SUMIFS('Egg Tally'!$G:$G,'Egg Tally'!$C:$C,D$1,'Egg Tally'!$A:$A,'Egg Collections'!$A257)</f>
        <v>0</v>
      </c>
      <c r="E257" s="273">
        <f>SUMIFS('Egg Tally'!$G:$G,'Egg Tally'!$C:$C,E$1,'Egg Tally'!$A:$A,'Egg Collections'!$A257)</f>
        <v>0</v>
      </c>
      <c r="F257" s="273">
        <f>SUMIFS('Egg Tally'!$G:$G,'Egg Tally'!$C:$C,F$1,'Egg Tally'!$A:$A,'Egg Collections'!$A257)</f>
        <v>0</v>
      </c>
      <c r="G257" s="273">
        <f>SUMIFS('Egg Tally'!$G:$G,'Egg Tally'!$C:$C,G$1,'Egg Tally'!$A:$A,'Egg Collections'!$A257)</f>
        <v>0</v>
      </c>
      <c r="H257" s="273">
        <f>SUMIFS('Egg Tally'!$G:$G,'Egg Tally'!$C:$C,H$1,'Egg Tally'!$A:$A,'Egg Collections'!$A257)</f>
        <v>0</v>
      </c>
      <c r="I257" s="2">
        <f t="shared" si="100"/>
        <v>0</v>
      </c>
      <c r="J257" s="17"/>
      <c r="K257" s="10"/>
      <c r="L257" s="10"/>
      <c r="M257" s="10"/>
      <c r="N257" s="10"/>
      <c r="O257" s="10"/>
      <c r="P257" s="10"/>
      <c r="Q257" s="10"/>
      <c r="R257" s="2"/>
      <c r="S257" s="273"/>
      <c r="T257" s="273"/>
      <c r="U257" s="273"/>
      <c r="V257" s="9"/>
      <c r="W257" s="273"/>
      <c r="X257" s="273"/>
      <c r="Y257" s="9"/>
      <c r="Z257" s="273"/>
      <c r="AA257" s="273"/>
      <c r="AB257" s="9"/>
      <c r="AC257" s="273"/>
      <c r="AD257" s="273"/>
      <c r="AE257" s="9"/>
      <c r="AF257" s="273"/>
      <c r="AG257" s="273"/>
      <c r="AH257" s="9"/>
      <c r="AI257" s="273"/>
      <c r="AJ257" s="273"/>
      <c r="AK257" s="9"/>
      <c r="AL257" s="273"/>
      <c r="AM257" s="273"/>
      <c r="AN257" s="9"/>
      <c r="AO257" s="273"/>
      <c r="AP257" s="273"/>
      <c r="AQ257" s="9"/>
      <c r="AR257" s="273"/>
      <c r="AS257" s="39"/>
    </row>
    <row r="258" spans="1:45" ht="12.75">
      <c r="A258" s="163">
        <v>44192</v>
      </c>
      <c r="B258" s="273">
        <f>SUMIFS('Egg Tally'!$G:$G,'Egg Tally'!$C:$C,"M",'Egg Tally'!$A:$A,'Egg Collections'!$A258)</f>
        <v>0</v>
      </c>
      <c r="C258" s="273"/>
      <c r="D258" s="273">
        <f>SUMIFS('Egg Tally'!$G:$G,'Egg Tally'!$C:$C,D$1,'Egg Tally'!$A:$A,'Egg Collections'!$A258)</f>
        <v>0</v>
      </c>
      <c r="E258" s="273">
        <f>SUMIFS('Egg Tally'!$G:$G,'Egg Tally'!$C:$C,E$1,'Egg Tally'!$A:$A,'Egg Collections'!$A258)</f>
        <v>0</v>
      </c>
      <c r="F258" s="273">
        <f>SUMIFS('Egg Tally'!$G:$G,'Egg Tally'!$C:$C,F$1,'Egg Tally'!$A:$A,'Egg Collections'!$A258)</f>
        <v>0</v>
      </c>
      <c r="G258" s="273">
        <f>SUMIFS('Egg Tally'!$G:$G,'Egg Tally'!$C:$C,G$1,'Egg Tally'!$A:$A,'Egg Collections'!$A258)</f>
        <v>0</v>
      </c>
      <c r="H258" s="273">
        <f>SUMIFS('Egg Tally'!$G:$G,'Egg Tally'!$C:$C,H$1,'Egg Tally'!$A:$A,'Egg Collections'!$A258)</f>
        <v>0</v>
      </c>
      <c r="I258" s="2">
        <f t="shared" si="100"/>
        <v>0</v>
      </c>
      <c r="J258" s="17"/>
      <c r="K258" s="10"/>
      <c r="L258" s="10"/>
      <c r="M258" s="10"/>
      <c r="N258" s="10"/>
      <c r="O258" s="10"/>
      <c r="P258" s="10"/>
      <c r="Q258" s="10"/>
      <c r="R258" s="2"/>
      <c r="S258" s="273"/>
      <c r="T258" s="273"/>
      <c r="U258" s="273"/>
      <c r="V258" s="9"/>
      <c r="W258" s="273"/>
      <c r="X258" s="273"/>
      <c r="Y258" s="9"/>
      <c r="Z258" s="273"/>
      <c r="AA258" s="273"/>
      <c r="AB258" s="9"/>
      <c r="AC258" s="273"/>
      <c r="AD258" s="273"/>
      <c r="AE258" s="9"/>
      <c r="AF258" s="273"/>
      <c r="AG258" s="273"/>
      <c r="AH258" s="9"/>
      <c r="AI258" s="273"/>
      <c r="AJ258" s="273"/>
      <c r="AK258" s="9"/>
      <c r="AL258" s="273"/>
      <c r="AM258" s="273"/>
      <c r="AN258" s="9"/>
      <c r="AO258" s="273"/>
      <c r="AP258" s="273"/>
      <c r="AQ258" s="9"/>
      <c r="AR258" s="273"/>
      <c r="AS258" s="39"/>
    </row>
    <row r="259" spans="1:45" ht="12.75">
      <c r="A259" s="163">
        <v>44193</v>
      </c>
      <c r="B259" s="273">
        <f>SUMIFS('Egg Tally'!$G:$G,'Egg Tally'!$C:$C,"M",'Egg Tally'!$A:$A,'Egg Collections'!$A259)</f>
        <v>0</v>
      </c>
      <c r="C259" s="273"/>
      <c r="D259" s="273">
        <f>SUMIFS('Egg Tally'!$G:$G,'Egg Tally'!$C:$C,D$1,'Egg Tally'!$A:$A,'Egg Collections'!$A259)</f>
        <v>17.622500000000002</v>
      </c>
      <c r="E259" s="273">
        <f>SUMIFS('Egg Tally'!$G:$G,'Egg Tally'!$C:$C,E$1,'Egg Tally'!$A:$A,'Egg Collections'!$A259)</f>
        <v>0</v>
      </c>
      <c r="F259" s="273">
        <f>SUMIFS('Egg Tally'!$G:$G,'Egg Tally'!$C:$C,F$1,'Egg Tally'!$A:$A,'Egg Collections'!$A259)</f>
        <v>1.4479000000000006</v>
      </c>
      <c r="G259" s="273">
        <f>SUMIFS('Egg Tally'!$G:$G,'Egg Tally'!$C:$C,G$1,'Egg Tally'!$A:$A,'Egg Collections'!$A259)</f>
        <v>22.575099999999999</v>
      </c>
      <c r="H259" s="273">
        <f>SUMIFS('Egg Tally'!$G:$G,'Egg Tally'!$C:$C,H$1,'Egg Tally'!$A:$A,'Egg Collections'!$A259)</f>
        <v>8.6041000000000025</v>
      </c>
      <c r="I259" s="2">
        <f t="shared" si="100"/>
        <v>50.249600000000001</v>
      </c>
      <c r="J259" s="17"/>
      <c r="K259" s="10"/>
      <c r="L259" s="10"/>
      <c r="M259" s="10"/>
      <c r="N259" s="10"/>
      <c r="O259" s="10"/>
      <c r="P259" s="10"/>
      <c r="Q259" s="10"/>
      <c r="R259" s="2"/>
      <c r="S259" s="273"/>
      <c r="T259" s="273"/>
      <c r="U259" s="273"/>
      <c r="V259" s="9"/>
      <c r="W259" s="273"/>
      <c r="X259" s="273"/>
      <c r="Y259" s="9"/>
      <c r="Z259" s="273"/>
      <c r="AA259" s="273"/>
      <c r="AB259" s="9"/>
      <c r="AC259" s="273"/>
      <c r="AD259" s="273"/>
      <c r="AE259" s="9"/>
      <c r="AF259" s="273"/>
      <c r="AG259" s="273"/>
      <c r="AH259" s="9"/>
      <c r="AI259" s="273"/>
      <c r="AJ259" s="273"/>
      <c r="AK259" s="9"/>
      <c r="AL259" s="273"/>
      <c r="AM259" s="273"/>
      <c r="AN259" s="9"/>
      <c r="AO259" s="273"/>
      <c r="AP259" s="273"/>
      <c r="AQ259" s="9"/>
      <c r="AR259" s="273"/>
      <c r="AS259" s="39"/>
    </row>
    <row r="260" spans="1:45" ht="12.75">
      <c r="A260" s="163">
        <v>44194</v>
      </c>
      <c r="B260" s="273">
        <f>SUMIFS('Egg Tally'!$G:$G,'Egg Tally'!$C:$C,"M",'Egg Tally'!$A:$A,'Egg Collections'!$A260)</f>
        <v>0</v>
      </c>
      <c r="C260" s="273"/>
      <c r="D260" s="273">
        <f>SUMIFS('Egg Tally'!$G:$G,'Egg Tally'!$C:$C,D$1,'Egg Tally'!$A:$A,'Egg Collections'!$A260)</f>
        <v>0</v>
      </c>
      <c r="E260" s="273">
        <f>SUMIFS('Egg Tally'!$G:$G,'Egg Tally'!$C:$C,E$1,'Egg Tally'!$A:$A,'Egg Collections'!$A260)</f>
        <v>0</v>
      </c>
      <c r="F260" s="273">
        <f>SUMIFS('Egg Tally'!$G:$G,'Egg Tally'!$C:$C,F$1,'Egg Tally'!$A:$A,'Egg Collections'!$A260)</f>
        <v>0</v>
      </c>
      <c r="G260" s="273">
        <f>SUMIFS('Egg Tally'!$G:$G,'Egg Tally'!$C:$C,G$1,'Egg Tally'!$A:$A,'Egg Collections'!$A260)</f>
        <v>0</v>
      </c>
      <c r="H260" s="273">
        <f>SUMIFS('Egg Tally'!$G:$G,'Egg Tally'!$C:$C,H$1,'Egg Tally'!$A:$A,'Egg Collections'!$A260)</f>
        <v>0</v>
      </c>
      <c r="I260" s="2">
        <f t="shared" si="100"/>
        <v>0</v>
      </c>
      <c r="J260" s="17"/>
      <c r="K260" s="10"/>
      <c r="L260" s="10"/>
      <c r="M260" s="10"/>
      <c r="N260" s="10"/>
      <c r="O260" s="10"/>
      <c r="P260" s="10"/>
      <c r="Q260" s="10"/>
      <c r="R260" s="2"/>
      <c r="S260" s="273"/>
      <c r="T260" s="273"/>
      <c r="U260" s="273"/>
      <c r="V260" s="9"/>
      <c r="W260" s="273"/>
      <c r="X260" s="273"/>
      <c r="Y260" s="9"/>
      <c r="Z260" s="273"/>
      <c r="AA260" s="273"/>
      <c r="AB260" s="9"/>
      <c r="AC260" s="273"/>
      <c r="AD260" s="273"/>
      <c r="AE260" s="9"/>
      <c r="AF260" s="273"/>
      <c r="AG260" s="273"/>
      <c r="AH260" s="9"/>
      <c r="AI260" s="273"/>
      <c r="AJ260" s="273"/>
      <c r="AK260" s="9"/>
      <c r="AL260" s="273"/>
      <c r="AM260" s="273"/>
      <c r="AN260" s="9"/>
      <c r="AO260" s="273"/>
      <c r="AP260" s="273"/>
      <c r="AQ260" s="9"/>
      <c r="AR260" s="273"/>
      <c r="AS260" s="39"/>
    </row>
    <row r="261" spans="1:45" ht="12.75">
      <c r="A261" s="163">
        <v>44195</v>
      </c>
      <c r="B261" s="273">
        <f>SUMIFS('Egg Tally'!$G:$G,'Egg Tally'!$C:$C,"M",'Egg Tally'!$A:$A,'Egg Collections'!$A261)</f>
        <v>0</v>
      </c>
      <c r="C261" s="273"/>
      <c r="D261" s="273">
        <f>SUMIFS('Egg Tally'!$G:$G,'Egg Tally'!$C:$C,D$1,'Egg Tally'!$A:$A,'Egg Collections'!$A261)</f>
        <v>0</v>
      </c>
      <c r="E261" s="273">
        <f>SUMIFS('Egg Tally'!$G:$G,'Egg Tally'!$C:$C,E$1,'Egg Tally'!$A:$A,'Egg Collections'!$A261)</f>
        <v>0</v>
      </c>
      <c r="F261" s="273">
        <f>SUMIFS('Egg Tally'!$G:$G,'Egg Tally'!$C:$C,F$1,'Egg Tally'!$A:$A,'Egg Collections'!$A261)</f>
        <v>0</v>
      </c>
      <c r="G261" s="273">
        <f>SUMIFS('Egg Tally'!$G:$G,'Egg Tally'!$C:$C,G$1,'Egg Tally'!$A:$A,'Egg Collections'!$A261)</f>
        <v>0</v>
      </c>
      <c r="H261" s="273">
        <f>SUMIFS('Egg Tally'!$G:$G,'Egg Tally'!$C:$C,H$1,'Egg Tally'!$A:$A,'Egg Collections'!$A261)</f>
        <v>0</v>
      </c>
      <c r="I261" s="2">
        <f t="shared" si="100"/>
        <v>0</v>
      </c>
      <c r="J261" s="17"/>
      <c r="K261" s="10"/>
      <c r="L261" s="10"/>
      <c r="M261" s="10"/>
      <c r="N261" s="10"/>
      <c r="O261" s="10"/>
      <c r="P261" s="10"/>
      <c r="Q261" s="10"/>
      <c r="R261" s="2"/>
      <c r="S261" s="273"/>
      <c r="T261" s="273"/>
      <c r="U261" s="273"/>
      <c r="V261" s="9"/>
      <c r="W261" s="273"/>
      <c r="X261" s="273"/>
      <c r="Y261" s="9"/>
      <c r="Z261" s="273"/>
      <c r="AA261" s="273"/>
      <c r="AB261" s="9"/>
      <c r="AC261" s="273"/>
      <c r="AD261" s="273"/>
      <c r="AE261" s="9"/>
      <c r="AF261" s="273"/>
      <c r="AG261" s="273"/>
      <c r="AH261" s="9"/>
      <c r="AI261" s="273"/>
      <c r="AJ261" s="273"/>
      <c r="AK261" s="9"/>
      <c r="AL261" s="273"/>
      <c r="AM261" s="273"/>
      <c r="AN261" s="9"/>
      <c r="AO261" s="273"/>
      <c r="AP261" s="273"/>
      <c r="AQ261" s="9"/>
      <c r="AR261" s="273"/>
      <c r="AS261" s="39"/>
    </row>
    <row r="262" spans="1:45" ht="12.75">
      <c r="A262" s="163">
        <v>44196</v>
      </c>
      <c r="B262" s="273">
        <f>SUMIFS('Egg Tally'!$G:$G,'Egg Tally'!$C:$C,"M",'Egg Tally'!$A:$A,'Egg Collections'!$A262)</f>
        <v>0</v>
      </c>
      <c r="C262" s="273"/>
      <c r="D262" s="273">
        <f>SUMIFS('Egg Tally'!$G:$G,'Egg Tally'!$C:$C,D$1,'Egg Tally'!$A:$A,'Egg Collections'!$A262)</f>
        <v>0</v>
      </c>
      <c r="E262" s="273">
        <f>SUMIFS('Egg Tally'!$G:$G,'Egg Tally'!$C:$C,E$1,'Egg Tally'!$A:$A,'Egg Collections'!$A262)</f>
        <v>0</v>
      </c>
      <c r="F262" s="273">
        <f>SUMIFS('Egg Tally'!$G:$G,'Egg Tally'!$C:$C,F$1,'Egg Tally'!$A:$A,'Egg Collections'!$A262)</f>
        <v>0</v>
      </c>
      <c r="G262" s="273">
        <f>SUMIFS('Egg Tally'!$G:$G,'Egg Tally'!$C:$C,G$1,'Egg Tally'!$A:$A,'Egg Collections'!$A262)</f>
        <v>0</v>
      </c>
      <c r="H262" s="273">
        <f>SUMIFS('Egg Tally'!$G:$G,'Egg Tally'!$C:$C,H$1,'Egg Tally'!$A:$A,'Egg Collections'!$A262)</f>
        <v>0</v>
      </c>
      <c r="I262" s="2">
        <f t="shared" si="100"/>
        <v>0</v>
      </c>
      <c r="J262" s="17"/>
      <c r="K262" s="10"/>
      <c r="L262" s="10"/>
      <c r="M262" s="10"/>
      <c r="N262" s="10"/>
      <c r="O262" s="10"/>
      <c r="P262" s="10"/>
      <c r="Q262" s="10"/>
      <c r="R262" s="2"/>
      <c r="S262" s="273"/>
      <c r="T262" s="273"/>
      <c r="U262" s="273"/>
      <c r="V262" s="9"/>
      <c r="W262" s="273"/>
      <c r="X262" s="273"/>
      <c r="Y262" s="9"/>
      <c r="Z262" s="273"/>
      <c r="AA262" s="273"/>
      <c r="AB262" s="9"/>
      <c r="AC262" s="273"/>
      <c r="AD262" s="273"/>
      <c r="AE262" s="9"/>
      <c r="AF262" s="273"/>
      <c r="AG262" s="273"/>
      <c r="AH262" s="9"/>
      <c r="AI262" s="273"/>
      <c r="AJ262" s="273"/>
      <c r="AK262" s="9"/>
      <c r="AL262" s="273"/>
      <c r="AM262" s="273"/>
      <c r="AN262" s="9"/>
      <c r="AO262" s="273"/>
      <c r="AP262" s="273"/>
      <c r="AQ262" s="9"/>
      <c r="AR262" s="273"/>
      <c r="AS262" s="39"/>
    </row>
    <row r="263" spans="1:45" ht="12.75">
      <c r="A263" s="163">
        <v>44197</v>
      </c>
      <c r="B263" s="273">
        <f>SUMIFS('Egg Tally'!$G:$G,'Egg Tally'!$C:$C,"M",'Egg Tally'!$A:$A,'Egg Collections'!$A263)</f>
        <v>0</v>
      </c>
      <c r="C263" s="273"/>
      <c r="D263" s="273">
        <f>SUMIFS('Egg Tally'!$G:$G,'Egg Tally'!$C:$C,D$1,'Egg Tally'!$A:$A,'Egg Collections'!$A263)</f>
        <v>0</v>
      </c>
      <c r="E263" s="273">
        <f>SUMIFS('Egg Tally'!$G:$G,'Egg Tally'!$C:$C,E$1,'Egg Tally'!$A:$A,'Egg Collections'!$A263)</f>
        <v>0</v>
      </c>
      <c r="F263" s="273">
        <f>SUMIFS('Egg Tally'!$G:$G,'Egg Tally'!$C:$C,F$1,'Egg Tally'!$A:$A,'Egg Collections'!$A263)</f>
        <v>0</v>
      </c>
      <c r="G263" s="273">
        <f>SUMIFS('Egg Tally'!$G:$G,'Egg Tally'!$C:$C,G$1,'Egg Tally'!$A:$A,'Egg Collections'!$A263)</f>
        <v>0</v>
      </c>
      <c r="H263" s="273">
        <f>SUMIFS('Egg Tally'!$G:$G,'Egg Tally'!$C:$C,H$1,'Egg Tally'!$A:$A,'Egg Collections'!$A263)</f>
        <v>0</v>
      </c>
      <c r="I263" s="2">
        <f t="shared" si="100"/>
        <v>0</v>
      </c>
      <c r="J263" s="17"/>
      <c r="K263" s="10"/>
      <c r="L263" s="10"/>
      <c r="M263" s="10"/>
      <c r="N263" s="10"/>
      <c r="O263" s="10"/>
      <c r="P263" s="10"/>
      <c r="Q263" s="10"/>
      <c r="R263" s="2"/>
      <c r="S263" s="273"/>
      <c r="T263" s="273"/>
      <c r="U263" s="273"/>
      <c r="V263" s="9"/>
      <c r="W263" s="273"/>
      <c r="X263" s="273"/>
      <c r="Y263" s="9"/>
      <c r="Z263" s="273"/>
      <c r="AA263" s="273"/>
      <c r="AB263" s="9"/>
      <c r="AC263" s="273"/>
      <c r="AD263" s="273"/>
      <c r="AE263" s="9"/>
      <c r="AF263" s="273"/>
      <c r="AG263" s="273"/>
      <c r="AH263" s="9"/>
      <c r="AI263" s="273"/>
      <c r="AJ263" s="273"/>
      <c r="AK263" s="9"/>
      <c r="AL263" s="273"/>
      <c r="AM263" s="273"/>
      <c r="AN263" s="9"/>
      <c r="AO263" s="273"/>
      <c r="AP263" s="273"/>
      <c r="AQ263" s="9"/>
      <c r="AR263" s="273"/>
      <c r="AS263" s="39"/>
    </row>
    <row r="264" spans="1:45" ht="12.75">
      <c r="A264" s="163">
        <v>44198</v>
      </c>
      <c r="B264" s="273">
        <f>SUMIFS('Egg Tally'!$G:$G,'Egg Tally'!$C:$C,"M",'Egg Tally'!$A:$A,'Egg Collections'!$A264)</f>
        <v>0</v>
      </c>
      <c r="C264" s="273"/>
      <c r="D264" s="273">
        <f>SUMIFS('Egg Tally'!$G:$G,'Egg Tally'!$C:$C,D$1,'Egg Tally'!$A:$A,'Egg Collections'!$A264)</f>
        <v>0</v>
      </c>
      <c r="E264" s="273">
        <f>SUMIFS('Egg Tally'!$G:$G,'Egg Tally'!$C:$C,E$1,'Egg Tally'!$A:$A,'Egg Collections'!$A264)</f>
        <v>0</v>
      </c>
      <c r="F264" s="273">
        <f>SUMIFS('Egg Tally'!$G:$G,'Egg Tally'!$C:$C,F$1,'Egg Tally'!$A:$A,'Egg Collections'!$A264)</f>
        <v>0</v>
      </c>
      <c r="G264" s="273">
        <f>SUMIFS('Egg Tally'!$G:$G,'Egg Tally'!$C:$C,G$1,'Egg Tally'!$A:$A,'Egg Collections'!$A264)</f>
        <v>0</v>
      </c>
      <c r="H264" s="273">
        <f>SUMIFS('Egg Tally'!$G:$G,'Egg Tally'!$C:$C,H$1,'Egg Tally'!$A:$A,'Egg Collections'!$A264)</f>
        <v>0</v>
      </c>
      <c r="I264" s="2">
        <f t="shared" ref="I264:I278" si="101">SUM(B264:H264)</f>
        <v>0</v>
      </c>
      <c r="J264" s="17"/>
      <c r="K264" s="10"/>
      <c r="L264" s="10"/>
      <c r="M264" s="10"/>
      <c r="N264" s="10"/>
      <c r="O264" s="10"/>
      <c r="P264" s="10"/>
      <c r="Q264" s="10"/>
      <c r="R264" s="2"/>
      <c r="S264" s="273"/>
      <c r="T264" s="273"/>
      <c r="U264" s="273"/>
      <c r="V264" s="9"/>
      <c r="W264" s="273"/>
      <c r="X264" s="273"/>
      <c r="Y264" s="9"/>
      <c r="Z264" s="273"/>
      <c r="AA264" s="273"/>
      <c r="AB264" s="9"/>
      <c r="AC264" s="273"/>
      <c r="AD264" s="273"/>
      <c r="AE264" s="9"/>
      <c r="AF264" s="273"/>
      <c r="AG264" s="273"/>
      <c r="AH264" s="9"/>
      <c r="AI264" s="273"/>
      <c r="AJ264" s="273"/>
      <c r="AK264" s="9"/>
      <c r="AL264" s="273"/>
      <c r="AM264" s="273"/>
      <c r="AN264" s="9"/>
      <c r="AO264" s="273"/>
      <c r="AP264" s="273"/>
      <c r="AQ264" s="9"/>
      <c r="AR264" s="273"/>
      <c r="AS264" s="39"/>
    </row>
    <row r="265" spans="1:45" ht="12.75">
      <c r="A265" s="163">
        <v>44199</v>
      </c>
      <c r="B265" s="273">
        <f>SUMIFS('Egg Tally'!$G:$G,'Egg Tally'!$C:$C,"M",'Egg Tally'!$A:$A,'Egg Collections'!$A265)</f>
        <v>0</v>
      </c>
      <c r="C265" s="273"/>
      <c r="D265" s="273">
        <f>SUMIFS('Egg Tally'!$G:$G,'Egg Tally'!$C:$C,D$1,'Egg Tally'!$A:$A,'Egg Collections'!$A265)</f>
        <v>0</v>
      </c>
      <c r="E265" s="273">
        <f>SUMIFS('Egg Tally'!$G:$G,'Egg Tally'!$C:$C,E$1,'Egg Tally'!$A:$A,'Egg Collections'!$A265)</f>
        <v>0</v>
      </c>
      <c r="F265" s="273">
        <f>SUMIFS('Egg Tally'!$G:$G,'Egg Tally'!$C:$C,F$1,'Egg Tally'!$A:$A,'Egg Collections'!$A265)</f>
        <v>0</v>
      </c>
      <c r="G265" s="273">
        <f>SUMIFS('Egg Tally'!$G:$G,'Egg Tally'!$C:$C,G$1,'Egg Tally'!$A:$A,'Egg Collections'!$A265)</f>
        <v>0</v>
      </c>
      <c r="H265" s="273">
        <f>SUMIFS('Egg Tally'!$G:$G,'Egg Tally'!$C:$C,H$1,'Egg Tally'!$A:$A,'Egg Collections'!$A265)</f>
        <v>0</v>
      </c>
      <c r="I265" s="2">
        <f t="shared" si="101"/>
        <v>0</v>
      </c>
      <c r="J265" s="17"/>
      <c r="K265" s="10"/>
      <c r="L265" s="10"/>
      <c r="M265" s="10"/>
      <c r="N265" s="10"/>
      <c r="O265" s="10"/>
      <c r="P265" s="10"/>
      <c r="Q265" s="10"/>
      <c r="R265" s="2"/>
      <c r="S265" s="273"/>
      <c r="T265" s="273"/>
      <c r="U265" s="273"/>
      <c r="V265" s="9"/>
      <c r="W265" s="273"/>
      <c r="X265" s="273"/>
      <c r="Y265" s="9"/>
      <c r="Z265" s="273"/>
      <c r="AA265" s="273"/>
      <c r="AB265" s="9"/>
      <c r="AC265" s="273"/>
      <c r="AD265" s="273"/>
      <c r="AE265" s="9"/>
      <c r="AF265" s="273"/>
      <c r="AG265" s="273"/>
      <c r="AH265" s="9"/>
      <c r="AI265" s="273"/>
      <c r="AJ265" s="273"/>
      <c r="AK265" s="9"/>
      <c r="AL265" s="273"/>
      <c r="AM265" s="273"/>
      <c r="AN265" s="9"/>
      <c r="AO265" s="273"/>
      <c r="AP265" s="273"/>
      <c r="AQ265" s="9"/>
      <c r="AR265" s="273"/>
      <c r="AS265" s="39"/>
    </row>
    <row r="266" spans="1:45" ht="12.75">
      <c r="A266" s="163">
        <v>44200</v>
      </c>
      <c r="B266" s="273">
        <f>SUMIFS('Egg Tally'!$G:$G,'Egg Tally'!$C:$C,"M",'Egg Tally'!$A:$A,'Egg Collections'!$A266)</f>
        <v>0</v>
      </c>
      <c r="C266" s="273"/>
      <c r="D266" s="273">
        <f>SUMIFS('Egg Tally'!$G:$G,'Egg Tally'!$C:$C,D$1,'Egg Tally'!$A:$A,'Egg Collections'!$A266)</f>
        <v>0</v>
      </c>
      <c r="E266" s="273">
        <f>SUMIFS('Egg Tally'!$G:$G,'Egg Tally'!$C:$C,E$1,'Egg Tally'!$A:$A,'Egg Collections'!$A266)</f>
        <v>0</v>
      </c>
      <c r="F266" s="273">
        <f>SUMIFS('Egg Tally'!$G:$G,'Egg Tally'!$C:$C,F$1,'Egg Tally'!$A:$A,'Egg Collections'!$A266)</f>
        <v>0</v>
      </c>
      <c r="G266" s="273">
        <f>SUMIFS('Egg Tally'!$G:$G,'Egg Tally'!$C:$C,G$1,'Egg Tally'!$A:$A,'Egg Collections'!$A266)</f>
        <v>0</v>
      </c>
      <c r="H266" s="273">
        <f>SUMIFS('Egg Tally'!$G:$G,'Egg Tally'!$C:$C,H$1,'Egg Tally'!$A:$A,'Egg Collections'!$A266)</f>
        <v>0</v>
      </c>
      <c r="I266" s="2">
        <f t="shared" si="101"/>
        <v>0</v>
      </c>
      <c r="J266" s="17"/>
      <c r="K266" s="10"/>
      <c r="L266" s="10"/>
      <c r="M266" s="10"/>
      <c r="N266" s="10"/>
      <c r="O266" s="10"/>
      <c r="P266" s="10"/>
      <c r="Q266" s="10"/>
      <c r="R266" s="2"/>
      <c r="S266" s="273"/>
      <c r="T266" s="273"/>
      <c r="U266" s="273"/>
      <c r="V266" s="9"/>
      <c r="W266" s="273"/>
      <c r="X266" s="273"/>
      <c r="Y266" s="9"/>
      <c r="Z266" s="273"/>
      <c r="AA266" s="273"/>
      <c r="AB266" s="9"/>
      <c r="AC266" s="273"/>
      <c r="AD266" s="273"/>
      <c r="AE266" s="9"/>
      <c r="AF266" s="273"/>
      <c r="AG266" s="273"/>
      <c r="AH266" s="9"/>
      <c r="AI266" s="273"/>
      <c r="AJ266" s="273"/>
      <c r="AK266" s="9"/>
      <c r="AL266" s="273"/>
      <c r="AM266" s="273"/>
      <c r="AN266" s="9"/>
      <c r="AO266" s="273"/>
      <c r="AP266" s="273"/>
      <c r="AQ266" s="9"/>
      <c r="AR266" s="273"/>
      <c r="AS266" s="39"/>
    </row>
    <row r="267" spans="1:45" ht="12.75">
      <c r="A267" s="163">
        <v>44201</v>
      </c>
      <c r="B267" s="273">
        <f>SUMIFS('Egg Tally'!$G:$G,'Egg Tally'!$C:$C,"M",'Egg Tally'!$A:$A,'Egg Collections'!$A267)</f>
        <v>0</v>
      </c>
      <c r="C267" s="273"/>
      <c r="D267" s="273">
        <f>SUMIFS('Egg Tally'!$G:$G,'Egg Tally'!$C:$C,D$1,'Egg Tally'!$A:$A,'Egg Collections'!$A267)</f>
        <v>1.5480999999999998</v>
      </c>
      <c r="E267" s="273">
        <f>SUMIFS('Egg Tally'!$G:$G,'Egg Tally'!$C:$C,E$1,'Egg Tally'!$A:$A,'Egg Collections'!$A267)</f>
        <v>0</v>
      </c>
      <c r="F267" s="273">
        <f>SUMIFS('Egg Tally'!$G:$G,'Egg Tally'!$C:$C,F$1,'Egg Tally'!$A:$A,'Egg Collections'!$A267)</f>
        <v>1.0669999999999997</v>
      </c>
      <c r="G267" s="273">
        <f>SUMIFS('Egg Tally'!$G:$G,'Egg Tally'!$C:$C,G$1,'Egg Tally'!$A:$A,'Egg Collections'!$A267)</f>
        <v>0.59580000000000055</v>
      </c>
      <c r="H267" s="273">
        <f>SUMIFS('Egg Tally'!$G:$G,'Egg Tally'!$C:$C,H$1,'Egg Tally'!$A:$A,'Egg Collections'!$A267)</f>
        <v>0.40129999999999955</v>
      </c>
      <c r="I267" s="2">
        <f t="shared" si="101"/>
        <v>3.6121999999999996</v>
      </c>
      <c r="J267" s="17"/>
      <c r="K267" s="10"/>
      <c r="L267" s="10"/>
      <c r="M267" s="10"/>
      <c r="N267" s="10"/>
      <c r="O267" s="10"/>
      <c r="P267" s="10"/>
      <c r="Q267" s="10"/>
      <c r="R267" s="2"/>
      <c r="S267" s="273"/>
      <c r="T267" s="273"/>
      <c r="U267" s="273"/>
      <c r="V267" s="9"/>
      <c r="W267" s="273"/>
      <c r="X267" s="273"/>
      <c r="Y267" s="9"/>
      <c r="Z267" s="273"/>
      <c r="AA267" s="273"/>
      <c r="AB267" s="9"/>
      <c r="AC267" s="273"/>
      <c r="AD267" s="273"/>
      <c r="AE267" s="9"/>
      <c r="AF267" s="273"/>
      <c r="AG267" s="273"/>
      <c r="AH267" s="9"/>
      <c r="AI267" s="273"/>
      <c r="AJ267" s="273"/>
      <c r="AK267" s="9"/>
      <c r="AL267" s="273"/>
      <c r="AM267" s="273"/>
      <c r="AN267" s="9"/>
      <c r="AO267" s="273"/>
      <c r="AP267" s="273"/>
      <c r="AQ267" s="9"/>
      <c r="AR267" s="273"/>
      <c r="AS267" s="39"/>
    </row>
    <row r="268" spans="1:45" ht="12.75">
      <c r="A268" s="163">
        <v>44202</v>
      </c>
      <c r="B268" s="273">
        <f>SUMIFS('Egg Tally'!$G:$G,'Egg Tally'!$C:$C,"M",'Egg Tally'!$A:$A,'Egg Collections'!$A268)</f>
        <v>0</v>
      </c>
      <c r="C268" s="273"/>
      <c r="D268" s="273">
        <f>SUMIFS('Egg Tally'!$G:$G,'Egg Tally'!$C:$C,D$1,'Egg Tally'!$A:$A,'Egg Collections'!$A268)</f>
        <v>0</v>
      </c>
      <c r="E268" s="273">
        <f>SUMIFS('Egg Tally'!$G:$G,'Egg Tally'!$C:$C,E$1,'Egg Tally'!$A:$A,'Egg Collections'!$A268)</f>
        <v>0</v>
      </c>
      <c r="F268" s="273">
        <f>SUMIFS('Egg Tally'!$G:$G,'Egg Tally'!$C:$C,F$1,'Egg Tally'!$A:$A,'Egg Collections'!$A268)</f>
        <v>0</v>
      </c>
      <c r="G268" s="273">
        <f>SUMIFS('Egg Tally'!$G:$G,'Egg Tally'!$C:$C,G$1,'Egg Tally'!$A:$A,'Egg Collections'!$A268)</f>
        <v>0</v>
      </c>
      <c r="H268" s="273">
        <f>SUMIFS('Egg Tally'!$G:$G,'Egg Tally'!$C:$C,H$1,'Egg Tally'!$A:$A,'Egg Collections'!$A268)</f>
        <v>0</v>
      </c>
      <c r="I268" s="2">
        <f t="shared" si="101"/>
        <v>0</v>
      </c>
      <c r="J268" s="17"/>
      <c r="K268" s="10"/>
      <c r="L268" s="10"/>
      <c r="M268" s="10"/>
      <c r="N268" s="10"/>
      <c r="O268" s="10"/>
      <c r="P268" s="10"/>
      <c r="Q268" s="10"/>
      <c r="R268" s="2"/>
      <c r="S268" s="273"/>
      <c r="T268" s="273"/>
      <c r="U268" s="273"/>
      <c r="V268" s="9"/>
      <c r="W268" s="273"/>
      <c r="X268" s="273"/>
      <c r="Y268" s="9"/>
      <c r="Z268" s="273"/>
      <c r="AA268" s="273"/>
      <c r="AB268" s="9"/>
      <c r="AC268" s="273"/>
      <c r="AD268" s="273"/>
      <c r="AE268" s="9"/>
      <c r="AF268" s="273"/>
      <c r="AG268" s="273"/>
      <c r="AH268" s="9"/>
      <c r="AI268" s="273"/>
      <c r="AJ268" s="273"/>
      <c r="AK268" s="9"/>
      <c r="AL268" s="273"/>
      <c r="AM268" s="273"/>
      <c r="AN268" s="9"/>
      <c r="AO268" s="273"/>
      <c r="AP268" s="273"/>
      <c r="AQ268" s="9"/>
      <c r="AR268" s="273"/>
      <c r="AS268" s="39"/>
    </row>
    <row r="269" spans="1:45" ht="12.75">
      <c r="A269" s="163">
        <v>44203</v>
      </c>
      <c r="B269" s="273">
        <f>SUMIFS('Egg Tally'!$G:$G,'Egg Tally'!$C:$C,"M",'Egg Tally'!$A:$A,'Egg Collections'!$A269)</f>
        <v>0</v>
      </c>
      <c r="C269" s="273"/>
      <c r="D269" s="273">
        <f>SUMIFS('Egg Tally'!$G:$G,'Egg Tally'!$C:$C,D$1,'Egg Tally'!$A:$A,'Egg Collections'!$A269)</f>
        <v>0</v>
      </c>
      <c r="E269" s="273">
        <f>SUMIFS('Egg Tally'!$G:$G,'Egg Tally'!$C:$C,E$1,'Egg Tally'!$A:$A,'Egg Collections'!$A269)</f>
        <v>0</v>
      </c>
      <c r="F269" s="273">
        <f>SUMIFS('Egg Tally'!$G:$G,'Egg Tally'!$C:$C,F$1,'Egg Tally'!$A:$A,'Egg Collections'!$A269)</f>
        <v>0</v>
      </c>
      <c r="G269" s="273">
        <f>SUMIFS('Egg Tally'!$G:$G,'Egg Tally'!$C:$C,G$1,'Egg Tally'!$A:$A,'Egg Collections'!$A269)</f>
        <v>0</v>
      </c>
      <c r="H269" s="273">
        <f>SUMIFS('Egg Tally'!$G:$G,'Egg Tally'!$C:$C,H$1,'Egg Tally'!$A:$A,'Egg Collections'!$A269)</f>
        <v>0</v>
      </c>
      <c r="I269" s="2">
        <f t="shared" si="101"/>
        <v>0</v>
      </c>
      <c r="J269" s="17"/>
      <c r="K269" s="10"/>
      <c r="L269" s="10"/>
      <c r="M269" s="10"/>
      <c r="N269" s="10"/>
      <c r="O269" s="10"/>
      <c r="P269" s="10"/>
      <c r="Q269" s="10"/>
      <c r="R269" s="2"/>
      <c r="S269" s="273"/>
      <c r="T269" s="273"/>
      <c r="U269" s="273"/>
      <c r="V269" s="9"/>
      <c r="W269" s="273"/>
      <c r="X269" s="273"/>
      <c r="Y269" s="9"/>
      <c r="Z269" s="273"/>
      <c r="AA269" s="273"/>
      <c r="AB269" s="9"/>
      <c r="AC269" s="273"/>
      <c r="AD269" s="273"/>
      <c r="AE269" s="9"/>
      <c r="AF269" s="273"/>
      <c r="AG269" s="273"/>
      <c r="AH269" s="9"/>
      <c r="AI269" s="273"/>
      <c r="AJ269" s="273"/>
      <c r="AK269" s="9"/>
      <c r="AL269" s="273"/>
      <c r="AM269" s="273"/>
      <c r="AN269" s="9"/>
      <c r="AO269" s="273"/>
      <c r="AP269" s="273"/>
      <c r="AQ269" s="9"/>
      <c r="AR269" s="273"/>
      <c r="AS269" s="39"/>
    </row>
    <row r="270" spans="1:45" ht="12.75">
      <c r="A270" s="163">
        <v>44204</v>
      </c>
      <c r="B270" s="273">
        <f>SUMIFS('Egg Tally'!$G:$G,'Egg Tally'!$C:$C,"M",'Egg Tally'!$A:$A,'Egg Collections'!$A270)</f>
        <v>0</v>
      </c>
      <c r="C270" s="273"/>
      <c r="D270" s="273">
        <f>SUMIFS('Egg Tally'!$G:$G,'Egg Tally'!$C:$C,D$1,'Egg Tally'!$A:$A,'Egg Collections'!$A270)</f>
        <v>2.4624000000000006</v>
      </c>
      <c r="E270" s="273">
        <f>SUMIFS('Egg Tally'!$G:$G,'Egg Tally'!$C:$C,E$1,'Egg Tally'!$A:$A,'Egg Collections'!$A270)</f>
        <v>1.3051000000000004</v>
      </c>
      <c r="F270" s="273">
        <f>SUMIFS('Egg Tally'!$G:$G,'Egg Tally'!$C:$C,F$1,'Egg Tally'!$A:$A,'Egg Collections'!$A270)</f>
        <v>4.2398000000000007</v>
      </c>
      <c r="G270" s="273">
        <f>SUMIFS('Egg Tally'!$G:$G,'Egg Tally'!$C:$C,G$1,'Egg Tally'!$A:$A,'Egg Collections'!$A270)</f>
        <v>3.6879999999999997</v>
      </c>
      <c r="H270" s="273">
        <f>SUMIFS('Egg Tally'!$G:$G,'Egg Tally'!$C:$C,H$1,'Egg Tally'!$A:$A,'Egg Collections'!$A270)</f>
        <v>0.32379999999999942</v>
      </c>
      <c r="I270" s="2">
        <f t="shared" si="101"/>
        <v>12.019099999999998</v>
      </c>
      <c r="J270" s="17"/>
      <c r="K270" s="10"/>
      <c r="L270" s="10"/>
      <c r="M270" s="10"/>
      <c r="N270" s="10"/>
      <c r="O270" s="10"/>
      <c r="P270" s="10"/>
      <c r="Q270" s="10"/>
      <c r="R270" s="2"/>
      <c r="S270" s="273"/>
      <c r="T270" s="273"/>
      <c r="U270" s="273"/>
      <c r="V270" s="9"/>
      <c r="W270" s="273"/>
      <c r="X270" s="273"/>
      <c r="Y270" s="9"/>
      <c r="Z270" s="273"/>
      <c r="AA270" s="273"/>
      <c r="AB270" s="9"/>
      <c r="AC270" s="273"/>
      <c r="AD270" s="273"/>
      <c r="AE270" s="9"/>
      <c r="AF270" s="273"/>
      <c r="AG270" s="273"/>
      <c r="AH270" s="9"/>
      <c r="AI270" s="273"/>
      <c r="AJ270" s="273"/>
      <c r="AK270" s="9"/>
      <c r="AL270" s="273"/>
      <c r="AM270" s="273"/>
      <c r="AN270" s="9"/>
      <c r="AO270" s="273"/>
      <c r="AP270" s="273"/>
      <c r="AQ270" s="9"/>
      <c r="AR270" s="273"/>
      <c r="AS270" s="39"/>
    </row>
    <row r="271" spans="1:45" ht="12.75">
      <c r="A271" s="163">
        <v>44205</v>
      </c>
      <c r="B271" s="273">
        <f>SUMIFS('Egg Tally'!$G:$G,'Egg Tally'!$C:$C,"M",'Egg Tally'!$A:$A,'Egg Collections'!$A271)</f>
        <v>0</v>
      </c>
      <c r="C271" s="273"/>
      <c r="D271" s="273">
        <f>SUMIFS('Egg Tally'!$G:$G,'Egg Tally'!$C:$C,D$1,'Egg Tally'!$A:$A,'Egg Collections'!$A271)</f>
        <v>0</v>
      </c>
      <c r="E271" s="273">
        <f>SUMIFS('Egg Tally'!$G:$G,'Egg Tally'!$C:$C,E$1,'Egg Tally'!$A:$A,'Egg Collections'!$A271)</f>
        <v>0</v>
      </c>
      <c r="F271" s="273">
        <f>SUMIFS('Egg Tally'!$G:$G,'Egg Tally'!$C:$C,F$1,'Egg Tally'!$A:$A,'Egg Collections'!$A271)</f>
        <v>0</v>
      </c>
      <c r="G271" s="273">
        <f>SUMIFS('Egg Tally'!$G:$G,'Egg Tally'!$C:$C,G$1,'Egg Tally'!$A:$A,'Egg Collections'!$A271)</f>
        <v>0</v>
      </c>
      <c r="H271" s="273">
        <f>SUMIFS('Egg Tally'!$G:$G,'Egg Tally'!$C:$C,H$1,'Egg Tally'!$A:$A,'Egg Collections'!$A271)</f>
        <v>0</v>
      </c>
      <c r="I271" s="2">
        <f t="shared" si="101"/>
        <v>0</v>
      </c>
      <c r="J271" s="17"/>
      <c r="K271" s="10"/>
      <c r="L271" s="10"/>
      <c r="M271" s="10"/>
      <c r="N271" s="10"/>
      <c r="O271" s="10"/>
      <c r="P271" s="10"/>
      <c r="Q271" s="10"/>
      <c r="R271" s="2"/>
      <c r="S271" s="273"/>
      <c r="T271" s="273"/>
      <c r="U271" s="273"/>
      <c r="V271" s="9"/>
      <c r="W271" s="273"/>
      <c r="X271" s="273"/>
      <c r="Y271" s="9"/>
      <c r="Z271" s="273"/>
      <c r="AA271" s="273"/>
      <c r="AB271" s="9"/>
      <c r="AC271" s="273"/>
      <c r="AD271" s="273"/>
      <c r="AE271" s="9"/>
      <c r="AF271" s="273"/>
      <c r="AG271" s="273"/>
      <c r="AH271" s="9"/>
      <c r="AI271" s="273"/>
      <c r="AJ271" s="273"/>
      <c r="AK271" s="9"/>
      <c r="AL271" s="273"/>
      <c r="AM271" s="273"/>
      <c r="AN271" s="9"/>
      <c r="AO271" s="273"/>
      <c r="AP271" s="273"/>
      <c r="AQ271" s="9"/>
      <c r="AR271" s="273"/>
      <c r="AS271" s="39"/>
    </row>
    <row r="272" spans="1:45" ht="12.75">
      <c r="A272" s="163">
        <v>44206</v>
      </c>
      <c r="B272" s="273">
        <f>SUMIFS('Egg Tally'!$G:$G,'Egg Tally'!$C:$C,"M",'Egg Tally'!$A:$A,'Egg Collections'!$A272)</f>
        <v>0</v>
      </c>
      <c r="C272" s="273"/>
      <c r="D272" s="273">
        <f>SUMIFS('Egg Tally'!$G:$G,'Egg Tally'!$C:$C,D$1,'Egg Tally'!$A:$A,'Egg Collections'!$A272)</f>
        <v>0</v>
      </c>
      <c r="E272" s="273">
        <f>SUMIFS('Egg Tally'!$G:$G,'Egg Tally'!$C:$C,E$1,'Egg Tally'!$A:$A,'Egg Collections'!$A272)</f>
        <v>0</v>
      </c>
      <c r="F272" s="273">
        <f>SUMIFS('Egg Tally'!$G:$G,'Egg Tally'!$C:$C,F$1,'Egg Tally'!$A:$A,'Egg Collections'!$A272)</f>
        <v>0</v>
      </c>
      <c r="G272" s="273">
        <f>SUMIFS('Egg Tally'!$G:$G,'Egg Tally'!$C:$C,G$1,'Egg Tally'!$A:$A,'Egg Collections'!$A272)</f>
        <v>0</v>
      </c>
      <c r="H272" s="273">
        <f>SUMIFS('Egg Tally'!$G:$G,'Egg Tally'!$C:$C,H$1,'Egg Tally'!$A:$A,'Egg Collections'!$A272)</f>
        <v>0</v>
      </c>
      <c r="I272" s="2">
        <f t="shared" si="101"/>
        <v>0</v>
      </c>
      <c r="J272" s="17"/>
      <c r="K272" s="10"/>
      <c r="L272" s="10"/>
      <c r="M272" s="10"/>
      <c r="N272" s="10"/>
      <c r="O272" s="10"/>
      <c r="P272" s="10"/>
      <c r="Q272" s="10"/>
      <c r="R272" s="2"/>
      <c r="S272" s="273"/>
      <c r="T272" s="273"/>
      <c r="U272" s="273"/>
      <c r="V272" s="9"/>
      <c r="W272" s="273"/>
      <c r="X272" s="273"/>
      <c r="Y272" s="9"/>
      <c r="Z272" s="273"/>
      <c r="AA272" s="273"/>
      <c r="AB272" s="9"/>
      <c r="AC272" s="273"/>
      <c r="AD272" s="273"/>
      <c r="AE272" s="9"/>
      <c r="AF272" s="273"/>
      <c r="AG272" s="273"/>
      <c r="AH272" s="9"/>
      <c r="AI272" s="273"/>
      <c r="AJ272" s="273"/>
      <c r="AK272" s="9"/>
      <c r="AL272" s="273"/>
      <c r="AM272" s="273"/>
      <c r="AN272" s="9"/>
      <c r="AO272" s="273"/>
      <c r="AP272" s="273"/>
      <c r="AQ272" s="9"/>
      <c r="AR272" s="273"/>
      <c r="AS272" s="39"/>
    </row>
    <row r="273" spans="1:45" ht="12.75">
      <c r="A273" s="163">
        <v>44207</v>
      </c>
      <c r="B273" s="273">
        <f>SUMIFS('Egg Tally'!$G:$G,'Egg Tally'!$C:$C,"M",'Egg Tally'!$A:$A,'Egg Collections'!$A273)</f>
        <v>0</v>
      </c>
      <c r="C273" s="273"/>
      <c r="D273" s="273">
        <f>SUMIFS('Egg Tally'!$G:$G,'Egg Tally'!$C:$C,D$1,'Egg Tally'!$A:$A,'Egg Collections'!$A273)</f>
        <v>1.5803000000000003</v>
      </c>
      <c r="E273" s="273">
        <f>SUMIFS('Egg Tally'!$G:$G,'Egg Tally'!$C:$C,E$1,'Egg Tally'!$A:$A,'Egg Collections'!$A273)</f>
        <v>2.430600000000001</v>
      </c>
      <c r="F273" s="273">
        <f>SUMIFS('Egg Tally'!$G:$G,'Egg Tally'!$C:$C,F$1,'Egg Tally'!$A:$A,'Egg Collections'!$A273)</f>
        <v>2.6247999999999996</v>
      </c>
      <c r="G273" s="273">
        <f>SUMIFS('Egg Tally'!$G:$G,'Egg Tally'!$C:$C,G$1,'Egg Tally'!$A:$A,'Egg Collections'!$A273)</f>
        <v>2.8073000000000006</v>
      </c>
      <c r="H273" s="273">
        <f>SUMIFS('Egg Tally'!$G:$G,'Egg Tally'!$C:$C,H$1,'Egg Tally'!$A:$A,'Egg Collections'!$A273)</f>
        <v>0</v>
      </c>
      <c r="I273" s="2">
        <f t="shared" si="101"/>
        <v>9.4430000000000014</v>
      </c>
      <c r="J273" s="17"/>
      <c r="K273" s="10"/>
      <c r="L273" s="10"/>
      <c r="M273" s="10"/>
      <c r="N273" s="10"/>
      <c r="O273" s="10"/>
      <c r="P273" s="10"/>
      <c r="Q273" s="10"/>
      <c r="R273" s="2"/>
      <c r="S273" s="273"/>
      <c r="T273" s="273"/>
      <c r="U273" s="273"/>
      <c r="V273" s="9"/>
      <c r="W273" s="273"/>
      <c r="X273" s="273"/>
      <c r="Y273" s="9"/>
      <c r="Z273" s="273"/>
      <c r="AA273" s="273"/>
      <c r="AB273" s="9"/>
      <c r="AC273" s="273"/>
      <c r="AD273" s="273"/>
      <c r="AE273" s="9"/>
      <c r="AF273" s="273"/>
      <c r="AG273" s="273"/>
      <c r="AH273" s="9"/>
      <c r="AI273" s="273"/>
      <c r="AJ273" s="273"/>
      <c r="AK273" s="9"/>
      <c r="AL273" s="273"/>
      <c r="AM273" s="273"/>
      <c r="AN273" s="9"/>
      <c r="AO273" s="273"/>
      <c r="AP273" s="273"/>
      <c r="AQ273" s="9"/>
      <c r="AR273" s="273"/>
      <c r="AS273" s="39"/>
    </row>
    <row r="274" spans="1:45" ht="12.75">
      <c r="A274" s="163">
        <v>44208</v>
      </c>
      <c r="B274" s="273">
        <f>SUMIFS('Egg Tally'!$G:$G,'Egg Tally'!$C:$C,"M",'Egg Tally'!$A:$A,'Egg Collections'!$A274)</f>
        <v>0</v>
      </c>
      <c r="C274" s="273"/>
      <c r="D274" s="273">
        <f>SUMIFS('Egg Tally'!$G:$G,'Egg Tally'!$C:$C,D$1,'Egg Tally'!$A:$A,'Egg Collections'!$A274)</f>
        <v>0</v>
      </c>
      <c r="E274" s="273">
        <f>SUMIFS('Egg Tally'!$G:$G,'Egg Tally'!$C:$C,E$1,'Egg Tally'!$A:$A,'Egg Collections'!$A274)</f>
        <v>0</v>
      </c>
      <c r="F274" s="273">
        <f>SUMIFS('Egg Tally'!$G:$G,'Egg Tally'!$C:$C,F$1,'Egg Tally'!$A:$A,'Egg Collections'!$A274)</f>
        <v>0</v>
      </c>
      <c r="G274" s="273">
        <f>SUMIFS('Egg Tally'!$G:$G,'Egg Tally'!$C:$C,G$1,'Egg Tally'!$A:$A,'Egg Collections'!$A274)</f>
        <v>0</v>
      </c>
      <c r="H274" s="273">
        <f>SUMIFS('Egg Tally'!$G:$G,'Egg Tally'!$C:$C,H$1,'Egg Tally'!$A:$A,'Egg Collections'!$A274)</f>
        <v>0</v>
      </c>
      <c r="I274" s="2">
        <f t="shared" si="101"/>
        <v>0</v>
      </c>
      <c r="J274" s="17"/>
      <c r="K274" s="10"/>
      <c r="L274" s="10"/>
      <c r="M274" s="10"/>
      <c r="N274" s="10"/>
      <c r="O274" s="10"/>
      <c r="P274" s="10"/>
      <c r="Q274" s="10"/>
      <c r="R274" s="2"/>
      <c r="S274" s="273"/>
      <c r="T274" s="273"/>
      <c r="U274" s="273"/>
      <c r="V274" s="9"/>
      <c r="W274" s="273"/>
      <c r="X274" s="273"/>
      <c r="Y274" s="9"/>
      <c r="Z274" s="273"/>
      <c r="AA274" s="273"/>
      <c r="AB274" s="9"/>
      <c r="AC274" s="273"/>
      <c r="AD274" s="273"/>
      <c r="AE274" s="9"/>
      <c r="AF274" s="273"/>
      <c r="AG274" s="273"/>
      <c r="AH274" s="9"/>
      <c r="AI274" s="273"/>
      <c r="AJ274" s="273"/>
      <c r="AK274" s="9"/>
      <c r="AL274" s="273"/>
      <c r="AM274" s="273"/>
      <c r="AN274" s="9"/>
      <c r="AO274" s="273"/>
      <c r="AP274" s="273"/>
      <c r="AQ274" s="9"/>
      <c r="AR274" s="273"/>
      <c r="AS274" s="39"/>
    </row>
    <row r="275" spans="1:45" ht="12.75">
      <c r="A275" s="163">
        <v>44209</v>
      </c>
      <c r="B275" s="273">
        <f>SUMIFS('Egg Tally'!$G:$G,'Egg Tally'!$C:$C,"M",'Egg Tally'!$A:$A,'Egg Collections'!$A275)</f>
        <v>0</v>
      </c>
      <c r="C275" s="273"/>
      <c r="D275" s="273">
        <f>SUMIFS('Egg Tally'!$G:$G,'Egg Tally'!$C:$C,D$1,'Egg Tally'!$A:$A,'Egg Collections'!$A275)</f>
        <v>3.8000999999999996</v>
      </c>
      <c r="E275" s="273">
        <f>SUMIFS('Egg Tally'!$G:$G,'Egg Tally'!$C:$C,E$1,'Egg Tally'!$A:$A,'Egg Collections'!$A275)</f>
        <v>14.184999999999999</v>
      </c>
      <c r="F275" s="273">
        <f>SUMIFS('Egg Tally'!$G:$G,'Egg Tally'!$C:$C,F$1,'Egg Tally'!$A:$A,'Egg Collections'!$A275)</f>
        <v>13.8779</v>
      </c>
      <c r="G275" s="273">
        <f>SUMIFS('Egg Tally'!$G:$G,'Egg Tally'!$C:$C,G$1,'Egg Tally'!$A:$A,'Egg Collections'!$A275)</f>
        <v>3.1510999999999996</v>
      </c>
      <c r="H275" s="273">
        <f>SUMIFS('Egg Tally'!$G:$G,'Egg Tally'!$C:$C,H$1,'Egg Tally'!$A:$A,'Egg Collections'!$A275)</f>
        <v>2.6604999999999999</v>
      </c>
      <c r="I275" s="2">
        <f t="shared" si="101"/>
        <v>37.674599999999998</v>
      </c>
      <c r="J275" s="17"/>
      <c r="K275" s="10"/>
      <c r="L275" s="10"/>
      <c r="M275" s="10"/>
      <c r="N275" s="10"/>
      <c r="O275" s="10"/>
      <c r="P275" s="10"/>
      <c r="Q275" s="10"/>
      <c r="R275" s="2"/>
      <c r="S275" s="273"/>
      <c r="T275" s="273"/>
      <c r="U275" s="273"/>
      <c r="V275" s="9"/>
      <c r="W275" s="273"/>
      <c r="X275" s="273"/>
      <c r="Y275" s="9"/>
      <c r="Z275" s="273"/>
      <c r="AA275" s="273"/>
      <c r="AB275" s="9"/>
      <c r="AC275" s="273"/>
      <c r="AD275" s="273"/>
      <c r="AE275" s="9"/>
      <c r="AF275" s="273"/>
      <c r="AG275" s="273"/>
      <c r="AH275" s="9"/>
      <c r="AI275" s="273"/>
      <c r="AJ275" s="273"/>
      <c r="AK275" s="9"/>
      <c r="AL275" s="273"/>
      <c r="AM275" s="273"/>
      <c r="AN275" s="9"/>
      <c r="AO275" s="273"/>
      <c r="AP275" s="273"/>
      <c r="AQ275" s="9"/>
      <c r="AR275" s="273"/>
      <c r="AS275" s="39"/>
    </row>
    <row r="276" spans="1:45" ht="12.75">
      <c r="A276" s="163">
        <v>44210</v>
      </c>
      <c r="B276" s="273">
        <f>SUMIFS('Egg Tally'!$G:$G,'Egg Tally'!$C:$C,"M",'Egg Tally'!$A:$A,'Egg Collections'!$A276)</f>
        <v>0</v>
      </c>
      <c r="C276" s="273"/>
      <c r="D276" s="273">
        <f>SUMIFS('Egg Tally'!$G:$G,'Egg Tally'!$C:$C,D$1,'Egg Tally'!$A:$A,'Egg Collections'!$A276)</f>
        <v>0</v>
      </c>
      <c r="E276" s="273">
        <f>SUMIFS('Egg Tally'!$G:$G,'Egg Tally'!$C:$C,E$1,'Egg Tally'!$A:$A,'Egg Collections'!$A276)</f>
        <v>0</v>
      </c>
      <c r="F276" s="273">
        <f>SUMIFS('Egg Tally'!$G:$G,'Egg Tally'!$C:$C,F$1,'Egg Tally'!$A:$A,'Egg Collections'!$A276)</f>
        <v>0</v>
      </c>
      <c r="G276" s="273">
        <f>SUMIFS('Egg Tally'!$G:$G,'Egg Tally'!$C:$C,G$1,'Egg Tally'!$A:$A,'Egg Collections'!$A276)</f>
        <v>0</v>
      </c>
      <c r="H276" s="273">
        <f>SUMIFS('Egg Tally'!$G:$G,'Egg Tally'!$C:$C,H$1,'Egg Tally'!$A:$A,'Egg Collections'!$A276)</f>
        <v>0</v>
      </c>
      <c r="I276" s="2">
        <f t="shared" si="101"/>
        <v>0</v>
      </c>
      <c r="J276" s="17"/>
      <c r="K276" s="10"/>
      <c r="L276" s="10"/>
      <c r="M276" s="10"/>
      <c r="N276" s="10"/>
      <c r="O276" s="10"/>
      <c r="P276" s="10"/>
      <c r="Q276" s="10"/>
      <c r="R276" s="2"/>
      <c r="S276" s="273"/>
      <c r="T276" s="273"/>
      <c r="U276" s="273"/>
      <c r="V276" s="9"/>
      <c r="W276" s="273"/>
      <c r="X276" s="273"/>
      <c r="Y276" s="9"/>
      <c r="Z276" s="273"/>
      <c r="AA276" s="273"/>
      <c r="AB276" s="9"/>
      <c r="AC276" s="273"/>
      <c r="AD276" s="273"/>
      <c r="AE276" s="9"/>
      <c r="AF276" s="273"/>
      <c r="AG276" s="273"/>
      <c r="AH276" s="9"/>
      <c r="AI276" s="273"/>
      <c r="AJ276" s="273"/>
      <c r="AK276" s="9"/>
      <c r="AL276" s="273"/>
      <c r="AM276" s="273"/>
      <c r="AN276" s="9"/>
      <c r="AO276" s="273"/>
      <c r="AP276" s="273"/>
      <c r="AQ276" s="9"/>
      <c r="AR276" s="273"/>
      <c r="AS276" s="39"/>
    </row>
    <row r="277" spans="1:45" ht="12.75">
      <c r="A277" s="163">
        <v>44211</v>
      </c>
      <c r="B277" s="273">
        <f>SUMIFS('Egg Tally'!$G:$G,'Egg Tally'!$C:$C,"M",'Egg Tally'!$A:$A,'Egg Collections'!$A277)</f>
        <v>0.51040000000000063</v>
      </c>
      <c r="C277" s="273"/>
      <c r="D277" s="273">
        <f>SUMIFS('Egg Tally'!$G:$G,'Egg Tally'!$C:$C,D$1,'Egg Tally'!$A:$A,'Egg Collections'!$A277)</f>
        <v>0.74819999999999975</v>
      </c>
      <c r="E277" s="273">
        <f>SUMIFS('Egg Tally'!$G:$G,'Egg Tally'!$C:$C,E$1,'Egg Tally'!$A:$A,'Egg Collections'!$A277)</f>
        <v>22.148600000000002</v>
      </c>
      <c r="F277" s="273">
        <f>SUMIFS('Egg Tally'!$G:$G,'Egg Tally'!$C:$C,F$1,'Egg Tally'!$A:$A,'Egg Collections'!$A277)</f>
        <v>31.646899999999999</v>
      </c>
      <c r="G277" s="273">
        <f>SUMIFS('Egg Tally'!$G:$G,'Egg Tally'!$C:$C,G$1,'Egg Tally'!$A:$A,'Egg Collections'!$A277)</f>
        <v>15.065</v>
      </c>
      <c r="H277" s="273">
        <f>SUMIFS('Egg Tally'!$G:$G,'Egg Tally'!$C:$C,H$1,'Egg Tally'!$A:$A,'Egg Collections'!$A277)</f>
        <v>8.615499999999999</v>
      </c>
      <c r="I277" s="2">
        <f t="shared" si="101"/>
        <v>78.7346</v>
      </c>
      <c r="J277" s="17" t="s">
        <v>58</v>
      </c>
      <c r="K277" s="10"/>
      <c r="L277" s="10"/>
      <c r="M277" s="10"/>
      <c r="N277" s="10"/>
      <c r="O277" s="10"/>
      <c r="P277" s="10"/>
      <c r="Q277" s="10"/>
      <c r="R277" s="2"/>
      <c r="S277" s="273"/>
      <c r="T277" s="273"/>
      <c r="U277" s="273"/>
      <c r="V277" s="9"/>
      <c r="W277" s="273"/>
      <c r="X277" s="273"/>
      <c r="Y277" s="9"/>
      <c r="Z277" s="273"/>
      <c r="AA277" s="273"/>
      <c r="AB277" s="9"/>
      <c r="AC277" s="273"/>
      <c r="AD277" s="273"/>
      <c r="AE277" s="9"/>
      <c r="AF277" s="273"/>
      <c r="AG277" s="273"/>
      <c r="AH277" s="9"/>
      <c r="AI277" s="273"/>
      <c r="AJ277" s="273"/>
      <c r="AK277" s="9"/>
      <c r="AL277" s="273"/>
      <c r="AM277" s="273"/>
      <c r="AN277" s="9"/>
      <c r="AO277" s="273"/>
      <c r="AP277" s="273"/>
      <c r="AQ277" s="9"/>
      <c r="AR277" s="273"/>
      <c r="AS277" s="39"/>
    </row>
    <row r="278" spans="1:45" ht="12.75">
      <c r="A278" s="163">
        <v>44212</v>
      </c>
      <c r="B278" s="273">
        <f>SUMIFS('Egg Tally'!$G:$G,'Egg Tally'!$C:$C,"M",'Egg Tally'!$A:$A,'Egg Collections'!$A278)</f>
        <v>0</v>
      </c>
      <c r="C278" s="273"/>
      <c r="D278" s="273">
        <f>SUMIFS('Egg Tally'!$G:$G,'Egg Tally'!$C:$C,D$1,'Egg Tally'!$A:$A,'Egg Collections'!$A278)</f>
        <v>0</v>
      </c>
      <c r="E278" s="273">
        <f>SUMIFS('Egg Tally'!$G:$G,'Egg Tally'!$C:$C,E$1,'Egg Tally'!$A:$A,'Egg Collections'!$A278)</f>
        <v>0</v>
      </c>
      <c r="F278" s="273">
        <f>SUMIFS('Egg Tally'!$G:$G,'Egg Tally'!$C:$C,F$1,'Egg Tally'!$A:$A,'Egg Collections'!$A278)</f>
        <v>0</v>
      </c>
      <c r="G278" s="273">
        <f>SUMIFS('Egg Tally'!$G:$G,'Egg Tally'!$C:$C,G$1,'Egg Tally'!$A:$A,'Egg Collections'!$A278)</f>
        <v>0</v>
      </c>
      <c r="H278" s="273">
        <f>SUMIFS('Egg Tally'!$G:$G,'Egg Tally'!$C:$C,H$1,'Egg Tally'!$A:$A,'Egg Collections'!$A278)</f>
        <v>0</v>
      </c>
      <c r="I278" s="2">
        <f t="shared" si="101"/>
        <v>0</v>
      </c>
      <c r="J278" s="17"/>
      <c r="K278" s="10"/>
      <c r="L278" s="10"/>
      <c r="M278" s="10"/>
      <c r="N278" s="10"/>
      <c r="O278" s="10"/>
      <c r="P278" s="10"/>
      <c r="Q278" s="10"/>
      <c r="R278" s="2"/>
      <c r="S278" s="273"/>
      <c r="T278" s="273"/>
      <c r="U278" s="273"/>
      <c r="V278" s="9"/>
      <c r="W278" s="273"/>
      <c r="X278" s="273"/>
      <c r="Y278" s="9"/>
      <c r="Z278" s="273"/>
      <c r="AA278" s="273"/>
      <c r="AB278" s="9"/>
      <c r="AC278" s="273"/>
      <c r="AD278" s="273"/>
      <c r="AE278" s="9"/>
      <c r="AF278" s="273"/>
      <c r="AG278" s="273"/>
      <c r="AH278" s="9"/>
      <c r="AI278" s="273"/>
      <c r="AJ278" s="273"/>
      <c r="AK278" s="9"/>
      <c r="AL278" s="273"/>
      <c r="AM278" s="273"/>
      <c r="AN278" s="9"/>
      <c r="AO278" s="273"/>
      <c r="AP278" s="273"/>
      <c r="AQ278" s="9"/>
      <c r="AR278" s="273"/>
      <c r="AS278" s="39"/>
    </row>
    <row r="279" spans="1:45" ht="12.75">
      <c r="A279" s="163">
        <v>44213</v>
      </c>
      <c r="B279" s="273">
        <f>SUMIFS('Egg Tally'!$G:$G,'Egg Tally'!$C:$C,"M",'Egg Tally'!$A:$A,'Egg Collections'!$A279)</f>
        <v>0</v>
      </c>
      <c r="C279" s="273"/>
      <c r="D279" s="273">
        <f>SUMIFS('Egg Tally'!$G:$G,'Egg Tally'!$C:$C,D$1,'Egg Tally'!$A:$A,'Egg Collections'!$A279)</f>
        <v>0</v>
      </c>
      <c r="E279" s="273">
        <f>SUMIFS('Egg Tally'!$G:$G,'Egg Tally'!$C:$C,E$1,'Egg Tally'!$A:$A,'Egg Collections'!$A279)</f>
        <v>0</v>
      </c>
      <c r="F279" s="273">
        <f>SUMIFS('Egg Tally'!$G:$G,'Egg Tally'!$C:$C,F$1,'Egg Tally'!$A:$A,'Egg Collections'!$A279)</f>
        <v>0</v>
      </c>
      <c r="G279" s="273">
        <f>SUMIFS('Egg Tally'!$G:$G,'Egg Tally'!$C:$C,G$1,'Egg Tally'!$A:$A,'Egg Collections'!$A279)</f>
        <v>0</v>
      </c>
      <c r="H279" s="273">
        <f>SUMIFS('Egg Tally'!$G:$G,'Egg Tally'!$C:$C,H$1,'Egg Tally'!$A:$A,'Egg Collections'!$A279)</f>
        <v>0</v>
      </c>
      <c r="I279" s="2">
        <f>SUM(B279:H279)</f>
        <v>0</v>
      </c>
      <c r="J279" s="17"/>
      <c r="K279" s="10"/>
      <c r="L279" s="10"/>
      <c r="M279" s="10"/>
      <c r="N279" s="10"/>
      <c r="O279" s="10"/>
      <c r="P279" s="10"/>
      <c r="Q279" s="10"/>
      <c r="R279" s="2"/>
      <c r="S279" s="273"/>
      <c r="T279" s="273"/>
      <c r="U279" s="273"/>
      <c r="V279" s="9"/>
      <c r="W279" s="273"/>
      <c r="X279" s="273"/>
      <c r="Y279" s="9"/>
      <c r="Z279" s="273"/>
      <c r="AA279" s="273"/>
      <c r="AB279" s="9"/>
      <c r="AC279" s="273"/>
      <c r="AD279" s="273"/>
      <c r="AE279" s="9"/>
      <c r="AF279" s="273"/>
      <c r="AG279" s="273"/>
      <c r="AH279" s="9"/>
      <c r="AI279" s="273"/>
      <c r="AJ279" s="273"/>
      <c r="AK279" s="9"/>
      <c r="AL279" s="273"/>
      <c r="AM279" s="273"/>
      <c r="AN279" s="9"/>
      <c r="AO279" s="273"/>
      <c r="AP279" s="273"/>
      <c r="AQ279" s="9"/>
      <c r="AR279" s="273"/>
      <c r="AS279" s="39"/>
    </row>
    <row r="280" spans="1:45" ht="12.75">
      <c r="A280" s="163">
        <v>44214</v>
      </c>
      <c r="B280" s="273">
        <f>SUMIFS('Egg Tally'!$G:$G,'Egg Tally'!$C:$C,"M",'Egg Tally'!$A:$A,'Egg Collections'!$A280)</f>
        <v>1.3918999999999997</v>
      </c>
      <c r="C280" s="273"/>
      <c r="D280" s="273">
        <f>SUMIFS('Egg Tally'!$G:$G,'Egg Tally'!$C:$C,D$1,'Egg Tally'!$A:$A,'Egg Collections'!$A280)</f>
        <v>0</v>
      </c>
      <c r="E280" s="273">
        <f>SUMIFS('Egg Tally'!$G:$G,'Egg Tally'!$C:$C,E$1,'Egg Tally'!$A:$A,'Egg Collections'!$A280)</f>
        <v>19.1313</v>
      </c>
      <c r="F280" s="273">
        <f>SUMIFS('Egg Tally'!$G:$G,'Egg Tally'!$C:$C,F$1,'Egg Tally'!$A:$A,'Egg Collections'!$A280)</f>
        <v>5.2159999999999993</v>
      </c>
      <c r="G280" s="273">
        <f>SUMIFS('Egg Tally'!$G:$G,'Egg Tally'!$C:$C,G$1,'Egg Tally'!$A:$A,'Egg Collections'!$A280)</f>
        <v>12.937200000000001</v>
      </c>
      <c r="H280" s="273">
        <f>SUMIFS('Egg Tally'!$G:$G,'Egg Tally'!$C:$C,H$1,'Egg Tally'!$A:$A,'Egg Collections'!$A280)</f>
        <v>11.011899999999999</v>
      </c>
      <c r="I280" s="2">
        <f>SUM(B280:H280)</f>
        <v>49.688299999999998</v>
      </c>
      <c r="J280" s="17"/>
      <c r="K280" s="10"/>
      <c r="L280" s="10"/>
      <c r="M280" s="10"/>
      <c r="N280" s="10"/>
      <c r="O280" s="10"/>
      <c r="P280" s="10"/>
      <c r="Q280" s="10"/>
      <c r="R280" s="2"/>
      <c r="S280" s="273"/>
      <c r="T280" s="273"/>
      <c r="U280" s="273"/>
      <c r="V280" s="9"/>
      <c r="W280" s="273"/>
      <c r="X280" s="273"/>
      <c r="Y280" s="9"/>
      <c r="Z280" s="273"/>
      <c r="AA280" s="273"/>
      <c r="AB280" s="9"/>
      <c r="AC280" s="273"/>
      <c r="AD280" s="273"/>
      <c r="AE280" s="9"/>
      <c r="AF280" s="273"/>
      <c r="AG280" s="273"/>
      <c r="AH280" s="9"/>
      <c r="AI280" s="273"/>
      <c r="AJ280" s="273"/>
      <c r="AK280" s="9"/>
      <c r="AL280" s="273"/>
      <c r="AM280" s="273"/>
      <c r="AN280" s="9"/>
      <c r="AO280" s="273"/>
      <c r="AP280" s="273"/>
      <c r="AQ280" s="9"/>
      <c r="AR280" s="273"/>
      <c r="AS280" s="39"/>
    </row>
    <row r="281" spans="1:45" ht="12.75">
      <c r="A281" s="163">
        <v>44215</v>
      </c>
      <c r="B281" s="273">
        <f>SUMIFS('Egg Tally'!$G:$G,'Egg Tally'!$C:$C,"M",'Egg Tally'!$A:$A,'Egg Collections'!$A281)</f>
        <v>0</v>
      </c>
      <c r="C281" s="273"/>
      <c r="D281" s="273">
        <f>SUMIFS('Egg Tally'!$G:$G,'Egg Tally'!$C:$C,D$1,'Egg Tally'!$A:$A,'Egg Collections'!$A281)</f>
        <v>0</v>
      </c>
      <c r="E281" s="273">
        <f>SUMIFS('Egg Tally'!$G:$G,'Egg Tally'!$C:$C,E$1,'Egg Tally'!$A:$A,'Egg Collections'!$A281)</f>
        <v>0</v>
      </c>
      <c r="F281" s="273">
        <f>SUMIFS('Egg Tally'!$G:$G,'Egg Tally'!$C:$C,F$1,'Egg Tally'!$A:$A,'Egg Collections'!$A281)</f>
        <v>0</v>
      </c>
      <c r="G281" s="273">
        <f>SUMIFS('Egg Tally'!$G:$G,'Egg Tally'!$C:$C,G$1,'Egg Tally'!$A:$A,'Egg Collections'!$A281)</f>
        <v>0</v>
      </c>
      <c r="H281" s="273">
        <f>SUMIFS('Egg Tally'!$G:$G,'Egg Tally'!$C:$C,H$1,'Egg Tally'!$A:$A,'Egg Collections'!$A281)</f>
        <v>0</v>
      </c>
      <c r="I281" s="2">
        <f>SUM(B281:H281)</f>
        <v>0</v>
      </c>
      <c r="J281" s="17"/>
      <c r="K281" s="10"/>
      <c r="L281" s="10"/>
      <c r="M281" s="10"/>
      <c r="N281" s="10"/>
      <c r="O281" s="10"/>
      <c r="P281" s="10"/>
      <c r="Q281" s="10"/>
      <c r="R281" s="2"/>
      <c r="S281" s="273"/>
      <c r="T281" s="273"/>
      <c r="U281" s="273"/>
      <c r="V281" s="9"/>
      <c r="W281" s="273"/>
      <c r="X281" s="273"/>
      <c r="Y281" s="9"/>
      <c r="Z281" s="273"/>
      <c r="AA281" s="273"/>
      <c r="AB281" s="9"/>
      <c r="AC281" s="273"/>
      <c r="AD281" s="273"/>
      <c r="AE281" s="9"/>
      <c r="AF281" s="273"/>
      <c r="AG281" s="273"/>
      <c r="AH281" s="9"/>
      <c r="AI281" s="273"/>
      <c r="AJ281" s="273"/>
      <c r="AK281" s="9"/>
      <c r="AL281" s="273"/>
      <c r="AM281" s="273"/>
      <c r="AN281" s="9"/>
      <c r="AO281" s="273"/>
      <c r="AP281" s="273"/>
      <c r="AQ281" s="9"/>
      <c r="AR281" s="273"/>
      <c r="AS281" s="39"/>
    </row>
    <row r="282" spans="1:45" ht="12.75">
      <c r="A282" s="163">
        <v>44216</v>
      </c>
      <c r="B282" s="273">
        <f>SUMIFS('Egg Tally'!$G:$G,'Egg Tally'!$C:$C,"M",'Egg Tally'!$A:$A,'Egg Collections'!$A282)</f>
        <v>3.8285999999999989</v>
      </c>
      <c r="C282" s="273"/>
      <c r="D282" s="273">
        <f>SUMIFS('Egg Tally'!$G:$G,'Egg Tally'!$C:$C,D$1,'Egg Tally'!$A:$A,'Egg Collections'!$A282)</f>
        <v>0</v>
      </c>
      <c r="E282" s="273">
        <f>SUMIFS('Egg Tally'!$G:$G,'Egg Tally'!$C:$C,E$1,'Egg Tally'!$A:$A,'Egg Collections'!$A282)</f>
        <v>18.415699999999998</v>
      </c>
      <c r="F282" s="273">
        <f>SUMIFS('Egg Tally'!$G:$G,'Egg Tally'!$C:$C,F$1,'Egg Tally'!$A:$A,'Egg Collections'!$A282)</f>
        <v>19.193999999999999</v>
      </c>
      <c r="G282" s="273">
        <f>SUMIFS('Egg Tally'!$G:$G,'Egg Tally'!$C:$C,G$1,'Egg Tally'!$A:$A,'Egg Collections'!$A282)</f>
        <v>18.815300000000001</v>
      </c>
      <c r="H282" s="273">
        <f>SUMIFS('Egg Tally'!$G:$G,'Egg Tally'!$C:$C,H$1,'Egg Tally'!$A:$A,'Egg Collections'!$A282)</f>
        <v>20.1569</v>
      </c>
      <c r="I282" s="2">
        <f>SUM(B282:H282)</f>
        <v>80.410499999999999</v>
      </c>
      <c r="J282" s="17"/>
      <c r="K282" s="10"/>
      <c r="L282" s="10"/>
      <c r="M282" s="10"/>
      <c r="N282" s="10"/>
      <c r="O282" s="10"/>
      <c r="P282" s="10"/>
      <c r="Q282" s="10"/>
      <c r="R282" s="2"/>
      <c r="S282" s="273"/>
      <c r="T282" s="273"/>
      <c r="U282" s="273"/>
      <c r="V282" s="9"/>
      <c r="W282" s="273"/>
      <c r="X282" s="273"/>
      <c r="Y282" s="9"/>
      <c r="Z282" s="273"/>
      <c r="AA282" s="273"/>
      <c r="AB282" s="9"/>
      <c r="AC282" s="273"/>
      <c r="AD282" s="273"/>
      <c r="AE282" s="9"/>
      <c r="AF282" s="273"/>
      <c r="AG282" s="273"/>
      <c r="AH282" s="9"/>
      <c r="AI282" s="273"/>
      <c r="AJ282" s="273"/>
      <c r="AK282" s="9"/>
      <c r="AL282" s="273"/>
      <c r="AM282" s="273"/>
      <c r="AN282" s="9"/>
      <c r="AO282" s="273"/>
      <c r="AP282" s="273"/>
      <c r="AQ282" s="9"/>
      <c r="AR282" s="273"/>
      <c r="AS282" s="39"/>
    </row>
    <row r="283" spans="1:45" ht="12.75">
      <c r="A283" s="163">
        <v>44217</v>
      </c>
      <c r="B283" s="273">
        <f>SUMIFS('Egg Tally'!$G:$G,'Egg Tally'!$C:$C,"M",'Egg Tally'!$A:$A,'Egg Collections'!$A283)</f>
        <v>0</v>
      </c>
      <c r="C283" s="273"/>
      <c r="D283" s="273">
        <f>SUMIFS('Egg Tally'!$G:$G,'Egg Tally'!$C:$C,D$1,'Egg Tally'!$A:$A,'Egg Collections'!$A283)</f>
        <v>0</v>
      </c>
      <c r="E283" s="273">
        <f>SUMIFS('Egg Tally'!$G:$G,'Egg Tally'!$C:$C,E$1,'Egg Tally'!$A:$A,'Egg Collections'!$A283)</f>
        <v>0</v>
      </c>
      <c r="F283" s="273">
        <f>SUMIFS('Egg Tally'!$G:$G,'Egg Tally'!$C:$C,F$1,'Egg Tally'!$A:$A,'Egg Collections'!$A283)</f>
        <v>0</v>
      </c>
      <c r="G283" s="273">
        <f>SUMIFS('Egg Tally'!$G:$G,'Egg Tally'!$C:$C,G$1,'Egg Tally'!$A:$A,'Egg Collections'!$A283)</f>
        <v>0</v>
      </c>
      <c r="H283" s="273">
        <f>SUMIFS('Egg Tally'!$G:$G,'Egg Tally'!$C:$C,H$1,'Egg Tally'!$A:$A,'Egg Collections'!$A283)</f>
        <v>0</v>
      </c>
      <c r="I283" s="2">
        <f>SUM(B283:H283)</f>
        <v>0</v>
      </c>
      <c r="J283" s="17"/>
      <c r="K283" s="10"/>
      <c r="L283" s="10"/>
      <c r="M283" s="10"/>
      <c r="N283" s="10"/>
      <c r="O283" s="10"/>
      <c r="P283" s="10"/>
      <c r="Q283" s="10"/>
      <c r="R283" s="2"/>
      <c r="S283" s="273"/>
      <c r="T283" s="273"/>
      <c r="U283" s="273"/>
      <c r="V283" s="9"/>
      <c r="W283" s="273"/>
      <c r="X283" s="273"/>
      <c r="Y283" s="9"/>
      <c r="Z283" s="273"/>
      <c r="AA283" s="273"/>
      <c r="AB283" s="9"/>
      <c r="AC283" s="273"/>
      <c r="AD283" s="273"/>
      <c r="AE283" s="9"/>
      <c r="AF283" s="273"/>
      <c r="AG283" s="273"/>
      <c r="AH283" s="9"/>
      <c r="AI283" s="273"/>
      <c r="AJ283" s="273"/>
      <c r="AK283" s="9"/>
      <c r="AL283" s="273"/>
      <c r="AM283" s="273"/>
      <c r="AN283" s="9"/>
      <c r="AO283" s="273"/>
      <c r="AP283" s="273"/>
      <c r="AQ283" s="9"/>
      <c r="AR283" s="273"/>
      <c r="AS283" s="39"/>
    </row>
    <row r="284" spans="1:45" ht="12.75">
      <c r="A284" s="163">
        <v>44218</v>
      </c>
      <c r="B284" s="273">
        <f>SUMIFS('Egg Tally'!$G:$G,'Egg Tally'!$C:$C,"M",'Egg Tally'!$A:$A,'Egg Collections'!$A284)</f>
        <v>4.9176000000000002</v>
      </c>
      <c r="C284" s="273"/>
      <c r="D284" s="273">
        <f>SUMIFS('Egg Tally'!$G:$G,'Egg Tally'!$C:$C,D$1,'Egg Tally'!$A:$A,'Egg Collections'!$A284)</f>
        <v>4.1830000000000007</v>
      </c>
      <c r="E284" s="273">
        <f>SUMIFS('Egg Tally'!$G:$G,'Egg Tally'!$C:$C,E$1,'Egg Tally'!$A:$A,'Egg Collections'!$A284)</f>
        <v>30.268700000000003</v>
      </c>
      <c r="F284" s="273">
        <f>SUMIFS('Egg Tally'!$G:$G,'Egg Tally'!$C:$C,F$1,'Egg Tally'!$A:$A,'Egg Collections'!$A284)</f>
        <v>43.1081</v>
      </c>
      <c r="G284" s="273">
        <f>SUMIFS('Egg Tally'!$G:$G,'Egg Tally'!$C:$C,G$1,'Egg Tally'!$A:$A,'Egg Collections'!$A284)</f>
        <v>16.575099999999999</v>
      </c>
      <c r="H284" s="273">
        <f>SUMIFS('Egg Tally'!$G:$G,'Egg Tally'!$C:$C,H$1,'Egg Tally'!$A:$A,'Egg Collections'!$A284)</f>
        <v>17.111899999999999</v>
      </c>
      <c r="I284" s="2">
        <f>SUM(B284:H284)</f>
        <v>116.1644</v>
      </c>
      <c r="J284" s="17" t="s">
        <v>59</v>
      </c>
      <c r="K284" s="10"/>
      <c r="L284" s="10"/>
      <c r="M284" s="10"/>
      <c r="N284" s="10"/>
      <c r="O284" s="10"/>
      <c r="P284" s="10"/>
      <c r="Q284" s="10"/>
      <c r="R284" s="2"/>
      <c r="S284" s="273"/>
      <c r="T284" s="273"/>
      <c r="U284" s="273"/>
      <c r="V284" s="9"/>
      <c r="W284" s="273"/>
      <c r="X284" s="273"/>
      <c r="Y284" s="9"/>
      <c r="Z284" s="273"/>
      <c r="AA284" s="273"/>
      <c r="AB284" s="9"/>
      <c r="AC284" s="273"/>
      <c r="AD284" s="273"/>
      <c r="AE284" s="9"/>
      <c r="AF284" s="273"/>
      <c r="AG284" s="273"/>
      <c r="AH284" s="9"/>
      <c r="AI284" s="273"/>
      <c r="AJ284" s="273"/>
      <c r="AK284" s="9"/>
      <c r="AL284" s="273"/>
      <c r="AM284" s="273"/>
      <c r="AN284" s="9"/>
      <c r="AO284" s="273"/>
      <c r="AP284" s="273"/>
      <c r="AQ284" s="9"/>
      <c r="AR284" s="273"/>
      <c r="AS284" s="39"/>
    </row>
    <row r="285" spans="1:45" ht="12.75">
      <c r="A285" s="163">
        <v>44219</v>
      </c>
      <c r="B285" s="273">
        <f>SUMIFS('Egg Tally'!$G:$G,'Egg Tally'!$C:$C,"M",'Egg Tally'!$A:$A,'Egg Collections'!$A285)</f>
        <v>0</v>
      </c>
      <c r="C285" s="273"/>
      <c r="D285" s="273">
        <f>SUMIFS('Egg Tally'!$G:$G,'Egg Tally'!$C:$C,D$1,'Egg Tally'!$A:$A,'Egg Collections'!$A285)</f>
        <v>0</v>
      </c>
      <c r="E285" s="273">
        <f>SUMIFS('Egg Tally'!$G:$G,'Egg Tally'!$C:$C,E$1,'Egg Tally'!$A:$A,'Egg Collections'!$A285)</f>
        <v>0</v>
      </c>
      <c r="F285" s="273">
        <f>SUMIFS('Egg Tally'!$G:$G,'Egg Tally'!$C:$C,F$1,'Egg Tally'!$A:$A,'Egg Collections'!$A285)</f>
        <v>0</v>
      </c>
      <c r="G285" s="273">
        <f>SUMIFS('Egg Tally'!$G:$G,'Egg Tally'!$C:$C,G$1,'Egg Tally'!$A:$A,'Egg Collections'!$A285)</f>
        <v>0</v>
      </c>
      <c r="H285" s="273">
        <f>SUMIFS('Egg Tally'!$G:$G,'Egg Tally'!$C:$C,H$1,'Egg Tally'!$A:$A,'Egg Collections'!$A285)</f>
        <v>0</v>
      </c>
      <c r="I285" s="2">
        <f>SUM(B285:H285)</f>
        <v>0</v>
      </c>
      <c r="J285" s="17"/>
      <c r="K285" s="10"/>
      <c r="L285" s="10"/>
      <c r="M285" s="10"/>
      <c r="N285" s="10"/>
      <c r="O285" s="10"/>
      <c r="P285" s="10"/>
      <c r="Q285" s="10"/>
      <c r="R285" s="2"/>
      <c r="S285" s="273"/>
      <c r="T285" s="273"/>
      <c r="U285" s="273"/>
      <c r="V285" s="9"/>
      <c r="W285" s="273"/>
      <c r="X285" s="273"/>
      <c r="Y285" s="9"/>
      <c r="Z285" s="273"/>
      <c r="AA285" s="273"/>
      <c r="AB285" s="9"/>
      <c r="AC285" s="273"/>
      <c r="AD285" s="273"/>
      <c r="AE285" s="9"/>
      <c r="AF285" s="273"/>
      <c r="AG285" s="273"/>
      <c r="AH285" s="9"/>
      <c r="AI285" s="273"/>
      <c r="AJ285" s="273"/>
      <c r="AK285" s="9"/>
      <c r="AL285" s="273"/>
      <c r="AM285" s="273"/>
      <c r="AN285" s="9"/>
      <c r="AO285" s="273"/>
      <c r="AP285" s="273"/>
      <c r="AQ285" s="9"/>
      <c r="AR285" s="273"/>
      <c r="AS285" s="39"/>
    </row>
    <row r="286" spans="1:45" ht="12.75">
      <c r="A286" s="163">
        <v>44220</v>
      </c>
      <c r="B286" s="273">
        <f>SUMIFS('Egg Tally'!$G:$G,'Egg Tally'!$C:$C,"M",'Egg Tally'!$A:$A,'Egg Collections'!$A286)</f>
        <v>0</v>
      </c>
      <c r="C286" s="273"/>
      <c r="D286" s="273">
        <f>SUMIFS('Egg Tally'!$G:$G,'Egg Tally'!$C:$C,D$1,'Egg Tally'!$A:$A,'Egg Collections'!$A286)</f>
        <v>0</v>
      </c>
      <c r="E286" s="273">
        <f>SUMIFS('Egg Tally'!$G:$G,'Egg Tally'!$C:$C,E$1,'Egg Tally'!$A:$A,'Egg Collections'!$A286)</f>
        <v>0</v>
      </c>
      <c r="F286" s="273">
        <f>SUMIFS('Egg Tally'!$G:$G,'Egg Tally'!$C:$C,F$1,'Egg Tally'!$A:$A,'Egg Collections'!$A286)</f>
        <v>0</v>
      </c>
      <c r="G286" s="273">
        <f>SUMIFS('Egg Tally'!$G:$G,'Egg Tally'!$C:$C,G$1,'Egg Tally'!$A:$A,'Egg Collections'!$A286)</f>
        <v>0</v>
      </c>
      <c r="H286" s="273">
        <f>SUMIFS('Egg Tally'!$G:$G,'Egg Tally'!$C:$C,H$1,'Egg Tally'!$A:$A,'Egg Collections'!$A286)</f>
        <v>0</v>
      </c>
      <c r="I286" s="2">
        <f>SUM(B286:H286)</f>
        <v>0</v>
      </c>
      <c r="J286" s="17"/>
      <c r="K286" s="10"/>
      <c r="L286" s="10"/>
      <c r="M286" s="10"/>
      <c r="N286" s="10"/>
      <c r="O286" s="10"/>
      <c r="P286" s="10"/>
      <c r="Q286" s="10"/>
      <c r="R286" s="2"/>
      <c r="S286" s="273"/>
      <c r="T286" s="273"/>
      <c r="U286" s="273"/>
      <c r="V286" s="9"/>
      <c r="W286" s="273"/>
      <c r="X286" s="273"/>
      <c r="Y286" s="9"/>
      <c r="Z286" s="273"/>
      <c r="AA286" s="273"/>
      <c r="AB286" s="9"/>
      <c r="AC286" s="273"/>
      <c r="AD286" s="273"/>
      <c r="AE286" s="9"/>
      <c r="AF286" s="273"/>
      <c r="AG286" s="273"/>
      <c r="AH286" s="9"/>
      <c r="AI286" s="273"/>
      <c r="AJ286" s="273"/>
      <c r="AK286" s="9"/>
      <c r="AL286" s="273"/>
      <c r="AM286" s="273"/>
      <c r="AN286" s="9"/>
      <c r="AO286" s="273"/>
      <c r="AP286" s="273"/>
      <c r="AQ286" s="9"/>
      <c r="AR286" s="273"/>
      <c r="AS286" s="39"/>
    </row>
    <row r="287" spans="1:45" ht="12.75">
      <c r="A287" s="163">
        <v>44221</v>
      </c>
      <c r="B287" s="273">
        <f>SUMIFS('Egg Tally'!$G:$G,'Egg Tally'!$C:$C,"M",'Egg Tally'!$A:$A,'Egg Collections'!$A287)</f>
        <v>1.8693</v>
      </c>
      <c r="C287" s="273"/>
      <c r="D287" s="273">
        <f>SUMIFS('Egg Tally'!$G:$G,'Egg Tally'!$C:$C,D$1,'Egg Tally'!$A:$A,'Egg Collections'!$A287)</f>
        <v>3.1408999999999994</v>
      </c>
      <c r="E287" s="273">
        <f>SUMIFS('Egg Tally'!$G:$G,'Egg Tally'!$C:$C,E$1,'Egg Tally'!$A:$A,'Egg Collections'!$A287)</f>
        <v>11.7919</v>
      </c>
      <c r="F287" s="273">
        <f>SUMIFS('Egg Tally'!$G:$G,'Egg Tally'!$C:$C,F$1,'Egg Tally'!$A:$A,'Egg Collections'!$A287)</f>
        <v>27.656099999999999</v>
      </c>
      <c r="G287" s="273">
        <f>SUMIFS('Egg Tally'!$G:$G,'Egg Tally'!$C:$C,G$1,'Egg Tally'!$A:$A,'Egg Collections'!$A287)</f>
        <v>9.4505000000000017</v>
      </c>
      <c r="H287" s="273">
        <f>SUMIFS('Egg Tally'!$G:$G,'Egg Tally'!$C:$C,H$1,'Egg Tally'!$A:$A,'Egg Collections'!$A287)</f>
        <v>3.9811000000000005</v>
      </c>
      <c r="I287" s="2">
        <f>SUM(B287:H287)</f>
        <v>57.889799999999994</v>
      </c>
      <c r="J287" s="17"/>
      <c r="K287" s="10"/>
      <c r="L287" s="10"/>
      <c r="M287" s="10"/>
      <c r="N287" s="10"/>
      <c r="O287" s="10"/>
      <c r="P287" s="10"/>
      <c r="Q287" s="10"/>
      <c r="R287" s="2"/>
      <c r="S287" s="273"/>
      <c r="T287" s="273"/>
      <c r="U287" s="273"/>
      <c r="V287" s="9"/>
      <c r="W287" s="273"/>
      <c r="X287" s="273"/>
      <c r="Y287" s="9"/>
      <c r="Z287" s="273"/>
      <c r="AA287" s="273"/>
      <c r="AB287" s="9"/>
      <c r="AC287" s="273"/>
      <c r="AD287" s="273"/>
      <c r="AE287" s="9"/>
      <c r="AF287" s="273"/>
      <c r="AG287" s="273"/>
      <c r="AH287" s="9"/>
      <c r="AI287" s="273"/>
      <c r="AJ287" s="273"/>
      <c r="AK287" s="9"/>
      <c r="AL287" s="273"/>
      <c r="AM287" s="273"/>
      <c r="AN287" s="9"/>
      <c r="AO287" s="273"/>
      <c r="AP287" s="273"/>
      <c r="AQ287" s="9"/>
      <c r="AR287" s="273"/>
      <c r="AS287" s="39"/>
    </row>
    <row r="288" spans="1:45" ht="12.75">
      <c r="A288" s="163">
        <v>44222</v>
      </c>
      <c r="B288" s="273">
        <f>SUMIFS('Egg Tally'!$G:$G,'Egg Tally'!$C:$C,"M",'Egg Tally'!$A:$A,'Egg Collections'!$A288)</f>
        <v>0</v>
      </c>
      <c r="C288" s="273"/>
      <c r="D288" s="273">
        <f>SUMIFS('Egg Tally'!$G:$G,'Egg Tally'!$C:$C,D$1,'Egg Tally'!$A:$A,'Egg Collections'!$A288)</f>
        <v>0</v>
      </c>
      <c r="E288" s="273">
        <f>SUMIFS('Egg Tally'!$G:$G,'Egg Tally'!$C:$C,E$1,'Egg Tally'!$A:$A,'Egg Collections'!$A288)</f>
        <v>0</v>
      </c>
      <c r="F288" s="273">
        <f>SUMIFS('Egg Tally'!$G:$G,'Egg Tally'!$C:$C,F$1,'Egg Tally'!$A:$A,'Egg Collections'!$A288)</f>
        <v>0</v>
      </c>
      <c r="G288" s="273">
        <f>SUMIFS('Egg Tally'!$G:$G,'Egg Tally'!$C:$C,G$1,'Egg Tally'!$A:$A,'Egg Collections'!$A288)</f>
        <v>0</v>
      </c>
      <c r="H288" s="273">
        <f>SUMIFS('Egg Tally'!$G:$G,'Egg Tally'!$C:$C,H$1,'Egg Tally'!$A:$A,'Egg Collections'!$A288)</f>
        <v>0</v>
      </c>
      <c r="I288" s="2">
        <f>SUM(B288:H288)</f>
        <v>0</v>
      </c>
      <c r="J288" s="17"/>
      <c r="K288" s="10"/>
      <c r="L288" s="10"/>
      <c r="M288" s="10"/>
      <c r="N288" s="10"/>
      <c r="O288" s="10"/>
      <c r="P288" s="10"/>
      <c r="Q288" s="10"/>
      <c r="R288" s="2"/>
      <c r="S288" s="273"/>
      <c r="T288" s="273"/>
      <c r="U288" s="273"/>
      <c r="V288" s="9"/>
      <c r="W288" s="273"/>
      <c r="X288" s="273"/>
      <c r="Y288" s="9"/>
      <c r="Z288" s="273"/>
      <c r="AA288" s="273"/>
      <c r="AB288" s="9"/>
      <c r="AC288" s="273"/>
      <c r="AD288" s="273"/>
      <c r="AE288" s="9"/>
      <c r="AF288" s="273"/>
      <c r="AG288" s="273"/>
      <c r="AH288" s="9"/>
      <c r="AI288" s="273"/>
      <c r="AJ288" s="273"/>
      <c r="AK288" s="9"/>
      <c r="AL288" s="273"/>
      <c r="AM288" s="273"/>
      <c r="AN288" s="9"/>
      <c r="AO288" s="273"/>
      <c r="AP288" s="273"/>
      <c r="AQ288" s="9"/>
      <c r="AR288" s="273"/>
      <c r="AS288" s="39"/>
    </row>
    <row r="289" spans="1:45" ht="12.75">
      <c r="A289" s="163">
        <v>44223</v>
      </c>
      <c r="B289" s="273">
        <f>SUMIFS('Egg Tally'!$G:$G,'Egg Tally'!$C:$C,"M",'Egg Tally'!$A:$A,'Egg Collections'!$A289)</f>
        <v>5.306</v>
      </c>
      <c r="C289" s="273"/>
      <c r="D289" s="273">
        <f>SUMIFS('Egg Tally'!$G:$G,'Egg Tally'!$C:$C,D$1,'Egg Tally'!$A:$A,'Egg Collections'!$A289)</f>
        <v>7.7139999999999995</v>
      </c>
      <c r="E289" s="273">
        <f>SUMIFS('Egg Tally'!$G:$G,'Egg Tally'!$C:$C,E$1,'Egg Tally'!$A:$A,'Egg Collections'!$A289)</f>
        <v>7.6751999999999994</v>
      </c>
      <c r="F289" s="273">
        <f>SUMIFS('Egg Tally'!$G:$G,'Egg Tally'!$C:$C,F$1,'Egg Tally'!$A:$A,'Egg Collections'!$A289)</f>
        <v>23.323</v>
      </c>
      <c r="G289" s="273">
        <f>SUMIFS('Egg Tally'!$G:$G,'Egg Tally'!$C:$C,G$1,'Egg Tally'!$A:$A,'Egg Collections'!$A289)</f>
        <v>22.752299999999998</v>
      </c>
      <c r="H289" s="273">
        <f>SUMIFS('Egg Tally'!$G:$G,'Egg Tally'!$C:$C,H$1,'Egg Tally'!$A:$A,'Egg Collections'!$A289)</f>
        <v>10.9663</v>
      </c>
      <c r="I289" s="2">
        <f>SUM(B289:H289)</f>
        <v>77.736800000000002</v>
      </c>
      <c r="J289" s="17"/>
      <c r="K289" s="10"/>
      <c r="L289" s="10"/>
      <c r="M289" s="10"/>
      <c r="N289" s="10"/>
      <c r="O289" s="10"/>
      <c r="P289" s="10"/>
      <c r="Q289" s="10"/>
      <c r="R289" s="2"/>
      <c r="S289" s="273"/>
      <c r="T289" s="273"/>
      <c r="U289" s="273"/>
      <c r="V289" s="9"/>
      <c r="W289" s="273"/>
      <c r="X289" s="273"/>
      <c r="Y289" s="9"/>
      <c r="Z289" s="273"/>
      <c r="AA289" s="273"/>
      <c r="AB289" s="9"/>
      <c r="AC289" s="273"/>
      <c r="AD289" s="273"/>
      <c r="AE289" s="9"/>
      <c r="AF289" s="273"/>
      <c r="AG289" s="273"/>
      <c r="AH289" s="9"/>
      <c r="AI289" s="273"/>
      <c r="AJ289" s="273"/>
      <c r="AK289" s="9"/>
      <c r="AL289" s="273"/>
      <c r="AM289" s="273"/>
      <c r="AN289" s="9"/>
      <c r="AO289" s="273"/>
      <c r="AP289" s="273"/>
      <c r="AQ289" s="9"/>
      <c r="AR289" s="273"/>
      <c r="AS289" s="39"/>
    </row>
    <row r="290" spans="1:45" ht="12.75">
      <c r="A290" s="163">
        <v>44224</v>
      </c>
      <c r="B290" s="273">
        <f>SUMIFS('Egg Tally'!$G:$G,'Egg Tally'!$C:$C,"M",'Egg Tally'!$A:$A,'Egg Collections'!$A290)</f>
        <v>0</v>
      </c>
      <c r="C290" s="273"/>
      <c r="D290" s="273">
        <f>SUMIFS('Egg Tally'!$G:$G,'Egg Tally'!$C:$C,D$1,'Egg Tally'!$A:$A,'Egg Collections'!$A290)</f>
        <v>0</v>
      </c>
      <c r="E290" s="273">
        <f>SUMIFS('Egg Tally'!$G:$G,'Egg Tally'!$C:$C,E$1,'Egg Tally'!$A:$A,'Egg Collections'!$A290)</f>
        <v>0</v>
      </c>
      <c r="F290" s="273">
        <f>SUMIFS('Egg Tally'!$G:$G,'Egg Tally'!$C:$C,F$1,'Egg Tally'!$A:$A,'Egg Collections'!$A290)</f>
        <v>0</v>
      </c>
      <c r="G290" s="273">
        <f>SUMIFS('Egg Tally'!$G:$G,'Egg Tally'!$C:$C,G$1,'Egg Tally'!$A:$A,'Egg Collections'!$A290)</f>
        <v>0</v>
      </c>
      <c r="H290" s="273">
        <f>SUMIFS('Egg Tally'!$G:$G,'Egg Tally'!$C:$C,H$1,'Egg Tally'!$A:$A,'Egg Collections'!$A290)</f>
        <v>0</v>
      </c>
      <c r="I290" s="2">
        <f>SUM(B290:H290)</f>
        <v>0</v>
      </c>
      <c r="J290" s="17"/>
      <c r="K290" s="10"/>
      <c r="L290" s="10"/>
      <c r="M290" s="10"/>
      <c r="N290" s="10"/>
      <c r="O290" s="10"/>
      <c r="P290" s="10"/>
      <c r="Q290" s="10"/>
      <c r="R290" s="2"/>
      <c r="S290" s="273"/>
      <c r="T290" s="273"/>
      <c r="U290" s="273"/>
      <c r="V290" s="9"/>
      <c r="W290" s="273"/>
      <c r="X290" s="273"/>
      <c r="Y290" s="9"/>
      <c r="Z290" s="273"/>
      <c r="AA290" s="273"/>
      <c r="AB290" s="9"/>
      <c r="AC290" s="273"/>
      <c r="AD290" s="273"/>
      <c r="AE290" s="9"/>
      <c r="AF290" s="273"/>
      <c r="AG290" s="273"/>
      <c r="AH290" s="9"/>
      <c r="AI290" s="273"/>
      <c r="AJ290" s="273"/>
      <c r="AK290" s="9"/>
      <c r="AL290" s="273"/>
      <c r="AM290" s="273"/>
      <c r="AN290" s="9"/>
      <c r="AO290" s="273"/>
      <c r="AP290" s="273"/>
      <c r="AQ290" s="9"/>
      <c r="AR290" s="273"/>
      <c r="AS290" s="39"/>
    </row>
    <row r="291" spans="1:45" ht="12.75">
      <c r="A291" s="163">
        <v>44225</v>
      </c>
      <c r="B291" s="273">
        <f>SUMIFS('Egg Tally'!$G:$G,'Egg Tally'!$C:$C,"M",'Egg Tally'!$A:$A,'Egg Collections'!$A291)</f>
        <v>0</v>
      </c>
      <c r="C291" s="273"/>
      <c r="D291" s="273">
        <f>SUMIFS('Egg Tally'!$G:$G,'Egg Tally'!$C:$C,D$1,'Egg Tally'!$A:$A,'Egg Collections'!$A291)</f>
        <v>0</v>
      </c>
      <c r="E291" s="273">
        <f>SUMIFS('Egg Tally'!$G:$G,'Egg Tally'!$C:$C,E$1,'Egg Tally'!$A:$A,'Egg Collections'!$A291)</f>
        <v>0</v>
      </c>
      <c r="F291" s="273">
        <f>SUMIFS('Egg Tally'!$G:$G,'Egg Tally'!$C:$C,F$1,'Egg Tally'!$A:$A,'Egg Collections'!$A291)</f>
        <v>0</v>
      </c>
      <c r="G291" s="273">
        <f>SUMIFS('Egg Tally'!$G:$G,'Egg Tally'!$C:$C,G$1,'Egg Tally'!$A:$A,'Egg Collections'!$A291)</f>
        <v>0</v>
      </c>
      <c r="H291" s="273">
        <f>SUMIFS('Egg Tally'!$G:$G,'Egg Tally'!$C:$C,H$1,'Egg Tally'!$A:$A,'Egg Collections'!$A291)</f>
        <v>0</v>
      </c>
      <c r="I291" s="2">
        <f>SUM(B291:H291)</f>
        <v>0</v>
      </c>
      <c r="J291" s="17"/>
      <c r="K291" s="10"/>
      <c r="L291" s="10"/>
      <c r="M291" s="10"/>
      <c r="N291" s="10"/>
      <c r="O291" s="10"/>
      <c r="P291" s="10"/>
      <c r="Q291" s="10"/>
      <c r="R291" s="2"/>
      <c r="S291" s="273"/>
      <c r="T291" s="273"/>
      <c r="U291" s="273"/>
      <c r="V291" s="9"/>
      <c r="W291" s="273"/>
      <c r="X291" s="273"/>
      <c r="Y291" s="9"/>
      <c r="Z291" s="273"/>
      <c r="AA291" s="273"/>
      <c r="AB291" s="9"/>
      <c r="AC291" s="273"/>
      <c r="AD291" s="273"/>
      <c r="AE291" s="9"/>
      <c r="AF291" s="273"/>
      <c r="AG291" s="273"/>
      <c r="AH291" s="9"/>
      <c r="AI291" s="273"/>
      <c r="AJ291" s="273"/>
      <c r="AK291" s="9"/>
      <c r="AL291" s="273"/>
      <c r="AM291" s="273"/>
      <c r="AN291" s="9"/>
      <c r="AO291" s="273"/>
      <c r="AP291" s="273"/>
      <c r="AQ291" s="9"/>
      <c r="AR291" s="273"/>
      <c r="AS291" s="39"/>
    </row>
    <row r="292" spans="1:45" ht="12.75">
      <c r="A292" s="163">
        <v>44226</v>
      </c>
      <c r="B292" s="273">
        <f>SUMIFS('Egg Tally'!$G:$G,'Egg Tally'!$C:$C,"M",'Egg Tally'!$A:$A,'Egg Collections'!$A292)</f>
        <v>0</v>
      </c>
      <c r="C292" s="273"/>
      <c r="D292" s="273">
        <f>SUMIFS('Egg Tally'!$G:$G,'Egg Tally'!$C:$C,D$1,'Egg Tally'!$A:$A,'Egg Collections'!$A292)</f>
        <v>0</v>
      </c>
      <c r="E292" s="273">
        <f>SUMIFS('Egg Tally'!$G:$G,'Egg Tally'!$C:$C,E$1,'Egg Tally'!$A:$A,'Egg Collections'!$A292)</f>
        <v>0</v>
      </c>
      <c r="F292" s="273">
        <f>SUMIFS('Egg Tally'!$G:$G,'Egg Tally'!$C:$C,F$1,'Egg Tally'!$A:$A,'Egg Collections'!$A292)</f>
        <v>0</v>
      </c>
      <c r="G292" s="273">
        <f>SUMIFS('Egg Tally'!$G:$G,'Egg Tally'!$C:$C,G$1,'Egg Tally'!$A:$A,'Egg Collections'!$A292)</f>
        <v>0</v>
      </c>
      <c r="H292" s="273">
        <f>SUMIFS('Egg Tally'!$G:$G,'Egg Tally'!$C:$C,H$1,'Egg Tally'!$A:$A,'Egg Collections'!$A292)</f>
        <v>0</v>
      </c>
      <c r="I292" s="2">
        <f>SUM(B292:H292)</f>
        <v>0</v>
      </c>
      <c r="J292" s="17"/>
      <c r="K292" s="10"/>
      <c r="L292" s="10"/>
      <c r="M292" s="10"/>
      <c r="N292" s="10"/>
      <c r="O292" s="10"/>
      <c r="P292" s="10"/>
      <c r="Q292" s="10"/>
      <c r="R292" s="2"/>
      <c r="S292" s="273"/>
      <c r="T292" s="273"/>
      <c r="U292" s="273"/>
      <c r="V292" s="9"/>
      <c r="W292" s="273"/>
      <c r="X292" s="273"/>
      <c r="Y292" s="9"/>
      <c r="Z292" s="273"/>
      <c r="AA292" s="273"/>
      <c r="AB292" s="9"/>
      <c r="AC292" s="273"/>
      <c r="AD292" s="273"/>
      <c r="AE292" s="9"/>
      <c r="AF292" s="273"/>
      <c r="AG292" s="273"/>
      <c r="AH292" s="9"/>
      <c r="AI292" s="273"/>
      <c r="AJ292" s="273"/>
      <c r="AK292" s="9"/>
      <c r="AL292" s="273"/>
      <c r="AM292" s="273"/>
      <c r="AN292" s="9"/>
      <c r="AO292" s="273"/>
      <c r="AP292" s="273"/>
      <c r="AQ292" s="9"/>
      <c r="AR292" s="273"/>
      <c r="AS292" s="39"/>
    </row>
    <row r="293" spans="1:45" ht="12.75">
      <c r="A293" s="163">
        <v>44227</v>
      </c>
      <c r="B293" s="273">
        <f>SUMIFS('Egg Tally'!$G:$G,'Egg Tally'!$C:$C,"M",'Egg Tally'!$A:$A,'Egg Collections'!$A293)</f>
        <v>0</v>
      </c>
      <c r="C293" s="273"/>
      <c r="D293" s="273">
        <f>SUMIFS('Egg Tally'!$G:$G,'Egg Tally'!$C:$C,D$1,'Egg Tally'!$A:$A,'Egg Collections'!$A293)</f>
        <v>0</v>
      </c>
      <c r="E293" s="273">
        <f>SUMIFS('Egg Tally'!$G:$G,'Egg Tally'!$C:$C,E$1,'Egg Tally'!$A:$A,'Egg Collections'!$A293)</f>
        <v>0</v>
      </c>
      <c r="F293" s="273">
        <f>SUMIFS('Egg Tally'!$G:$G,'Egg Tally'!$C:$C,F$1,'Egg Tally'!$A:$A,'Egg Collections'!$A293)</f>
        <v>0</v>
      </c>
      <c r="G293" s="273">
        <f>SUMIFS('Egg Tally'!$G:$G,'Egg Tally'!$C:$C,G$1,'Egg Tally'!$A:$A,'Egg Collections'!$A293)</f>
        <v>0</v>
      </c>
      <c r="H293" s="273">
        <f>SUMIFS('Egg Tally'!$G:$G,'Egg Tally'!$C:$C,H$1,'Egg Tally'!$A:$A,'Egg Collections'!$A293)</f>
        <v>0</v>
      </c>
      <c r="I293" s="2">
        <f>SUM(B293:H293)</f>
        <v>0</v>
      </c>
      <c r="J293" s="17"/>
      <c r="K293" s="10"/>
      <c r="L293" s="10"/>
      <c r="M293" s="10"/>
      <c r="N293" s="10"/>
      <c r="O293" s="10"/>
      <c r="P293" s="10"/>
      <c r="Q293" s="10"/>
      <c r="R293" s="2"/>
      <c r="S293" s="273"/>
      <c r="T293" s="273"/>
      <c r="U293" s="273"/>
      <c r="V293" s="9"/>
      <c r="W293" s="273"/>
      <c r="X293" s="273"/>
      <c r="Y293" s="9"/>
      <c r="Z293" s="273"/>
      <c r="AA293" s="273"/>
      <c r="AB293" s="9"/>
      <c r="AC293" s="273"/>
      <c r="AD293" s="273"/>
      <c r="AE293" s="9"/>
      <c r="AF293" s="273"/>
      <c r="AG293" s="273"/>
      <c r="AH293" s="9"/>
      <c r="AI293" s="273"/>
      <c r="AJ293" s="273"/>
      <c r="AK293" s="9"/>
      <c r="AL293" s="273"/>
      <c r="AM293" s="273"/>
      <c r="AN293" s="9"/>
      <c r="AO293" s="273"/>
      <c r="AP293" s="273"/>
      <c r="AQ293" s="9"/>
      <c r="AR293" s="273"/>
      <c r="AS293" s="39"/>
    </row>
    <row r="294" spans="1:45" ht="12.75">
      <c r="A294" s="163">
        <v>44228</v>
      </c>
      <c r="B294" s="273">
        <f>SUMIFS('Egg Tally'!$G:$G,'Egg Tally'!$C:$C,"M",'Egg Tally'!$A:$A,'Egg Collections'!$A294)</f>
        <v>0</v>
      </c>
      <c r="C294" s="273"/>
      <c r="D294" s="273">
        <f>SUMIFS('Egg Tally'!$G:$G,'Egg Tally'!$C:$C,D$1,'Egg Tally'!$A:$A,'Egg Collections'!$A294)</f>
        <v>0</v>
      </c>
      <c r="E294" s="273">
        <f>SUMIFS('Egg Tally'!$G:$G,'Egg Tally'!$C:$C,E$1,'Egg Tally'!$A:$A,'Egg Collections'!$A294)</f>
        <v>0</v>
      </c>
      <c r="F294" s="273">
        <f>SUMIFS('Egg Tally'!$G:$G,'Egg Tally'!$C:$C,F$1,'Egg Tally'!$A:$A,'Egg Collections'!$A294)</f>
        <v>0</v>
      </c>
      <c r="G294" s="273">
        <f>SUMIFS('Egg Tally'!$G:$G,'Egg Tally'!$C:$C,G$1,'Egg Tally'!$A:$A,'Egg Collections'!$A294)</f>
        <v>0</v>
      </c>
      <c r="H294" s="273">
        <f>SUMIFS('Egg Tally'!$G:$G,'Egg Tally'!$C:$C,H$1,'Egg Tally'!$A:$A,'Egg Collections'!$A294)</f>
        <v>0</v>
      </c>
      <c r="I294" s="2">
        <f>SUM(B294:H294)</f>
        <v>0</v>
      </c>
      <c r="J294" s="17"/>
      <c r="K294" s="10"/>
      <c r="L294" s="10"/>
      <c r="M294" s="10"/>
      <c r="N294" s="10"/>
      <c r="O294" s="10"/>
      <c r="P294" s="10"/>
      <c r="Q294" s="10"/>
      <c r="R294" s="2"/>
      <c r="S294" s="273"/>
      <c r="T294" s="273"/>
      <c r="U294" s="273"/>
      <c r="V294" s="9"/>
      <c r="W294" s="273"/>
      <c r="X294" s="273"/>
      <c r="Y294" s="9"/>
      <c r="Z294" s="273"/>
      <c r="AA294" s="273"/>
      <c r="AB294" s="9"/>
      <c r="AC294" s="273"/>
      <c r="AD294" s="273"/>
      <c r="AE294" s="9"/>
      <c r="AF294" s="273"/>
      <c r="AG294" s="273"/>
      <c r="AH294" s="9"/>
      <c r="AI294" s="273"/>
      <c r="AJ294" s="273"/>
      <c r="AK294" s="9"/>
      <c r="AL294" s="273"/>
      <c r="AM294" s="273"/>
      <c r="AN294" s="9"/>
      <c r="AO294" s="273"/>
      <c r="AP294" s="273"/>
      <c r="AQ294" s="9"/>
      <c r="AR294" s="273"/>
      <c r="AS294" s="39"/>
    </row>
    <row r="295" spans="1:45" ht="12.75">
      <c r="A295" s="163">
        <v>44229</v>
      </c>
      <c r="B295" s="273">
        <f>SUMIFS('Egg Tally'!$G:$G,'Egg Tally'!$C:$C,"M",'Egg Tally'!$A:$A,'Egg Collections'!$A295)</f>
        <v>0</v>
      </c>
      <c r="C295" s="273"/>
      <c r="D295" s="273">
        <f>SUMIFS('Egg Tally'!$G:$G,'Egg Tally'!$C:$C,D$1,'Egg Tally'!$A:$A,'Egg Collections'!$A295)</f>
        <v>0</v>
      </c>
      <c r="E295" s="273">
        <f>SUMIFS('Egg Tally'!$G:$G,'Egg Tally'!$C:$C,E$1,'Egg Tally'!$A:$A,'Egg Collections'!$A295)</f>
        <v>0</v>
      </c>
      <c r="F295" s="273">
        <f>SUMIFS('Egg Tally'!$G:$G,'Egg Tally'!$C:$C,F$1,'Egg Tally'!$A:$A,'Egg Collections'!$A295)</f>
        <v>0</v>
      </c>
      <c r="G295" s="273">
        <f>SUMIFS('Egg Tally'!$G:$G,'Egg Tally'!$C:$C,G$1,'Egg Tally'!$A:$A,'Egg Collections'!$A295)</f>
        <v>0</v>
      </c>
      <c r="H295" s="273">
        <f>SUMIFS('Egg Tally'!$G:$G,'Egg Tally'!$C:$C,H$1,'Egg Tally'!$A:$A,'Egg Collections'!$A295)</f>
        <v>0</v>
      </c>
      <c r="I295" s="2">
        <f>SUM(B295:H295)</f>
        <v>0</v>
      </c>
      <c r="J295" s="17"/>
      <c r="K295" s="10"/>
      <c r="L295" s="10"/>
      <c r="M295" s="10"/>
      <c r="N295" s="10"/>
      <c r="O295" s="10"/>
      <c r="P295" s="10"/>
      <c r="Q295" s="10"/>
      <c r="R295" s="2"/>
      <c r="S295" s="273"/>
      <c r="T295" s="273"/>
      <c r="U295" s="273"/>
      <c r="V295" s="9"/>
      <c r="W295" s="273"/>
      <c r="X295" s="273"/>
      <c r="Y295" s="9"/>
      <c r="Z295" s="273"/>
      <c r="AA295" s="273"/>
      <c r="AB295" s="9"/>
      <c r="AC295" s="273"/>
      <c r="AD295" s="273"/>
      <c r="AE295" s="9"/>
      <c r="AF295" s="273"/>
      <c r="AG295" s="273"/>
      <c r="AH295" s="9"/>
      <c r="AI295" s="273"/>
      <c r="AJ295" s="273"/>
      <c r="AK295" s="9"/>
      <c r="AL295" s="273"/>
      <c r="AM295" s="273"/>
      <c r="AN295" s="9"/>
      <c r="AO295" s="273"/>
      <c r="AP295" s="273"/>
      <c r="AQ295" s="9"/>
      <c r="AR295" s="273"/>
      <c r="AS295" s="39"/>
    </row>
    <row r="296" spans="1:45" ht="12.75">
      <c r="A296" s="163">
        <v>44230</v>
      </c>
      <c r="B296" s="273">
        <f>SUMIFS('Egg Tally'!$G:$G,'Egg Tally'!$C:$C,"M",'Egg Tally'!$A:$A,'Egg Collections'!$A296)</f>
        <v>0</v>
      </c>
      <c r="C296" s="273"/>
      <c r="D296" s="273">
        <f>SUMIFS('Egg Tally'!$G:$G,'Egg Tally'!$C:$C,D$1,'Egg Tally'!$A:$A,'Egg Collections'!$A296)</f>
        <v>0</v>
      </c>
      <c r="E296" s="273">
        <f>SUMIFS('Egg Tally'!$G:$G,'Egg Tally'!$C:$C,E$1,'Egg Tally'!$A:$A,'Egg Collections'!$A296)</f>
        <v>0</v>
      </c>
      <c r="F296" s="273">
        <f>SUMIFS('Egg Tally'!$G:$G,'Egg Tally'!$C:$C,F$1,'Egg Tally'!$A:$A,'Egg Collections'!$A296)</f>
        <v>0</v>
      </c>
      <c r="G296" s="273">
        <f>SUMIFS('Egg Tally'!$G:$G,'Egg Tally'!$C:$C,G$1,'Egg Tally'!$A:$A,'Egg Collections'!$A296)</f>
        <v>0</v>
      </c>
      <c r="H296" s="273">
        <f>SUMIFS('Egg Tally'!$G:$G,'Egg Tally'!$C:$C,H$1,'Egg Tally'!$A:$A,'Egg Collections'!$A296)</f>
        <v>0</v>
      </c>
      <c r="I296" s="2">
        <f>SUM(B296:H296)</f>
        <v>0</v>
      </c>
      <c r="J296" s="17"/>
      <c r="K296" s="10"/>
      <c r="L296" s="10"/>
      <c r="M296" s="10"/>
      <c r="N296" s="10"/>
      <c r="O296" s="10"/>
      <c r="P296" s="10"/>
      <c r="Q296" s="10"/>
      <c r="R296" s="2"/>
      <c r="S296" s="273"/>
      <c r="T296" s="273"/>
      <c r="U296" s="273"/>
      <c r="V296" s="9"/>
      <c r="W296" s="273"/>
      <c r="X296" s="273"/>
      <c r="Y296" s="9"/>
      <c r="Z296" s="273"/>
      <c r="AA296" s="273"/>
      <c r="AB296" s="9"/>
      <c r="AC296" s="273"/>
      <c r="AD296" s="273"/>
      <c r="AE296" s="9"/>
      <c r="AF296" s="273"/>
      <c r="AG296" s="273"/>
      <c r="AH296" s="9"/>
      <c r="AI296" s="273"/>
      <c r="AJ296" s="273"/>
      <c r="AK296" s="9"/>
      <c r="AL296" s="273"/>
      <c r="AM296" s="273"/>
      <c r="AN296" s="9"/>
      <c r="AO296" s="273"/>
      <c r="AP296" s="273"/>
      <c r="AQ296" s="9"/>
      <c r="AR296" s="273"/>
      <c r="AS296" s="39"/>
    </row>
    <row r="297" spans="1:45" ht="12.75">
      <c r="A297" s="163">
        <v>44231</v>
      </c>
      <c r="B297" s="273">
        <f>SUMIFS('Egg Tally'!$G:$G,'Egg Tally'!$C:$C,"M",'Egg Tally'!$A:$A,'Egg Collections'!$A297)</f>
        <v>0</v>
      </c>
      <c r="C297" s="273"/>
      <c r="D297" s="273">
        <f>SUMIFS('Egg Tally'!$G:$G,'Egg Tally'!$C:$C,D$1,'Egg Tally'!$A:$A,'Egg Collections'!$A297)</f>
        <v>0</v>
      </c>
      <c r="E297" s="273">
        <f>SUMIFS('Egg Tally'!$G:$G,'Egg Tally'!$C:$C,E$1,'Egg Tally'!$A:$A,'Egg Collections'!$A297)</f>
        <v>0</v>
      </c>
      <c r="F297" s="273">
        <f>SUMIFS('Egg Tally'!$G:$G,'Egg Tally'!$C:$C,F$1,'Egg Tally'!$A:$A,'Egg Collections'!$A297)</f>
        <v>0</v>
      </c>
      <c r="G297" s="273">
        <f>SUMIFS('Egg Tally'!$G:$G,'Egg Tally'!$C:$C,G$1,'Egg Tally'!$A:$A,'Egg Collections'!$A297)</f>
        <v>0</v>
      </c>
      <c r="H297" s="273">
        <f>SUMIFS('Egg Tally'!$G:$G,'Egg Tally'!$C:$C,H$1,'Egg Tally'!$A:$A,'Egg Collections'!$A297)</f>
        <v>0</v>
      </c>
      <c r="I297" s="2">
        <f>SUM(B297:H297)</f>
        <v>0</v>
      </c>
      <c r="J297" s="17"/>
      <c r="K297" s="10"/>
      <c r="L297" s="10"/>
      <c r="M297" s="10"/>
      <c r="N297" s="10"/>
      <c r="O297" s="10"/>
      <c r="P297" s="10"/>
      <c r="Q297" s="10"/>
      <c r="R297" s="2"/>
      <c r="S297" s="273"/>
      <c r="T297" s="273"/>
      <c r="U297" s="273"/>
      <c r="V297" s="9"/>
      <c r="W297" s="273"/>
      <c r="X297" s="273"/>
      <c r="Y297" s="9"/>
      <c r="Z297" s="273"/>
      <c r="AA297" s="273"/>
      <c r="AB297" s="9"/>
      <c r="AC297" s="273"/>
      <c r="AD297" s="273"/>
      <c r="AE297" s="9"/>
      <c r="AF297" s="273"/>
      <c r="AG297" s="273"/>
      <c r="AH297" s="9"/>
      <c r="AI297" s="273"/>
      <c r="AJ297" s="273"/>
      <c r="AK297" s="9"/>
      <c r="AL297" s="273"/>
      <c r="AM297" s="273"/>
      <c r="AN297" s="9"/>
      <c r="AO297" s="273"/>
      <c r="AP297" s="273"/>
      <c r="AQ297" s="9"/>
      <c r="AR297" s="273"/>
      <c r="AS297" s="39"/>
    </row>
    <row r="298" spans="1:45" ht="12.75">
      <c r="A298" s="163">
        <v>44232</v>
      </c>
      <c r="B298" s="273">
        <f>SUMIFS('Egg Tally'!$G:$G,'Egg Tally'!$C:$C,"M",'Egg Tally'!$A:$A,'Egg Collections'!$A298)</f>
        <v>0</v>
      </c>
      <c r="C298" s="273"/>
      <c r="D298" s="273">
        <f>SUMIFS('Egg Tally'!$G:$G,'Egg Tally'!$C:$C,D$1,'Egg Tally'!$A:$A,'Egg Collections'!$A298)</f>
        <v>0</v>
      </c>
      <c r="E298" s="273">
        <f>SUMIFS('Egg Tally'!$G:$G,'Egg Tally'!$C:$C,E$1,'Egg Tally'!$A:$A,'Egg Collections'!$A298)</f>
        <v>0</v>
      </c>
      <c r="F298" s="273">
        <f>SUMIFS('Egg Tally'!$G:$G,'Egg Tally'!$C:$C,F$1,'Egg Tally'!$A:$A,'Egg Collections'!$A298)</f>
        <v>0</v>
      </c>
      <c r="G298" s="273">
        <f>SUMIFS('Egg Tally'!$G:$G,'Egg Tally'!$C:$C,G$1,'Egg Tally'!$A:$A,'Egg Collections'!$A298)</f>
        <v>0</v>
      </c>
      <c r="H298" s="273">
        <f>SUMIFS('Egg Tally'!$G:$G,'Egg Tally'!$C:$C,H$1,'Egg Tally'!$A:$A,'Egg Collections'!$A298)</f>
        <v>0</v>
      </c>
      <c r="I298" s="2">
        <f>SUM(B298:H298)</f>
        <v>0</v>
      </c>
      <c r="J298" s="17"/>
      <c r="K298" s="10"/>
      <c r="L298" s="10"/>
      <c r="M298" s="10"/>
      <c r="N298" s="10"/>
      <c r="O298" s="10"/>
      <c r="P298" s="10"/>
      <c r="Q298" s="10"/>
      <c r="R298" s="2"/>
      <c r="S298" s="273"/>
      <c r="T298" s="273"/>
      <c r="U298" s="273"/>
      <c r="V298" s="9"/>
      <c r="W298" s="273"/>
      <c r="X298" s="273"/>
      <c r="Y298" s="9"/>
      <c r="Z298" s="273"/>
      <c r="AA298" s="273"/>
      <c r="AB298" s="9"/>
      <c r="AC298" s="273"/>
      <c r="AD298" s="273"/>
      <c r="AE298" s="9"/>
      <c r="AF298" s="273"/>
      <c r="AG298" s="273"/>
      <c r="AH298" s="9"/>
      <c r="AI298" s="273"/>
      <c r="AJ298" s="273"/>
      <c r="AK298" s="9"/>
      <c r="AL298" s="273"/>
      <c r="AM298" s="273"/>
      <c r="AN298" s="9"/>
      <c r="AO298" s="273"/>
      <c r="AP298" s="273"/>
      <c r="AQ298" s="9"/>
      <c r="AR298" s="273"/>
      <c r="AS298" s="39"/>
    </row>
    <row r="299" spans="1:45" ht="12.75">
      <c r="A299" s="163">
        <v>44233</v>
      </c>
      <c r="B299" s="273">
        <f>SUMIFS('Egg Tally'!$G:$G,'Egg Tally'!$C:$C,"M",'Egg Tally'!$A:$A,'Egg Collections'!$A299)</f>
        <v>0</v>
      </c>
      <c r="C299" s="273"/>
      <c r="D299" s="273">
        <f>SUMIFS('Egg Tally'!$G:$G,'Egg Tally'!$C:$C,D$1,'Egg Tally'!$A:$A,'Egg Collections'!$A299)</f>
        <v>0</v>
      </c>
      <c r="E299" s="273">
        <f>SUMIFS('Egg Tally'!$G:$G,'Egg Tally'!$C:$C,E$1,'Egg Tally'!$A:$A,'Egg Collections'!$A299)</f>
        <v>0</v>
      </c>
      <c r="F299" s="273">
        <f>SUMIFS('Egg Tally'!$G:$G,'Egg Tally'!$C:$C,F$1,'Egg Tally'!$A:$A,'Egg Collections'!$A299)</f>
        <v>0</v>
      </c>
      <c r="G299" s="273">
        <f>SUMIFS('Egg Tally'!$G:$G,'Egg Tally'!$C:$C,G$1,'Egg Tally'!$A:$A,'Egg Collections'!$A299)</f>
        <v>0</v>
      </c>
      <c r="H299" s="273">
        <f>SUMIFS('Egg Tally'!$G:$G,'Egg Tally'!$C:$C,H$1,'Egg Tally'!$A:$A,'Egg Collections'!$A299)</f>
        <v>0</v>
      </c>
      <c r="I299" s="2">
        <f>SUM(B299:H299)</f>
        <v>0</v>
      </c>
      <c r="J299" s="17"/>
      <c r="K299" s="10"/>
      <c r="L299" s="10"/>
      <c r="M299" s="10"/>
      <c r="N299" s="10"/>
      <c r="O299" s="10"/>
      <c r="P299" s="10"/>
      <c r="Q299" s="10"/>
      <c r="R299" s="2"/>
      <c r="S299" s="273"/>
      <c r="T299" s="273"/>
      <c r="U299" s="273"/>
      <c r="V299" s="9"/>
      <c r="W299" s="273"/>
      <c r="X299" s="273"/>
      <c r="Y299" s="9"/>
      <c r="Z299" s="273"/>
      <c r="AA299" s="273"/>
      <c r="AB299" s="9"/>
      <c r="AC299" s="273"/>
      <c r="AD299" s="273"/>
      <c r="AE299" s="9"/>
      <c r="AF299" s="273"/>
      <c r="AG299" s="273"/>
      <c r="AH299" s="9"/>
      <c r="AI299" s="273"/>
      <c r="AJ299" s="273"/>
      <c r="AK299" s="9"/>
      <c r="AL299" s="273"/>
      <c r="AM299" s="273"/>
      <c r="AN299" s="9"/>
      <c r="AO299" s="273"/>
      <c r="AP299" s="273"/>
      <c r="AQ299" s="9"/>
      <c r="AR299" s="273"/>
      <c r="AS299" s="39"/>
    </row>
    <row r="300" spans="1:45" ht="12.75">
      <c r="A300" s="163">
        <v>44234</v>
      </c>
      <c r="B300" s="273">
        <f>SUMIFS('Egg Tally'!$G:$G,'Egg Tally'!$C:$C,"M",'Egg Tally'!$A:$A,'Egg Collections'!$A300)</f>
        <v>0</v>
      </c>
      <c r="C300" s="273"/>
      <c r="D300" s="273">
        <f>SUMIFS('Egg Tally'!$G:$G,'Egg Tally'!$C:$C,D$1,'Egg Tally'!$A:$A,'Egg Collections'!$A300)</f>
        <v>0</v>
      </c>
      <c r="E300" s="273">
        <f>SUMIFS('Egg Tally'!$G:$G,'Egg Tally'!$C:$C,E$1,'Egg Tally'!$A:$A,'Egg Collections'!$A300)</f>
        <v>0</v>
      </c>
      <c r="F300" s="273">
        <f>SUMIFS('Egg Tally'!$G:$G,'Egg Tally'!$C:$C,F$1,'Egg Tally'!$A:$A,'Egg Collections'!$A300)</f>
        <v>0</v>
      </c>
      <c r="G300" s="273">
        <f>SUMIFS('Egg Tally'!$G:$G,'Egg Tally'!$C:$C,G$1,'Egg Tally'!$A:$A,'Egg Collections'!$A300)</f>
        <v>0</v>
      </c>
      <c r="H300" s="273">
        <f>SUMIFS('Egg Tally'!$G:$G,'Egg Tally'!$C:$C,H$1,'Egg Tally'!$A:$A,'Egg Collections'!$A300)</f>
        <v>0</v>
      </c>
      <c r="I300" s="2">
        <f>SUM(B300:H300)</f>
        <v>0</v>
      </c>
      <c r="J300" s="17"/>
      <c r="K300" s="10"/>
      <c r="L300" s="10"/>
      <c r="M300" s="10"/>
      <c r="N300" s="10"/>
      <c r="O300" s="10"/>
      <c r="P300" s="10"/>
      <c r="Q300" s="10"/>
      <c r="R300" s="2"/>
      <c r="S300" s="273"/>
      <c r="T300" s="273"/>
      <c r="U300" s="273"/>
      <c r="V300" s="9"/>
      <c r="W300" s="273"/>
      <c r="X300" s="273"/>
      <c r="Y300" s="9"/>
      <c r="Z300" s="273"/>
      <c r="AA300" s="273"/>
      <c r="AB300" s="9"/>
      <c r="AC300" s="273"/>
      <c r="AD300" s="273"/>
      <c r="AE300" s="9"/>
      <c r="AF300" s="273"/>
      <c r="AG300" s="273"/>
      <c r="AH300" s="9"/>
      <c r="AI300" s="273"/>
      <c r="AJ300" s="273"/>
      <c r="AK300" s="9"/>
      <c r="AL300" s="273"/>
      <c r="AM300" s="273"/>
      <c r="AN300" s="9"/>
      <c r="AO300" s="273"/>
      <c r="AP300" s="273"/>
      <c r="AQ300" s="9"/>
      <c r="AR300" s="273"/>
      <c r="AS300" s="39"/>
    </row>
    <row r="301" spans="1:45" ht="12.75">
      <c r="A301" s="163">
        <v>44235</v>
      </c>
      <c r="B301" s="273">
        <f>SUMIFS('Egg Tally'!$G:$G,'Egg Tally'!$C:$C,"M",'Egg Tally'!$A:$A,'Egg Collections'!$A301)</f>
        <v>0</v>
      </c>
      <c r="C301" s="273"/>
      <c r="D301" s="273">
        <f>SUMIFS('Egg Tally'!$G:$G,'Egg Tally'!$C:$C,D$1,'Egg Tally'!$A:$A,'Egg Collections'!$A301)</f>
        <v>0</v>
      </c>
      <c r="E301" s="273">
        <f>SUMIFS('Egg Tally'!$G:$G,'Egg Tally'!$C:$C,E$1,'Egg Tally'!$A:$A,'Egg Collections'!$A301)</f>
        <v>0</v>
      </c>
      <c r="F301" s="273">
        <f>SUMIFS('Egg Tally'!$G:$G,'Egg Tally'!$C:$C,F$1,'Egg Tally'!$A:$A,'Egg Collections'!$A301)</f>
        <v>0</v>
      </c>
      <c r="G301" s="273">
        <f>SUMIFS('Egg Tally'!$G:$G,'Egg Tally'!$C:$C,G$1,'Egg Tally'!$A:$A,'Egg Collections'!$A301)</f>
        <v>0</v>
      </c>
      <c r="H301" s="273">
        <f>SUMIFS('Egg Tally'!$G:$G,'Egg Tally'!$C:$C,H$1,'Egg Tally'!$A:$A,'Egg Collections'!$A301)</f>
        <v>0</v>
      </c>
      <c r="I301" s="2">
        <f>SUM(B301:H301)</f>
        <v>0</v>
      </c>
      <c r="J301" s="17"/>
      <c r="K301" s="10"/>
      <c r="L301" s="10"/>
      <c r="M301" s="10"/>
      <c r="N301" s="10"/>
      <c r="O301" s="10"/>
      <c r="P301" s="10"/>
      <c r="Q301" s="10"/>
      <c r="R301" s="2"/>
      <c r="S301" s="273"/>
      <c r="T301" s="273"/>
      <c r="U301" s="273"/>
      <c r="V301" s="9"/>
      <c r="W301" s="273"/>
      <c r="X301" s="273"/>
      <c r="Y301" s="9"/>
      <c r="Z301" s="273"/>
      <c r="AA301" s="273"/>
      <c r="AB301" s="9"/>
      <c r="AC301" s="273"/>
      <c r="AD301" s="273"/>
      <c r="AE301" s="9"/>
      <c r="AF301" s="273"/>
      <c r="AG301" s="273"/>
      <c r="AH301" s="9"/>
      <c r="AI301" s="273"/>
      <c r="AJ301" s="273"/>
      <c r="AK301" s="9"/>
      <c r="AL301" s="273"/>
      <c r="AM301" s="273"/>
      <c r="AN301" s="9"/>
      <c r="AO301" s="273"/>
      <c r="AP301" s="273"/>
      <c r="AQ301" s="9"/>
      <c r="AR301" s="273"/>
      <c r="AS301" s="39"/>
    </row>
    <row r="302" spans="1:45" ht="12.75">
      <c r="A302" s="163">
        <v>44236</v>
      </c>
      <c r="B302" s="273">
        <f>SUMIFS('Egg Tally'!$G:$G,'Egg Tally'!$C:$C,"M",'Egg Tally'!$A:$A,'Egg Collections'!$A302)</f>
        <v>0</v>
      </c>
      <c r="C302" s="273"/>
      <c r="D302" s="273">
        <f>SUMIFS('Egg Tally'!$G:$G,'Egg Tally'!$C:$C,D$1,'Egg Tally'!$A:$A,'Egg Collections'!$A302)</f>
        <v>0</v>
      </c>
      <c r="E302" s="273">
        <f>SUMIFS('Egg Tally'!$G:$G,'Egg Tally'!$C:$C,E$1,'Egg Tally'!$A:$A,'Egg Collections'!$A302)</f>
        <v>0</v>
      </c>
      <c r="F302" s="273">
        <f>SUMIFS('Egg Tally'!$G:$G,'Egg Tally'!$C:$C,F$1,'Egg Tally'!$A:$A,'Egg Collections'!$A302)</f>
        <v>0</v>
      </c>
      <c r="G302" s="273">
        <f>SUMIFS('Egg Tally'!$G:$G,'Egg Tally'!$C:$C,G$1,'Egg Tally'!$A:$A,'Egg Collections'!$A302)</f>
        <v>0</v>
      </c>
      <c r="H302" s="273">
        <f>SUMIFS('Egg Tally'!$G:$G,'Egg Tally'!$C:$C,H$1,'Egg Tally'!$A:$A,'Egg Collections'!$A302)</f>
        <v>0</v>
      </c>
      <c r="I302" s="2">
        <f>SUM(B302:H302)</f>
        <v>0</v>
      </c>
      <c r="J302" s="17"/>
      <c r="K302" s="10"/>
      <c r="L302" s="10"/>
      <c r="M302" s="10"/>
      <c r="N302" s="10"/>
      <c r="O302" s="10"/>
      <c r="P302" s="10"/>
      <c r="Q302" s="10"/>
      <c r="R302" s="2"/>
      <c r="S302" s="273"/>
      <c r="T302" s="273"/>
      <c r="U302" s="273"/>
      <c r="V302" s="9"/>
      <c r="W302" s="273"/>
      <c r="X302" s="273"/>
      <c r="Y302" s="9"/>
      <c r="Z302" s="273"/>
      <c r="AA302" s="273"/>
      <c r="AB302" s="9"/>
      <c r="AC302" s="273"/>
      <c r="AD302" s="273"/>
      <c r="AE302" s="9"/>
      <c r="AF302" s="273"/>
      <c r="AG302" s="273"/>
      <c r="AH302" s="9"/>
      <c r="AI302" s="273"/>
      <c r="AJ302" s="273"/>
      <c r="AK302" s="9"/>
      <c r="AL302" s="273"/>
      <c r="AM302" s="273"/>
      <c r="AN302" s="9"/>
      <c r="AO302" s="273"/>
      <c r="AP302" s="273"/>
      <c r="AQ302" s="9"/>
      <c r="AR302" s="273"/>
      <c r="AS302" s="39"/>
    </row>
    <row r="303" spans="1:45" ht="12.75">
      <c r="A303" s="163">
        <v>44237</v>
      </c>
      <c r="B303" s="273">
        <f>SUMIFS('Egg Tally'!$G:$G,'Egg Tally'!$C:$C,"M",'Egg Tally'!$A:$A,'Egg Collections'!$A303)</f>
        <v>0</v>
      </c>
      <c r="C303" s="273"/>
      <c r="D303" s="273">
        <f>SUMIFS('Egg Tally'!$G:$G,'Egg Tally'!$C:$C,D$1,'Egg Tally'!$A:$A,'Egg Collections'!$A303)</f>
        <v>0</v>
      </c>
      <c r="E303" s="273">
        <f>SUMIFS('Egg Tally'!$G:$G,'Egg Tally'!$C:$C,E$1,'Egg Tally'!$A:$A,'Egg Collections'!$A303)</f>
        <v>0</v>
      </c>
      <c r="F303" s="273">
        <f>SUMIFS('Egg Tally'!$G:$G,'Egg Tally'!$C:$C,F$1,'Egg Tally'!$A:$A,'Egg Collections'!$A303)</f>
        <v>0</v>
      </c>
      <c r="G303" s="273">
        <f>SUMIFS('Egg Tally'!$G:$G,'Egg Tally'!$C:$C,G$1,'Egg Tally'!$A:$A,'Egg Collections'!$A303)</f>
        <v>0</v>
      </c>
      <c r="H303" s="273">
        <f>SUMIFS('Egg Tally'!$G:$G,'Egg Tally'!$C:$C,H$1,'Egg Tally'!$A:$A,'Egg Collections'!$A303)</f>
        <v>0</v>
      </c>
      <c r="I303" s="2">
        <f>SUM(B303:H303)</f>
        <v>0</v>
      </c>
      <c r="J303" s="17"/>
      <c r="K303" s="10"/>
      <c r="L303" s="10"/>
      <c r="M303" s="10"/>
      <c r="N303" s="10"/>
      <c r="O303" s="10"/>
      <c r="P303" s="10"/>
      <c r="Q303" s="10"/>
      <c r="R303" s="2"/>
      <c r="S303" s="273"/>
      <c r="T303" s="273"/>
      <c r="U303" s="273"/>
      <c r="V303" s="9"/>
      <c r="W303" s="273"/>
      <c r="X303" s="273"/>
      <c r="Y303" s="9"/>
      <c r="Z303" s="273"/>
      <c r="AA303" s="273"/>
      <c r="AB303" s="9"/>
      <c r="AC303" s="273"/>
      <c r="AD303" s="273"/>
      <c r="AE303" s="9"/>
      <c r="AF303" s="273"/>
      <c r="AG303" s="273"/>
      <c r="AH303" s="9"/>
      <c r="AI303" s="273"/>
      <c r="AJ303" s="273"/>
      <c r="AK303" s="9"/>
      <c r="AL303" s="273"/>
      <c r="AM303" s="273"/>
      <c r="AN303" s="9"/>
      <c r="AO303" s="273"/>
      <c r="AP303" s="273"/>
      <c r="AQ303" s="9"/>
      <c r="AR303" s="273"/>
      <c r="AS303" s="39"/>
    </row>
    <row r="304" spans="1:45" ht="12.75">
      <c r="A304" s="163">
        <v>44238</v>
      </c>
      <c r="B304" s="273">
        <f>SUMIFS('Egg Tally'!$G:$G,'Egg Tally'!$C:$C,"M",'Egg Tally'!$A:$A,'Egg Collections'!$A304)</f>
        <v>0</v>
      </c>
      <c r="C304" s="273"/>
      <c r="D304" s="273">
        <f>SUMIFS('Egg Tally'!$G:$G,'Egg Tally'!$C:$C,D$1,'Egg Tally'!$A:$A,'Egg Collections'!$A304)</f>
        <v>0</v>
      </c>
      <c r="E304" s="273">
        <f>SUMIFS('Egg Tally'!$G:$G,'Egg Tally'!$C:$C,E$1,'Egg Tally'!$A:$A,'Egg Collections'!$A304)</f>
        <v>0</v>
      </c>
      <c r="F304" s="273">
        <f>SUMIFS('Egg Tally'!$G:$G,'Egg Tally'!$C:$C,F$1,'Egg Tally'!$A:$A,'Egg Collections'!$A304)</f>
        <v>0</v>
      </c>
      <c r="G304" s="273">
        <f>SUMIFS('Egg Tally'!$G:$G,'Egg Tally'!$C:$C,G$1,'Egg Tally'!$A:$A,'Egg Collections'!$A304)</f>
        <v>0</v>
      </c>
      <c r="H304" s="273">
        <f>SUMIFS('Egg Tally'!$G:$G,'Egg Tally'!$C:$C,H$1,'Egg Tally'!$A:$A,'Egg Collections'!$A304)</f>
        <v>0</v>
      </c>
      <c r="I304" s="2">
        <f>SUM(B304:H304)</f>
        <v>0</v>
      </c>
      <c r="J304" s="17"/>
      <c r="K304" s="10"/>
      <c r="L304" s="10"/>
      <c r="M304" s="10"/>
      <c r="N304" s="10"/>
      <c r="O304" s="10"/>
      <c r="P304" s="10"/>
      <c r="Q304" s="10"/>
      <c r="R304" s="2"/>
      <c r="S304" s="273"/>
      <c r="T304" s="273"/>
      <c r="U304" s="273"/>
      <c r="V304" s="9"/>
      <c r="W304" s="273"/>
      <c r="X304" s="273"/>
      <c r="Y304" s="9"/>
      <c r="Z304" s="273"/>
      <c r="AA304" s="273"/>
      <c r="AB304" s="9"/>
      <c r="AC304" s="273"/>
      <c r="AD304" s="273"/>
      <c r="AE304" s="9"/>
      <c r="AF304" s="273"/>
      <c r="AG304" s="273"/>
      <c r="AH304" s="9"/>
      <c r="AI304" s="273"/>
      <c r="AJ304" s="273"/>
      <c r="AK304" s="9"/>
      <c r="AL304" s="273"/>
      <c r="AM304" s="273"/>
      <c r="AN304" s="9"/>
      <c r="AO304" s="273"/>
      <c r="AP304" s="273"/>
      <c r="AQ304" s="9"/>
      <c r="AR304" s="273"/>
      <c r="AS304" s="39"/>
    </row>
    <row r="305" spans="1:45" ht="12.75">
      <c r="A305" s="163">
        <v>44239</v>
      </c>
      <c r="B305" s="273">
        <f>SUMIFS('Egg Tally'!$G:$G,'Egg Tally'!$C:$C,"M",'Egg Tally'!$A:$A,'Egg Collections'!$A305)</f>
        <v>0</v>
      </c>
      <c r="C305" s="273"/>
      <c r="D305" s="273">
        <f>SUMIFS('Egg Tally'!$G:$G,'Egg Tally'!$C:$C,D$1,'Egg Tally'!$A:$A,'Egg Collections'!$A305)</f>
        <v>0</v>
      </c>
      <c r="E305" s="273">
        <f>SUMIFS('Egg Tally'!$G:$G,'Egg Tally'!$C:$C,E$1,'Egg Tally'!$A:$A,'Egg Collections'!$A305)</f>
        <v>0</v>
      </c>
      <c r="F305" s="273">
        <f>SUMIFS('Egg Tally'!$G:$G,'Egg Tally'!$C:$C,F$1,'Egg Tally'!$A:$A,'Egg Collections'!$A305)</f>
        <v>0</v>
      </c>
      <c r="G305" s="273">
        <f>SUMIFS('Egg Tally'!$G:$G,'Egg Tally'!$C:$C,G$1,'Egg Tally'!$A:$A,'Egg Collections'!$A305)</f>
        <v>0</v>
      </c>
      <c r="H305" s="273">
        <f>SUMIFS('Egg Tally'!$G:$G,'Egg Tally'!$C:$C,H$1,'Egg Tally'!$A:$A,'Egg Collections'!$A305)</f>
        <v>0</v>
      </c>
      <c r="I305" s="2">
        <f>SUM(B305:H305)</f>
        <v>0</v>
      </c>
      <c r="J305" s="17"/>
      <c r="K305" s="10"/>
      <c r="L305" s="10"/>
      <c r="M305" s="10"/>
      <c r="N305" s="10"/>
      <c r="O305" s="10"/>
      <c r="P305" s="10"/>
      <c r="Q305" s="10"/>
      <c r="R305" s="2"/>
      <c r="S305" s="273"/>
      <c r="T305" s="273"/>
      <c r="U305" s="273"/>
      <c r="V305" s="9"/>
      <c r="W305" s="273"/>
      <c r="X305" s="273"/>
      <c r="Y305" s="9"/>
      <c r="Z305" s="273"/>
      <c r="AA305" s="273"/>
      <c r="AB305" s="9"/>
      <c r="AC305" s="273"/>
      <c r="AD305" s="273"/>
      <c r="AE305" s="9"/>
      <c r="AF305" s="273"/>
      <c r="AG305" s="273"/>
      <c r="AH305" s="9"/>
      <c r="AI305" s="273"/>
      <c r="AJ305" s="273"/>
      <c r="AK305" s="9"/>
      <c r="AL305" s="273"/>
      <c r="AM305" s="273"/>
      <c r="AN305" s="9"/>
      <c r="AO305" s="273"/>
      <c r="AP305" s="273"/>
      <c r="AQ305" s="9"/>
      <c r="AR305" s="273"/>
      <c r="AS305" s="39"/>
    </row>
    <row r="306" spans="1:45" ht="12.75">
      <c r="A306" s="160"/>
      <c r="B306" s="273"/>
      <c r="C306" s="273"/>
      <c r="D306" s="273"/>
      <c r="E306" s="273"/>
      <c r="F306" s="273"/>
      <c r="G306" s="273"/>
      <c r="H306" s="273"/>
      <c r="I306" s="2"/>
      <c r="J306" s="17"/>
      <c r="K306" s="10"/>
      <c r="L306" s="10"/>
      <c r="M306" s="10"/>
      <c r="N306" s="10"/>
      <c r="O306" s="10"/>
      <c r="P306" s="10"/>
      <c r="Q306" s="10"/>
      <c r="R306" s="2"/>
      <c r="S306" s="273"/>
      <c r="T306" s="273"/>
      <c r="U306" s="273"/>
      <c r="V306" s="9"/>
      <c r="W306" s="273"/>
      <c r="X306" s="273"/>
      <c r="Y306" s="9"/>
      <c r="Z306" s="273"/>
      <c r="AA306" s="273"/>
      <c r="AB306" s="9"/>
      <c r="AC306" s="273"/>
      <c r="AD306" s="273"/>
      <c r="AE306" s="9"/>
      <c r="AF306" s="273"/>
      <c r="AG306" s="273"/>
      <c r="AH306" s="9"/>
      <c r="AI306" s="273"/>
      <c r="AJ306" s="273"/>
      <c r="AK306" s="9"/>
      <c r="AL306" s="273"/>
      <c r="AM306" s="273"/>
      <c r="AN306" s="9"/>
      <c r="AO306" s="273"/>
      <c r="AP306" s="273"/>
      <c r="AQ306" s="9"/>
      <c r="AR306" s="273"/>
      <c r="AS306" s="39"/>
    </row>
    <row r="307" spans="1:45" ht="12.75">
      <c r="A307" s="160"/>
      <c r="B307" s="273"/>
      <c r="C307" s="273"/>
      <c r="D307" s="273"/>
      <c r="E307" s="273"/>
      <c r="F307" s="273"/>
      <c r="G307" s="273"/>
      <c r="H307" s="273"/>
      <c r="I307" s="2"/>
      <c r="J307" s="17"/>
      <c r="K307" s="10"/>
      <c r="L307" s="10"/>
      <c r="M307" s="10"/>
      <c r="N307" s="10"/>
      <c r="O307" s="10"/>
      <c r="P307" s="10"/>
      <c r="Q307" s="10"/>
      <c r="R307" s="2"/>
      <c r="S307" s="273"/>
      <c r="T307" s="273"/>
      <c r="U307" s="273"/>
      <c r="V307" s="9"/>
      <c r="W307" s="273"/>
      <c r="X307" s="273"/>
      <c r="Y307" s="9"/>
      <c r="Z307" s="273"/>
      <c r="AA307" s="273"/>
      <c r="AB307" s="9"/>
      <c r="AC307" s="273"/>
      <c r="AD307" s="273"/>
      <c r="AE307" s="9"/>
      <c r="AF307" s="273"/>
      <c r="AG307" s="273"/>
      <c r="AH307" s="9"/>
      <c r="AI307" s="273"/>
      <c r="AJ307" s="273"/>
      <c r="AK307" s="9"/>
      <c r="AL307" s="273"/>
      <c r="AM307" s="273"/>
      <c r="AN307" s="9"/>
      <c r="AO307" s="273"/>
      <c r="AP307" s="273"/>
      <c r="AQ307" s="9"/>
      <c r="AR307" s="273"/>
      <c r="AS307" s="39"/>
    </row>
    <row r="308" spans="1:45" ht="12.75">
      <c r="A308" s="160"/>
      <c r="B308" s="273"/>
      <c r="C308" s="273"/>
      <c r="D308" s="273"/>
      <c r="E308" s="273"/>
      <c r="F308" s="273"/>
      <c r="G308" s="273"/>
      <c r="H308" s="273"/>
      <c r="I308" s="2"/>
      <c r="J308" s="17"/>
      <c r="K308" s="10"/>
      <c r="L308" s="10"/>
      <c r="M308" s="10"/>
      <c r="N308" s="10"/>
      <c r="O308" s="10"/>
      <c r="P308" s="10"/>
      <c r="Q308" s="10"/>
      <c r="R308" s="2"/>
      <c r="S308" s="273"/>
      <c r="T308" s="273"/>
      <c r="U308" s="273"/>
      <c r="V308" s="9"/>
      <c r="W308" s="273"/>
      <c r="X308" s="273"/>
      <c r="Y308" s="9"/>
      <c r="Z308" s="273"/>
      <c r="AA308" s="273"/>
      <c r="AB308" s="9"/>
      <c r="AC308" s="273"/>
      <c r="AD308" s="273"/>
      <c r="AE308" s="9"/>
      <c r="AF308" s="273"/>
      <c r="AG308" s="273"/>
      <c r="AH308" s="9"/>
      <c r="AI308" s="273"/>
      <c r="AJ308" s="273"/>
      <c r="AK308" s="9"/>
      <c r="AL308" s="273"/>
      <c r="AM308" s="273"/>
      <c r="AN308" s="9"/>
      <c r="AO308" s="273"/>
      <c r="AP308" s="273"/>
      <c r="AQ308" s="9"/>
      <c r="AR308" s="273"/>
      <c r="AS308" s="39"/>
    </row>
    <row r="309" spans="1:45" ht="12.75">
      <c r="A309" s="160"/>
      <c r="B309" s="273"/>
      <c r="C309" s="273"/>
      <c r="D309" s="273"/>
      <c r="E309" s="273"/>
      <c r="F309" s="273"/>
      <c r="G309" s="273"/>
      <c r="H309" s="273"/>
      <c r="I309" s="2"/>
      <c r="J309" s="17"/>
      <c r="K309" s="10"/>
      <c r="L309" s="10"/>
      <c r="M309" s="10"/>
      <c r="N309" s="10"/>
      <c r="O309" s="10"/>
      <c r="P309" s="10"/>
      <c r="Q309" s="10"/>
      <c r="R309" s="2"/>
      <c r="S309" s="273"/>
      <c r="T309" s="273"/>
      <c r="U309" s="273"/>
      <c r="V309" s="9"/>
      <c r="W309" s="273"/>
      <c r="X309" s="273"/>
      <c r="Y309" s="9"/>
      <c r="Z309" s="273"/>
      <c r="AA309" s="273"/>
      <c r="AB309" s="9"/>
      <c r="AC309" s="273"/>
      <c r="AD309" s="273"/>
      <c r="AE309" s="9"/>
      <c r="AF309" s="273"/>
      <c r="AG309" s="273"/>
      <c r="AH309" s="9"/>
      <c r="AI309" s="273"/>
      <c r="AJ309" s="273"/>
      <c r="AK309" s="9"/>
      <c r="AL309" s="273"/>
      <c r="AM309" s="273"/>
      <c r="AN309" s="9"/>
      <c r="AO309" s="273"/>
      <c r="AP309" s="273"/>
      <c r="AQ309" s="9"/>
      <c r="AR309" s="273"/>
      <c r="AS309" s="39"/>
    </row>
    <row r="310" spans="1:45" ht="12.75">
      <c r="A310" s="160"/>
      <c r="B310" s="273"/>
      <c r="C310" s="273"/>
      <c r="D310" s="273"/>
      <c r="E310" s="273"/>
      <c r="F310" s="273"/>
      <c r="G310" s="273"/>
      <c r="H310" s="273"/>
      <c r="I310" s="2"/>
      <c r="J310" s="17"/>
      <c r="K310" s="10"/>
      <c r="L310" s="10"/>
      <c r="M310" s="10"/>
      <c r="N310" s="10"/>
      <c r="O310" s="10"/>
      <c r="P310" s="10"/>
      <c r="Q310" s="10"/>
      <c r="R310" s="2"/>
      <c r="S310" s="273"/>
      <c r="T310" s="273"/>
      <c r="U310" s="273"/>
      <c r="V310" s="9"/>
      <c r="W310" s="273"/>
      <c r="X310" s="273"/>
      <c r="Y310" s="9"/>
      <c r="Z310" s="273"/>
      <c r="AA310" s="273"/>
      <c r="AB310" s="9"/>
      <c r="AC310" s="273"/>
      <c r="AD310" s="273"/>
      <c r="AE310" s="9"/>
      <c r="AF310" s="273"/>
      <c r="AG310" s="273"/>
      <c r="AH310" s="9"/>
      <c r="AI310" s="273"/>
      <c r="AJ310" s="273"/>
      <c r="AK310" s="9"/>
      <c r="AL310" s="273"/>
      <c r="AM310" s="273"/>
      <c r="AN310" s="9"/>
      <c r="AO310" s="273"/>
      <c r="AP310" s="273"/>
      <c r="AQ310" s="9"/>
      <c r="AR310" s="273"/>
      <c r="AS310" s="39"/>
    </row>
    <row r="311" spans="1:45" ht="12.75">
      <c r="A311" s="160"/>
      <c r="B311" s="273"/>
      <c r="C311" s="273"/>
      <c r="D311" s="273"/>
      <c r="E311" s="273"/>
      <c r="F311" s="273"/>
      <c r="G311" s="273"/>
      <c r="H311" s="273"/>
      <c r="I311" s="2"/>
      <c r="J311" s="17"/>
      <c r="K311" s="10"/>
      <c r="L311" s="10"/>
      <c r="M311" s="10"/>
      <c r="N311" s="10"/>
      <c r="O311" s="10"/>
      <c r="P311" s="10"/>
      <c r="Q311" s="10"/>
      <c r="R311" s="2"/>
      <c r="S311" s="273"/>
      <c r="T311" s="273"/>
      <c r="U311" s="273"/>
      <c r="V311" s="9"/>
      <c r="W311" s="273"/>
      <c r="X311" s="273"/>
      <c r="Y311" s="9"/>
      <c r="Z311" s="273"/>
      <c r="AA311" s="273"/>
      <c r="AB311" s="9"/>
      <c r="AC311" s="273"/>
      <c r="AD311" s="273"/>
      <c r="AE311" s="9"/>
      <c r="AF311" s="273"/>
      <c r="AG311" s="273"/>
      <c r="AH311" s="9"/>
      <c r="AI311" s="273"/>
      <c r="AJ311" s="273"/>
      <c r="AK311" s="9"/>
      <c r="AL311" s="273"/>
      <c r="AM311" s="273"/>
      <c r="AN311" s="9"/>
      <c r="AO311" s="273"/>
      <c r="AP311" s="273"/>
      <c r="AQ311" s="9"/>
      <c r="AR311" s="273"/>
      <c r="AS311" s="39"/>
    </row>
    <row r="312" spans="1:45" ht="12.75">
      <c r="A312" s="160"/>
      <c r="B312" s="273"/>
      <c r="C312" s="273"/>
      <c r="D312" s="273"/>
      <c r="E312" s="273"/>
      <c r="F312" s="273"/>
      <c r="G312" s="273"/>
      <c r="H312" s="273"/>
      <c r="I312" s="2"/>
      <c r="J312" s="17"/>
      <c r="K312" s="10"/>
      <c r="L312" s="10"/>
      <c r="M312" s="10"/>
      <c r="N312" s="10"/>
      <c r="O312" s="10"/>
      <c r="P312" s="10"/>
      <c r="Q312" s="10"/>
      <c r="R312" s="2"/>
      <c r="S312" s="273"/>
      <c r="T312" s="273"/>
      <c r="U312" s="273"/>
      <c r="V312" s="9"/>
      <c r="W312" s="273"/>
      <c r="X312" s="273"/>
      <c r="Y312" s="9"/>
      <c r="Z312" s="273"/>
      <c r="AA312" s="273"/>
      <c r="AB312" s="9"/>
      <c r="AC312" s="273"/>
      <c r="AD312" s="273"/>
      <c r="AE312" s="9"/>
      <c r="AF312" s="273"/>
      <c r="AG312" s="273"/>
      <c r="AH312" s="9"/>
      <c r="AI312" s="273"/>
      <c r="AJ312" s="273"/>
      <c r="AK312" s="9"/>
      <c r="AL312" s="273"/>
      <c r="AM312" s="273"/>
      <c r="AN312" s="9"/>
      <c r="AO312" s="273"/>
      <c r="AP312" s="273"/>
      <c r="AQ312" s="9"/>
      <c r="AR312" s="273"/>
      <c r="AS312" s="39"/>
    </row>
    <row r="313" spans="1:45" ht="12.75">
      <c r="A313" s="160"/>
      <c r="B313" s="273"/>
      <c r="C313" s="273"/>
      <c r="D313" s="273"/>
      <c r="E313" s="273"/>
      <c r="F313" s="273"/>
      <c r="G313" s="273"/>
      <c r="H313" s="273"/>
      <c r="I313" s="2"/>
      <c r="J313" s="17"/>
      <c r="K313" s="10"/>
      <c r="L313" s="10"/>
      <c r="M313" s="10"/>
      <c r="N313" s="10"/>
      <c r="O313" s="10"/>
      <c r="P313" s="10"/>
      <c r="Q313" s="10"/>
      <c r="R313" s="2"/>
      <c r="S313" s="273"/>
      <c r="T313" s="273"/>
      <c r="U313" s="273"/>
      <c r="V313" s="9"/>
      <c r="W313" s="273"/>
      <c r="X313" s="273"/>
      <c r="Y313" s="9"/>
      <c r="Z313" s="273"/>
      <c r="AA313" s="273"/>
      <c r="AB313" s="9"/>
      <c r="AC313" s="273"/>
      <c r="AD313" s="273"/>
      <c r="AE313" s="9"/>
      <c r="AF313" s="273"/>
      <c r="AG313" s="273"/>
      <c r="AH313" s="9"/>
      <c r="AI313" s="273"/>
      <c r="AJ313" s="273"/>
      <c r="AK313" s="9"/>
      <c r="AL313" s="273"/>
      <c r="AM313" s="273"/>
      <c r="AN313" s="9"/>
      <c r="AO313" s="273"/>
      <c r="AP313" s="273"/>
      <c r="AQ313" s="9"/>
      <c r="AR313" s="273"/>
      <c r="AS313" s="39"/>
    </row>
    <row r="314" spans="1:45" ht="12.75">
      <c r="A314" s="160"/>
      <c r="B314" s="273"/>
      <c r="C314" s="273"/>
      <c r="D314" s="273"/>
      <c r="E314" s="273"/>
      <c r="F314" s="273"/>
      <c r="G314" s="273"/>
      <c r="H314" s="273"/>
      <c r="I314" s="2"/>
      <c r="J314" s="17"/>
      <c r="K314" s="10"/>
      <c r="L314" s="10"/>
      <c r="M314" s="10"/>
      <c r="N314" s="10"/>
      <c r="O314" s="10"/>
      <c r="P314" s="10"/>
      <c r="Q314" s="10"/>
      <c r="R314" s="2"/>
      <c r="S314" s="273"/>
      <c r="T314" s="273"/>
      <c r="U314" s="273"/>
      <c r="V314" s="9"/>
      <c r="W314" s="273"/>
      <c r="X314" s="273"/>
      <c r="Y314" s="9"/>
      <c r="Z314" s="273"/>
      <c r="AA314" s="273"/>
      <c r="AB314" s="9"/>
      <c r="AC314" s="273"/>
      <c r="AD314" s="273"/>
      <c r="AE314" s="9"/>
      <c r="AF314" s="273"/>
      <c r="AG314" s="273"/>
      <c r="AH314" s="9"/>
      <c r="AI314" s="273"/>
      <c r="AJ314" s="273"/>
      <c r="AK314" s="9"/>
      <c r="AL314" s="273"/>
      <c r="AM314" s="273"/>
      <c r="AN314" s="9"/>
      <c r="AO314" s="273"/>
      <c r="AP314" s="273"/>
      <c r="AQ314" s="9"/>
      <c r="AR314" s="273"/>
      <c r="AS314" s="39"/>
    </row>
    <row r="315" spans="1:45" ht="12.75">
      <c r="A315" s="160"/>
      <c r="B315" s="273"/>
      <c r="C315" s="273"/>
      <c r="D315" s="273"/>
      <c r="E315" s="273"/>
      <c r="F315" s="273"/>
      <c r="G315" s="273"/>
      <c r="H315" s="273"/>
      <c r="I315" s="2"/>
      <c r="J315" s="17"/>
      <c r="K315" s="10"/>
      <c r="L315" s="10"/>
      <c r="M315" s="10"/>
      <c r="N315" s="10"/>
      <c r="O315" s="10"/>
      <c r="P315" s="10"/>
      <c r="Q315" s="10"/>
      <c r="R315" s="2"/>
      <c r="S315" s="273"/>
      <c r="T315" s="273"/>
      <c r="U315" s="273"/>
      <c r="V315" s="9"/>
      <c r="W315" s="273"/>
      <c r="X315" s="273"/>
      <c r="Y315" s="9"/>
      <c r="Z315" s="273"/>
      <c r="AA315" s="273"/>
      <c r="AB315" s="9"/>
      <c r="AC315" s="273"/>
      <c r="AD315" s="273"/>
      <c r="AE315" s="9"/>
      <c r="AF315" s="273"/>
      <c r="AG315" s="273"/>
      <c r="AH315" s="9"/>
      <c r="AI315" s="273"/>
      <c r="AJ315" s="273"/>
      <c r="AK315" s="9"/>
      <c r="AL315" s="273"/>
      <c r="AM315" s="273"/>
      <c r="AN315" s="9"/>
      <c r="AO315" s="273"/>
      <c r="AP315" s="273"/>
      <c r="AQ315" s="9"/>
      <c r="AR315" s="273"/>
      <c r="AS315" s="39"/>
    </row>
    <row r="316" spans="1:45" ht="12.75">
      <c r="A316" s="160"/>
      <c r="B316" s="273"/>
      <c r="C316" s="273"/>
      <c r="D316" s="273"/>
      <c r="E316" s="273"/>
      <c r="F316" s="273"/>
      <c r="G316" s="273"/>
      <c r="H316" s="273"/>
      <c r="I316" s="2"/>
      <c r="J316" s="17"/>
      <c r="K316" s="10"/>
      <c r="L316" s="10"/>
      <c r="M316" s="10"/>
      <c r="N316" s="10"/>
      <c r="O316" s="10"/>
      <c r="P316" s="10"/>
      <c r="Q316" s="10"/>
      <c r="R316" s="2"/>
      <c r="S316" s="273"/>
      <c r="T316" s="273"/>
      <c r="U316" s="273"/>
      <c r="V316" s="9"/>
      <c r="W316" s="273"/>
      <c r="X316" s="273"/>
      <c r="Y316" s="9"/>
      <c r="Z316" s="273"/>
      <c r="AA316" s="273"/>
      <c r="AB316" s="9"/>
      <c r="AC316" s="273"/>
      <c r="AD316" s="273"/>
      <c r="AE316" s="9"/>
      <c r="AF316" s="273"/>
      <c r="AG316" s="273"/>
      <c r="AH316" s="9"/>
      <c r="AI316" s="273"/>
      <c r="AJ316" s="273"/>
      <c r="AK316" s="9"/>
      <c r="AL316" s="273"/>
      <c r="AM316" s="273"/>
      <c r="AN316" s="9"/>
      <c r="AO316" s="273"/>
      <c r="AP316" s="273"/>
      <c r="AQ316" s="9"/>
      <c r="AR316" s="273"/>
      <c r="AS316" s="39"/>
    </row>
    <row r="317" spans="1:45" ht="12.75">
      <c r="A317" s="160"/>
      <c r="B317" s="273"/>
      <c r="C317" s="273"/>
      <c r="D317" s="273"/>
      <c r="E317" s="273"/>
      <c r="F317" s="273"/>
      <c r="G317" s="273"/>
      <c r="H317" s="273"/>
      <c r="I317" s="2"/>
      <c r="J317" s="17"/>
      <c r="K317" s="10"/>
      <c r="L317" s="10"/>
      <c r="M317" s="10"/>
      <c r="N317" s="10"/>
      <c r="O317" s="10"/>
      <c r="P317" s="10"/>
      <c r="Q317" s="10"/>
      <c r="R317" s="2"/>
      <c r="S317" s="273"/>
      <c r="T317" s="273"/>
      <c r="U317" s="273"/>
      <c r="V317" s="9"/>
      <c r="W317" s="273"/>
      <c r="X317" s="273"/>
      <c r="Y317" s="9"/>
      <c r="Z317" s="273"/>
      <c r="AA317" s="273"/>
      <c r="AB317" s="9"/>
      <c r="AC317" s="273"/>
      <c r="AD317" s="273"/>
      <c r="AE317" s="9"/>
      <c r="AF317" s="273"/>
      <c r="AG317" s="273"/>
      <c r="AH317" s="9"/>
      <c r="AI317" s="273"/>
      <c r="AJ317" s="273"/>
      <c r="AK317" s="9"/>
      <c r="AL317" s="273"/>
      <c r="AM317" s="273"/>
      <c r="AN317" s="9"/>
      <c r="AO317" s="273"/>
      <c r="AP317" s="273"/>
      <c r="AQ317" s="9"/>
      <c r="AR317" s="273"/>
      <c r="AS317" s="39"/>
    </row>
    <row r="318" spans="1:45" ht="12.75">
      <c r="A318" s="160"/>
      <c r="B318" s="273"/>
      <c r="C318" s="273"/>
      <c r="D318" s="273"/>
      <c r="E318" s="273"/>
      <c r="F318" s="273"/>
      <c r="G318" s="273"/>
      <c r="H318" s="273"/>
      <c r="I318" s="2"/>
      <c r="J318" s="17"/>
      <c r="K318" s="10"/>
      <c r="L318" s="10"/>
      <c r="M318" s="10"/>
      <c r="N318" s="10"/>
      <c r="O318" s="10"/>
      <c r="P318" s="10"/>
      <c r="Q318" s="10"/>
      <c r="R318" s="2"/>
      <c r="S318" s="273"/>
      <c r="T318" s="273"/>
      <c r="U318" s="273"/>
      <c r="V318" s="9"/>
      <c r="W318" s="273"/>
      <c r="X318" s="273"/>
      <c r="Y318" s="9"/>
      <c r="Z318" s="273"/>
      <c r="AA318" s="273"/>
      <c r="AB318" s="9"/>
      <c r="AC318" s="273"/>
      <c r="AD318" s="273"/>
      <c r="AE318" s="9"/>
      <c r="AF318" s="273"/>
      <c r="AG318" s="273"/>
      <c r="AH318" s="9"/>
      <c r="AI318" s="273"/>
      <c r="AJ318" s="273"/>
      <c r="AK318" s="9"/>
      <c r="AL318" s="273"/>
      <c r="AM318" s="273"/>
      <c r="AN318" s="9"/>
      <c r="AO318" s="273"/>
      <c r="AP318" s="273"/>
      <c r="AQ318" s="9"/>
      <c r="AR318" s="273"/>
      <c r="AS318" s="39"/>
    </row>
    <row r="319" spans="1:45" ht="12.75">
      <c r="A319" s="160"/>
      <c r="B319" s="273"/>
      <c r="C319" s="273"/>
      <c r="D319" s="273"/>
      <c r="E319" s="273"/>
      <c r="F319" s="273"/>
      <c r="G319" s="273"/>
      <c r="H319" s="273"/>
      <c r="I319" s="2"/>
      <c r="J319" s="17"/>
      <c r="K319" s="10"/>
      <c r="L319" s="10"/>
      <c r="M319" s="10"/>
      <c r="N319" s="10"/>
      <c r="O319" s="10"/>
      <c r="P319" s="10"/>
      <c r="Q319" s="10"/>
      <c r="R319" s="2"/>
      <c r="S319" s="273"/>
      <c r="T319" s="273"/>
      <c r="U319" s="273"/>
      <c r="V319" s="9"/>
      <c r="W319" s="273"/>
      <c r="X319" s="273"/>
      <c r="Y319" s="9"/>
      <c r="Z319" s="273"/>
      <c r="AA319" s="273"/>
      <c r="AB319" s="9"/>
      <c r="AC319" s="273"/>
      <c r="AD319" s="273"/>
      <c r="AE319" s="9"/>
      <c r="AF319" s="273"/>
      <c r="AG319" s="273"/>
      <c r="AH319" s="9"/>
      <c r="AI319" s="273"/>
      <c r="AJ319" s="273"/>
      <c r="AK319" s="9"/>
      <c r="AL319" s="273"/>
      <c r="AM319" s="273"/>
      <c r="AN319" s="9"/>
      <c r="AO319" s="273"/>
      <c r="AP319" s="273"/>
      <c r="AQ319" s="9"/>
      <c r="AR319" s="273"/>
      <c r="AS319" s="39"/>
    </row>
    <row r="320" spans="1:45" ht="12.75">
      <c r="A320" s="160"/>
      <c r="B320" s="273"/>
      <c r="C320" s="273"/>
      <c r="D320" s="273"/>
      <c r="E320" s="273"/>
      <c r="F320" s="273"/>
      <c r="G320" s="273"/>
      <c r="H320" s="273"/>
      <c r="I320" s="2"/>
      <c r="J320" s="17"/>
      <c r="K320" s="10"/>
      <c r="L320" s="10"/>
      <c r="M320" s="10"/>
      <c r="N320" s="10"/>
      <c r="O320" s="10"/>
      <c r="P320" s="10"/>
      <c r="Q320" s="10"/>
      <c r="R320" s="2"/>
      <c r="S320" s="273"/>
      <c r="T320" s="273"/>
      <c r="U320" s="273"/>
      <c r="V320" s="9"/>
      <c r="W320" s="273"/>
      <c r="X320" s="273"/>
      <c r="Y320" s="9"/>
      <c r="Z320" s="273"/>
      <c r="AA320" s="273"/>
      <c r="AB320" s="9"/>
      <c r="AC320" s="273"/>
      <c r="AD320" s="273"/>
      <c r="AE320" s="9"/>
      <c r="AF320" s="273"/>
      <c r="AG320" s="273"/>
      <c r="AH320" s="9"/>
      <c r="AI320" s="273"/>
      <c r="AJ320" s="273"/>
      <c r="AK320" s="9"/>
      <c r="AL320" s="273"/>
      <c r="AM320" s="273"/>
      <c r="AN320" s="9"/>
      <c r="AO320" s="273"/>
      <c r="AP320" s="273"/>
      <c r="AQ320" s="9"/>
      <c r="AR320" s="273"/>
      <c r="AS320" s="39"/>
    </row>
    <row r="321" spans="1:45" ht="12.75">
      <c r="A321" s="160"/>
      <c r="B321" s="273"/>
      <c r="C321" s="273"/>
      <c r="D321" s="273"/>
      <c r="E321" s="273"/>
      <c r="F321" s="273"/>
      <c r="G321" s="273"/>
      <c r="H321" s="273"/>
      <c r="I321" s="2"/>
      <c r="J321" s="17"/>
      <c r="K321" s="10"/>
      <c r="L321" s="10"/>
      <c r="M321" s="10"/>
      <c r="N321" s="10"/>
      <c r="O321" s="10"/>
      <c r="P321" s="10"/>
      <c r="Q321" s="10"/>
      <c r="R321" s="2"/>
      <c r="S321" s="273"/>
      <c r="T321" s="273"/>
      <c r="U321" s="273"/>
      <c r="V321" s="9"/>
      <c r="W321" s="273"/>
      <c r="X321" s="273"/>
      <c r="Y321" s="9"/>
      <c r="Z321" s="273"/>
      <c r="AA321" s="273"/>
      <c r="AB321" s="9"/>
      <c r="AC321" s="273"/>
      <c r="AD321" s="273"/>
      <c r="AE321" s="9"/>
      <c r="AF321" s="273"/>
      <c r="AG321" s="273"/>
      <c r="AH321" s="9"/>
      <c r="AI321" s="273"/>
      <c r="AJ321" s="273"/>
      <c r="AK321" s="9"/>
      <c r="AL321" s="273"/>
      <c r="AM321" s="273"/>
      <c r="AN321" s="9"/>
      <c r="AO321" s="273"/>
      <c r="AP321" s="273"/>
      <c r="AQ321" s="9"/>
      <c r="AR321" s="273"/>
      <c r="AS321" s="39"/>
    </row>
    <row r="322" spans="1:45" ht="12.75">
      <c r="A322" s="160"/>
      <c r="B322" s="273"/>
      <c r="C322" s="273"/>
      <c r="D322" s="273"/>
      <c r="E322" s="273"/>
      <c r="F322" s="273"/>
      <c r="G322" s="273"/>
      <c r="H322" s="273"/>
      <c r="I322" s="2"/>
      <c r="J322" s="17"/>
      <c r="K322" s="10"/>
      <c r="L322" s="10"/>
      <c r="M322" s="10"/>
      <c r="N322" s="10"/>
      <c r="O322" s="10"/>
      <c r="P322" s="10"/>
      <c r="Q322" s="10"/>
      <c r="R322" s="2"/>
      <c r="S322" s="273"/>
      <c r="T322" s="273"/>
      <c r="U322" s="273"/>
      <c r="V322" s="9"/>
      <c r="W322" s="273"/>
      <c r="X322" s="273"/>
      <c r="Y322" s="9"/>
      <c r="Z322" s="273"/>
      <c r="AA322" s="273"/>
      <c r="AB322" s="9"/>
      <c r="AC322" s="273"/>
      <c r="AD322" s="273"/>
      <c r="AE322" s="9"/>
      <c r="AF322" s="273"/>
      <c r="AG322" s="273"/>
      <c r="AH322" s="9"/>
      <c r="AI322" s="273"/>
      <c r="AJ322" s="273"/>
      <c r="AK322" s="9"/>
      <c r="AL322" s="273"/>
      <c r="AM322" s="273"/>
      <c r="AN322" s="9"/>
      <c r="AO322" s="273"/>
      <c r="AP322" s="273"/>
      <c r="AQ322" s="9"/>
      <c r="AR322" s="273"/>
      <c r="AS322" s="39"/>
    </row>
    <row r="323" spans="1:45" ht="12.75">
      <c r="A323" s="160"/>
      <c r="B323" s="273"/>
      <c r="C323" s="273"/>
      <c r="D323" s="273"/>
      <c r="E323" s="273"/>
      <c r="F323" s="273"/>
      <c r="G323" s="273"/>
      <c r="H323" s="273"/>
      <c r="I323" s="2"/>
      <c r="J323" s="17"/>
      <c r="K323" s="10"/>
      <c r="L323" s="10"/>
      <c r="M323" s="10"/>
      <c r="N323" s="10"/>
      <c r="O323" s="10"/>
      <c r="P323" s="10"/>
      <c r="Q323" s="10"/>
      <c r="R323" s="2"/>
      <c r="S323" s="273"/>
      <c r="T323" s="273"/>
      <c r="U323" s="273"/>
      <c r="V323" s="9"/>
      <c r="W323" s="273"/>
      <c r="X323" s="273"/>
      <c r="Y323" s="9"/>
      <c r="Z323" s="273"/>
      <c r="AA323" s="273"/>
      <c r="AB323" s="9"/>
      <c r="AC323" s="273"/>
      <c r="AD323" s="273"/>
      <c r="AE323" s="9"/>
      <c r="AF323" s="273"/>
      <c r="AG323" s="273"/>
      <c r="AH323" s="9"/>
      <c r="AI323" s="273"/>
      <c r="AJ323" s="273"/>
      <c r="AK323" s="9"/>
      <c r="AL323" s="273"/>
      <c r="AM323" s="273"/>
      <c r="AN323" s="9"/>
      <c r="AO323" s="273"/>
      <c r="AP323" s="273"/>
      <c r="AQ323" s="9"/>
      <c r="AR323" s="273"/>
      <c r="AS323" s="39"/>
    </row>
    <row r="324" spans="1:45" ht="12.75">
      <c r="A324" s="160"/>
      <c r="B324" s="273"/>
      <c r="C324" s="273"/>
      <c r="D324" s="273"/>
      <c r="E324" s="273"/>
      <c r="F324" s="273"/>
      <c r="G324" s="273"/>
      <c r="H324" s="273"/>
      <c r="I324" s="2"/>
      <c r="J324" s="17"/>
      <c r="K324" s="10"/>
      <c r="L324" s="10"/>
      <c r="M324" s="10"/>
      <c r="N324" s="10"/>
      <c r="O324" s="10"/>
      <c r="P324" s="10"/>
      <c r="Q324" s="10"/>
      <c r="R324" s="2"/>
      <c r="S324" s="273"/>
      <c r="T324" s="273"/>
      <c r="U324" s="273"/>
      <c r="V324" s="9"/>
      <c r="W324" s="273"/>
      <c r="X324" s="273"/>
      <c r="Y324" s="9"/>
      <c r="Z324" s="273"/>
      <c r="AA324" s="273"/>
      <c r="AB324" s="9"/>
      <c r="AC324" s="273"/>
      <c r="AD324" s="273"/>
      <c r="AE324" s="9"/>
      <c r="AF324" s="273"/>
      <c r="AG324" s="273"/>
      <c r="AH324" s="9"/>
      <c r="AI324" s="273"/>
      <c r="AJ324" s="273"/>
      <c r="AK324" s="9"/>
      <c r="AL324" s="273"/>
      <c r="AM324" s="273"/>
      <c r="AN324" s="9"/>
      <c r="AO324" s="273"/>
      <c r="AP324" s="273"/>
      <c r="AQ324" s="9"/>
      <c r="AR324" s="273"/>
      <c r="AS324" s="39"/>
    </row>
    <row r="325" spans="1:45" ht="12.75">
      <c r="A325" s="160"/>
      <c r="B325" s="273"/>
      <c r="C325" s="273"/>
      <c r="D325" s="273"/>
      <c r="E325" s="273"/>
      <c r="F325" s="273"/>
      <c r="G325" s="273"/>
      <c r="H325" s="273"/>
      <c r="I325" s="2"/>
      <c r="J325" s="17"/>
      <c r="K325" s="10"/>
      <c r="L325" s="10"/>
      <c r="M325" s="10"/>
      <c r="N325" s="10"/>
      <c r="O325" s="10"/>
      <c r="P325" s="10"/>
      <c r="Q325" s="10"/>
      <c r="R325" s="2"/>
      <c r="S325" s="273"/>
      <c r="T325" s="273"/>
      <c r="U325" s="273"/>
      <c r="V325" s="9"/>
      <c r="W325" s="273"/>
      <c r="X325" s="273"/>
      <c r="Y325" s="9"/>
      <c r="Z325" s="273"/>
      <c r="AA325" s="273"/>
      <c r="AB325" s="9"/>
      <c r="AC325" s="273"/>
      <c r="AD325" s="273"/>
      <c r="AE325" s="9"/>
      <c r="AF325" s="273"/>
      <c r="AG325" s="273"/>
      <c r="AH325" s="9"/>
      <c r="AI325" s="273"/>
      <c r="AJ325" s="273"/>
      <c r="AK325" s="9"/>
      <c r="AL325" s="273"/>
      <c r="AM325" s="273"/>
      <c r="AN325" s="9"/>
      <c r="AO325" s="273"/>
      <c r="AP325" s="273"/>
      <c r="AQ325" s="9"/>
      <c r="AR325" s="273"/>
      <c r="AS325" s="39"/>
    </row>
    <row r="326" spans="1:45" ht="12.75">
      <c r="A326" s="160"/>
      <c r="B326" s="273"/>
      <c r="C326" s="273"/>
      <c r="D326" s="273"/>
      <c r="E326" s="273"/>
      <c r="F326" s="273"/>
      <c r="G326" s="273"/>
      <c r="H326" s="273"/>
      <c r="I326" s="2"/>
      <c r="J326" s="17"/>
      <c r="K326" s="10"/>
      <c r="L326" s="10"/>
      <c r="M326" s="10"/>
      <c r="N326" s="10"/>
      <c r="O326" s="10"/>
      <c r="P326" s="10"/>
      <c r="Q326" s="10"/>
      <c r="R326" s="2"/>
      <c r="S326" s="273"/>
      <c r="T326" s="273"/>
      <c r="U326" s="273"/>
      <c r="V326" s="9"/>
      <c r="W326" s="273"/>
      <c r="X326" s="273"/>
      <c r="Y326" s="9"/>
      <c r="Z326" s="273"/>
      <c r="AA326" s="273"/>
      <c r="AB326" s="9"/>
      <c r="AC326" s="273"/>
      <c r="AD326" s="273"/>
      <c r="AE326" s="9"/>
      <c r="AF326" s="273"/>
      <c r="AG326" s="273"/>
      <c r="AH326" s="9"/>
      <c r="AI326" s="273"/>
      <c r="AJ326" s="273"/>
      <c r="AK326" s="9"/>
      <c r="AL326" s="273"/>
      <c r="AM326" s="273"/>
      <c r="AN326" s="9"/>
      <c r="AO326" s="273"/>
      <c r="AP326" s="273"/>
      <c r="AQ326" s="9"/>
      <c r="AR326" s="273"/>
      <c r="AS326" s="39"/>
    </row>
    <row r="327" spans="1:45" ht="12.75">
      <c r="A327" s="160"/>
      <c r="B327" s="273"/>
      <c r="C327" s="273"/>
      <c r="D327" s="273"/>
      <c r="E327" s="273"/>
      <c r="F327" s="273"/>
      <c r="G327" s="273"/>
      <c r="H327" s="273"/>
      <c r="I327" s="2"/>
      <c r="J327" s="17"/>
      <c r="K327" s="10"/>
      <c r="L327" s="10"/>
      <c r="M327" s="10"/>
      <c r="N327" s="10"/>
      <c r="O327" s="10"/>
      <c r="P327" s="10"/>
      <c r="Q327" s="10"/>
      <c r="R327" s="2"/>
      <c r="S327" s="273"/>
      <c r="T327" s="273"/>
      <c r="U327" s="273"/>
      <c r="V327" s="9"/>
      <c r="W327" s="273"/>
      <c r="X327" s="273"/>
      <c r="Y327" s="9"/>
      <c r="Z327" s="273"/>
      <c r="AA327" s="273"/>
      <c r="AB327" s="9"/>
      <c r="AC327" s="273"/>
      <c r="AD327" s="273"/>
      <c r="AE327" s="9"/>
      <c r="AF327" s="273"/>
      <c r="AG327" s="273"/>
      <c r="AH327" s="9"/>
      <c r="AI327" s="273"/>
      <c r="AJ327" s="273"/>
      <c r="AK327" s="9"/>
      <c r="AL327" s="273"/>
      <c r="AM327" s="273"/>
      <c r="AN327" s="9"/>
      <c r="AO327" s="273"/>
      <c r="AP327" s="273"/>
      <c r="AQ327" s="9"/>
      <c r="AR327" s="273"/>
      <c r="AS327" s="39"/>
    </row>
    <row r="328" spans="1:45" ht="12.75">
      <c r="A328" s="160"/>
      <c r="B328" s="273"/>
      <c r="C328" s="273"/>
      <c r="D328" s="273"/>
      <c r="E328" s="273"/>
      <c r="F328" s="273"/>
      <c r="G328" s="273"/>
      <c r="H328" s="273"/>
      <c r="I328" s="2"/>
      <c r="J328" s="17"/>
      <c r="K328" s="10"/>
      <c r="L328" s="10"/>
      <c r="M328" s="10"/>
      <c r="N328" s="10"/>
      <c r="O328" s="10"/>
      <c r="P328" s="10"/>
      <c r="Q328" s="10"/>
      <c r="R328" s="2"/>
      <c r="S328" s="273"/>
      <c r="T328" s="273"/>
      <c r="U328" s="273"/>
      <c r="V328" s="9"/>
      <c r="W328" s="273"/>
      <c r="X328" s="273"/>
      <c r="Y328" s="9"/>
      <c r="Z328" s="273"/>
      <c r="AA328" s="273"/>
      <c r="AB328" s="9"/>
      <c r="AC328" s="273"/>
      <c r="AD328" s="273"/>
      <c r="AE328" s="9"/>
      <c r="AF328" s="273"/>
      <c r="AG328" s="273"/>
      <c r="AH328" s="9"/>
      <c r="AI328" s="273"/>
      <c r="AJ328" s="273"/>
      <c r="AK328" s="9"/>
      <c r="AL328" s="273"/>
      <c r="AM328" s="273"/>
      <c r="AN328" s="9"/>
      <c r="AO328" s="273"/>
      <c r="AP328" s="273"/>
      <c r="AQ328" s="9"/>
      <c r="AR328" s="273"/>
      <c r="AS328" s="39"/>
    </row>
    <row r="329" spans="1:45" ht="12.75">
      <c r="A329" s="160"/>
      <c r="B329" s="273"/>
      <c r="C329" s="273"/>
      <c r="D329" s="273"/>
      <c r="E329" s="273"/>
      <c r="F329" s="273"/>
      <c r="G329" s="273"/>
      <c r="H329" s="273"/>
      <c r="I329" s="2"/>
      <c r="J329" s="17"/>
      <c r="K329" s="10"/>
      <c r="L329" s="10"/>
      <c r="M329" s="10"/>
      <c r="N329" s="10"/>
      <c r="O329" s="10"/>
      <c r="P329" s="10"/>
      <c r="Q329" s="10"/>
      <c r="R329" s="2"/>
      <c r="S329" s="273"/>
      <c r="T329" s="273"/>
      <c r="U329" s="273"/>
      <c r="V329" s="9"/>
      <c r="W329" s="273"/>
      <c r="X329" s="273"/>
      <c r="Y329" s="9"/>
      <c r="Z329" s="273"/>
      <c r="AA329" s="273"/>
      <c r="AB329" s="9"/>
      <c r="AC329" s="273"/>
      <c r="AD329" s="273"/>
      <c r="AE329" s="9"/>
      <c r="AF329" s="273"/>
      <c r="AG329" s="273"/>
      <c r="AH329" s="9"/>
      <c r="AI329" s="273"/>
      <c r="AJ329" s="273"/>
      <c r="AK329" s="9"/>
      <c r="AL329" s="273"/>
      <c r="AM329" s="273"/>
      <c r="AN329" s="9"/>
      <c r="AO329" s="273"/>
      <c r="AP329" s="273"/>
      <c r="AQ329" s="9"/>
      <c r="AR329" s="273"/>
      <c r="AS329" s="39"/>
    </row>
    <row r="330" spans="1:45" ht="12.75">
      <c r="A330" s="160"/>
      <c r="B330" s="273"/>
      <c r="C330" s="273"/>
      <c r="D330" s="273"/>
      <c r="E330" s="273"/>
      <c r="F330" s="273"/>
      <c r="G330" s="273"/>
      <c r="H330" s="273"/>
      <c r="I330" s="2"/>
      <c r="J330" s="17"/>
      <c r="K330" s="10"/>
      <c r="L330" s="10"/>
      <c r="M330" s="10"/>
      <c r="N330" s="10"/>
      <c r="O330" s="10"/>
      <c r="P330" s="10"/>
      <c r="Q330" s="10"/>
      <c r="R330" s="2"/>
      <c r="S330" s="273"/>
      <c r="T330" s="273"/>
      <c r="U330" s="273"/>
      <c r="V330" s="9"/>
      <c r="W330" s="273"/>
      <c r="X330" s="273"/>
      <c r="Y330" s="9"/>
      <c r="Z330" s="273"/>
      <c r="AA330" s="273"/>
      <c r="AB330" s="9"/>
      <c r="AC330" s="273"/>
      <c r="AD330" s="273"/>
      <c r="AE330" s="9"/>
      <c r="AF330" s="273"/>
      <c r="AG330" s="273"/>
      <c r="AH330" s="9"/>
      <c r="AI330" s="273"/>
      <c r="AJ330" s="273"/>
      <c r="AK330" s="9"/>
      <c r="AL330" s="273"/>
      <c r="AM330" s="273"/>
      <c r="AN330" s="9"/>
      <c r="AO330" s="273"/>
      <c r="AP330" s="273"/>
      <c r="AQ330" s="9"/>
      <c r="AR330" s="273"/>
      <c r="AS330" s="39"/>
    </row>
    <row r="331" spans="1:45" ht="12.75">
      <c r="A331" s="160"/>
      <c r="B331" s="273"/>
      <c r="C331" s="273"/>
      <c r="D331" s="273"/>
      <c r="E331" s="273"/>
      <c r="F331" s="273"/>
      <c r="G331" s="273"/>
      <c r="H331" s="273"/>
      <c r="I331" s="2"/>
      <c r="J331" s="17"/>
      <c r="K331" s="10"/>
      <c r="L331" s="10"/>
      <c r="M331" s="10"/>
      <c r="N331" s="10"/>
      <c r="O331" s="10"/>
      <c r="P331" s="10"/>
      <c r="Q331" s="10"/>
      <c r="R331" s="2"/>
      <c r="S331" s="273"/>
      <c r="T331" s="273"/>
      <c r="U331" s="273"/>
      <c r="V331" s="9"/>
      <c r="W331" s="273"/>
      <c r="X331" s="273"/>
      <c r="Y331" s="9"/>
      <c r="Z331" s="273"/>
      <c r="AA331" s="273"/>
      <c r="AB331" s="9"/>
      <c r="AC331" s="273"/>
      <c r="AD331" s="273"/>
      <c r="AE331" s="9"/>
      <c r="AF331" s="273"/>
      <c r="AG331" s="273"/>
      <c r="AH331" s="9"/>
      <c r="AI331" s="273"/>
      <c r="AJ331" s="273"/>
      <c r="AK331" s="9"/>
      <c r="AL331" s="273"/>
      <c r="AM331" s="273"/>
      <c r="AN331" s="9"/>
      <c r="AO331" s="273"/>
      <c r="AP331" s="273"/>
      <c r="AQ331" s="9"/>
      <c r="AR331" s="273"/>
      <c r="AS331" s="39"/>
    </row>
    <row r="332" spans="1:45" ht="12.75">
      <c r="A332" s="160"/>
      <c r="B332" s="273"/>
      <c r="C332" s="273"/>
      <c r="D332" s="273"/>
      <c r="E332" s="273"/>
      <c r="F332" s="273"/>
      <c r="G332" s="273"/>
      <c r="H332" s="273"/>
      <c r="I332" s="2"/>
      <c r="J332" s="17"/>
      <c r="K332" s="10"/>
      <c r="L332" s="10"/>
      <c r="M332" s="10"/>
      <c r="N332" s="10"/>
      <c r="O332" s="10"/>
      <c r="P332" s="10"/>
      <c r="Q332" s="10"/>
      <c r="R332" s="2"/>
      <c r="S332" s="273"/>
      <c r="T332" s="273"/>
      <c r="U332" s="273"/>
      <c r="V332" s="9"/>
      <c r="W332" s="273"/>
      <c r="X332" s="273"/>
      <c r="Y332" s="9"/>
      <c r="Z332" s="273"/>
      <c r="AA332" s="273"/>
      <c r="AB332" s="9"/>
      <c r="AC332" s="273"/>
      <c r="AD332" s="273"/>
      <c r="AE332" s="9"/>
      <c r="AF332" s="273"/>
      <c r="AG332" s="273"/>
      <c r="AH332" s="9"/>
      <c r="AI332" s="273"/>
      <c r="AJ332" s="273"/>
      <c r="AK332" s="9"/>
      <c r="AL332" s="273"/>
      <c r="AM332" s="273"/>
      <c r="AN332" s="9"/>
      <c r="AO332" s="273"/>
      <c r="AP332" s="273"/>
      <c r="AQ332" s="9"/>
      <c r="AR332" s="273"/>
      <c r="AS332" s="39"/>
    </row>
    <row r="333" spans="1:45" ht="12.75">
      <c r="A333" s="160"/>
      <c r="B333" s="273"/>
      <c r="C333" s="273"/>
      <c r="D333" s="273"/>
      <c r="E333" s="273"/>
      <c r="F333" s="273"/>
      <c r="G333" s="273"/>
      <c r="H333" s="273"/>
      <c r="I333" s="2"/>
      <c r="J333" s="17"/>
      <c r="K333" s="10"/>
      <c r="L333" s="10"/>
      <c r="M333" s="10"/>
      <c r="N333" s="10"/>
      <c r="O333" s="10"/>
      <c r="P333" s="10"/>
      <c r="Q333" s="10"/>
      <c r="R333" s="2"/>
      <c r="S333" s="273"/>
      <c r="T333" s="273"/>
      <c r="U333" s="273"/>
      <c r="V333" s="9"/>
      <c r="W333" s="273"/>
      <c r="X333" s="273"/>
      <c r="Y333" s="9"/>
      <c r="Z333" s="273"/>
      <c r="AA333" s="273"/>
      <c r="AB333" s="9"/>
      <c r="AC333" s="273"/>
      <c r="AD333" s="273"/>
      <c r="AE333" s="9"/>
      <c r="AF333" s="273"/>
      <c r="AG333" s="273"/>
      <c r="AH333" s="9"/>
      <c r="AI333" s="273"/>
      <c r="AJ333" s="273"/>
      <c r="AK333" s="9"/>
      <c r="AL333" s="273"/>
      <c r="AM333" s="273"/>
      <c r="AN333" s="9"/>
      <c r="AO333" s="273"/>
      <c r="AP333" s="273"/>
      <c r="AQ333" s="9"/>
      <c r="AR333" s="273"/>
      <c r="AS333" s="39"/>
    </row>
    <row r="334" spans="1:45" ht="12.75">
      <c r="A334" s="160"/>
      <c r="B334" s="273"/>
      <c r="C334" s="273"/>
      <c r="D334" s="273"/>
      <c r="E334" s="273"/>
      <c r="F334" s="273"/>
      <c r="G334" s="273"/>
      <c r="H334" s="273"/>
      <c r="I334" s="2"/>
      <c r="J334" s="17"/>
      <c r="K334" s="10"/>
      <c r="L334" s="10"/>
      <c r="M334" s="10"/>
      <c r="N334" s="10"/>
      <c r="O334" s="10"/>
      <c r="P334" s="10"/>
      <c r="Q334" s="10"/>
      <c r="R334" s="2"/>
      <c r="S334" s="273"/>
      <c r="T334" s="273"/>
      <c r="U334" s="273"/>
      <c r="V334" s="9"/>
      <c r="W334" s="273"/>
      <c r="X334" s="273"/>
      <c r="Y334" s="9"/>
      <c r="Z334" s="273"/>
      <c r="AA334" s="273"/>
      <c r="AB334" s="9"/>
      <c r="AC334" s="273"/>
      <c r="AD334" s="273"/>
      <c r="AE334" s="9"/>
      <c r="AF334" s="273"/>
      <c r="AG334" s="273"/>
      <c r="AH334" s="9"/>
      <c r="AI334" s="273"/>
      <c r="AJ334" s="273"/>
      <c r="AK334" s="9"/>
      <c r="AL334" s="273"/>
      <c r="AM334" s="273"/>
      <c r="AN334" s="9"/>
      <c r="AO334" s="273"/>
      <c r="AP334" s="273"/>
      <c r="AQ334" s="9"/>
      <c r="AR334" s="273"/>
      <c r="AS334" s="39"/>
    </row>
    <row r="335" spans="1:45" ht="12.75">
      <c r="A335" s="160"/>
      <c r="B335" s="273"/>
      <c r="C335" s="273"/>
      <c r="D335" s="273"/>
      <c r="E335" s="273"/>
      <c r="F335" s="273"/>
      <c r="G335" s="273"/>
      <c r="H335" s="273"/>
      <c r="I335" s="2"/>
      <c r="J335" s="17"/>
      <c r="K335" s="10"/>
      <c r="L335" s="10"/>
      <c r="M335" s="10"/>
      <c r="N335" s="10"/>
      <c r="O335" s="10"/>
      <c r="P335" s="10"/>
      <c r="Q335" s="10"/>
      <c r="R335" s="2"/>
      <c r="S335" s="273"/>
      <c r="T335" s="273"/>
      <c r="U335" s="273"/>
      <c r="V335" s="9"/>
      <c r="W335" s="273"/>
      <c r="X335" s="273"/>
      <c r="Y335" s="9"/>
      <c r="Z335" s="273"/>
      <c r="AA335" s="273"/>
      <c r="AB335" s="9"/>
      <c r="AC335" s="273"/>
      <c r="AD335" s="273"/>
      <c r="AE335" s="9"/>
      <c r="AF335" s="273"/>
      <c r="AG335" s="273"/>
      <c r="AH335" s="9"/>
      <c r="AI335" s="273"/>
      <c r="AJ335" s="273"/>
      <c r="AK335" s="9"/>
      <c r="AL335" s="273"/>
      <c r="AM335" s="273"/>
      <c r="AN335" s="9"/>
      <c r="AO335" s="273"/>
      <c r="AP335" s="273"/>
      <c r="AQ335" s="9"/>
      <c r="AR335" s="273"/>
      <c r="AS335" s="39"/>
    </row>
    <row r="336" spans="1:45" ht="12.75">
      <c r="A336" s="160"/>
      <c r="B336" s="273"/>
      <c r="C336" s="273"/>
      <c r="D336" s="273"/>
      <c r="E336" s="273"/>
      <c r="F336" s="273"/>
      <c r="G336" s="273"/>
      <c r="H336" s="273"/>
      <c r="I336" s="2"/>
      <c r="J336" s="17"/>
      <c r="K336" s="10"/>
      <c r="L336" s="10"/>
      <c r="M336" s="10"/>
      <c r="N336" s="10"/>
      <c r="O336" s="10"/>
      <c r="P336" s="10"/>
      <c r="Q336" s="10"/>
      <c r="R336" s="2"/>
      <c r="S336" s="273"/>
      <c r="T336" s="273"/>
      <c r="U336" s="273"/>
      <c r="V336" s="9"/>
      <c r="W336" s="273"/>
      <c r="X336" s="273"/>
      <c r="Y336" s="9"/>
      <c r="Z336" s="273"/>
      <c r="AA336" s="273"/>
      <c r="AB336" s="9"/>
      <c r="AC336" s="273"/>
      <c r="AD336" s="273"/>
      <c r="AE336" s="9"/>
      <c r="AF336" s="273"/>
      <c r="AG336" s="273"/>
      <c r="AH336" s="9"/>
      <c r="AI336" s="273"/>
      <c r="AJ336" s="273"/>
      <c r="AK336" s="9"/>
      <c r="AL336" s="273"/>
      <c r="AM336" s="273"/>
      <c r="AN336" s="9"/>
      <c r="AO336" s="273"/>
      <c r="AP336" s="273"/>
      <c r="AQ336" s="9"/>
      <c r="AR336" s="273"/>
      <c r="AS336" s="39"/>
    </row>
    <row r="337" spans="1:45" ht="12.75">
      <c r="A337" s="160"/>
      <c r="B337" s="273"/>
      <c r="C337" s="273"/>
      <c r="D337" s="273"/>
      <c r="E337" s="273"/>
      <c r="F337" s="273"/>
      <c r="G337" s="273"/>
      <c r="H337" s="273"/>
      <c r="I337" s="2"/>
      <c r="J337" s="17"/>
      <c r="K337" s="10"/>
      <c r="L337" s="10"/>
      <c r="M337" s="10"/>
      <c r="N337" s="10"/>
      <c r="O337" s="10"/>
      <c r="P337" s="10"/>
      <c r="Q337" s="10"/>
      <c r="R337" s="2"/>
      <c r="S337" s="273"/>
      <c r="T337" s="273"/>
      <c r="U337" s="273"/>
      <c r="V337" s="9"/>
      <c r="W337" s="273"/>
      <c r="X337" s="273"/>
      <c r="Y337" s="9"/>
      <c r="Z337" s="273"/>
      <c r="AA337" s="273"/>
      <c r="AB337" s="9"/>
      <c r="AC337" s="273"/>
      <c r="AD337" s="273"/>
      <c r="AE337" s="9"/>
      <c r="AF337" s="273"/>
      <c r="AG337" s="273"/>
      <c r="AH337" s="9"/>
      <c r="AI337" s="273"/>
      <c r="AJ337" s="273"/>
      <c r="AK337" s="9"/>
      <c r="AL337" s="273"/>
      <c r="AM337" s="273"/>
      <c r="AN337" s="9"/>
      <c r="AO337" s="273"/>
      <c r="AP337" s="273"/>
      <c r="AQ337" s="9"/>
      <c r="AR337" s="273"/>
      <c r="AS337" s="39"/>
    </row>
    <row r="338" spans="1:45" ht="12.75">
      <c r="A338" s="160"/>
      <c r="B338" s="273"/>
      <c r="C338" s="273"/>
      <c r="D338" s="273"/>
      <c r="E338" s="273"/>
      <c r="F338" s="273"/>
      <c r="G338" s="273"/>
      <c r="H338" s="273"/>
      <c r="I338" s="2"/>
      <c r="J338" s="17"/>
      <c r="K338" s="10"/>
      <c r="L338" s="10"/>
      <c r="M338" s="10"/>
      <c r="N338" s="10"/>
      <c r="O338" s="10"/>
      <c r="P338" s="10"/>
      <c r="Q338" s="10"/>
      <c r="R338" s="2"/>
      <c r="S338" s="273"/>
      <c r="T338" s="273"/>
      <c r="U338" s="273"/>
      <c r="V338" s="9"/>
      <c r="W338" s="273"/>
      <c r="X338" s="273"/>
      <c r="Y338" s="9"/>
      <c r="Z338" s="273"/>
      <c r="AA338" s="273"/>
      <c r="AB338" s="9"/>
      <c r="AC338" s="273"/>
      <c r="AD338" s="273"/>
      <c r="AE338" s="9"/>
      <c r="AF338" s="273"/>
      <c r="AG338" s="273"/>
      <c r="AH338" s="9"/>
      <c r="AI338" s="273"/>
      <c r="AJ338" s="273"/>
      <c r="AK338" s="9"/>
      <c r="AL338" s="273"/>
      <c r="AM338" s="273"/>
      <c r="AN338" s="9"/>
      <c r="AO338" s="273"/>
      <c r="AP338" s="273"/>
      <c r="AQ338" s="9"/>
      <c r="AR338" s="273"/>
      <c r="AS338" s="39"/>
    </row>
    <row r="339" spans="1:45" ht="12.75">
      <c r="A339" s="160"/>
      <c r="B339" s="273"/>
      <c r="C339" s="273"/>
      <c r="D339" s="273"/>
      <c r="E339" s="273"/>
      <c r="F339" s="273"/>
      <c r="G339" s="273"/>
      <c r="H339" s="273"/>
      <c r="I339" s="2"/>
      <c r="J339" s="17"/>
      <c r="K339" s="10"/>
      <c r="L339" s="10"/>
      <c r="M339" s="10"/>
      <c r="N339" s="10"/>
      <c r="O339" s="10"/>
      <c r="P339" s="10"/>
      <c r="Q339" s="10"/>
      <c r="R339" s="2"/>
      <c r="S339" s="273"/>
      <c r="T339" s="273"/>
      <c r="U339" s="273"/>
      <c r="V339" s="9"/>
      <c r="W339" s="273"/>
      <c r="X339" s="273"/>
      <c r="Y339" s="9"/>
      <c r="Z339" s="273"/>
      <c r="AA339" s="273"/>
      <c r="AB339" s="9"/>
      <c r="AC339" s="273"/>
      <c r="AD339" s="273"/>
      <c r="AE339" s="9"/>
      <c r="AF339" s="273"/>
      <c r="AG339" s="273"/>
      <c r="AH339" s="9"/>
      <c r="AI339" s="273"/>
      <c r="AJ339" s="273"/>
      <c r="AK339" s="9"/>
      <c r="AL339" s="273"/>
      <c r="AM339" s="273"/>
      <c r="AN339" s="9"/>
      <c r="AO339" s="273"/>
      <c r="AP339" s="273"/>
      <c r="AQ339" s="9"/>
      <c r="AR339" s="273"/>
      <c r="AS339" s="39"/>
    </row>
    <row r="340" spans="1:45" ht="12.75">
      <c r="A340" s="160"/>
      <c r="B340" s="273"/>
      <c r="C340" s="273"/>
      <c r="D340" s="273"/>
      <c r="E340" s="273"/>
      <c r="F340" s="273"/>
      <c r="G340" s="273"/>
      <c r="H340" s="273"/>
      <c r="I340" s="2"/>
      <c r="J340" s="17"/>
      <c r="K340" s="10"/>
      <c r="L340" s="10"/>
      <c r="M340" s="10"/>
      <c r="N340" s="10"/>
      <c r="O340" s="10"/>
      <c r="P340" s="10"/>
      <c r="Q340" s="10"/>
      <c r="R340" s="2"/>
      <c r="S340" s="273"/>
      <c r="T340" s="273"/>
      <c r="U340" s="273"/>
      <c r="V340" s="9"/>
      <c r="W340" s="273"/>
      <c r="X340" s="273"/>
      <c r="Y340" s="9"/>
      <c r="Z340" s="273"/>
      <c r="AA340" s="273"/>
      <c r="AB340" s="9"/>
      <c r="AC340" s="273"/>
      <c r="AD340" s="273"/>
      <c r="AE340" s="9"/>
      <c r="AF340" s="273"/>
      <c r="AG340" s="273"/>
      <c r="AH340" s="9"/>
      <c r="AI340" s="273"/>
      <c r="AJ340" s="273"/>
      <c r="AK340" s="9"/>
      <c r="AL340" s="273"/>
      <c r="AM340" s="273"/>
      <c r="AN340" s="9"/>
      <c r="AO340" s="273"/>
      <c r="AP340" s="273"/>
      <c r="AQ340" s="9"/>
      <c r="AR340" s="273"/>
      <c r="AS340" s="39"/>
    </row>
    <row r="341" spans="1:45" ht="12.75">
      <c r="A341" s="160"/>
      <c r="B341" s="273"/>
      <c r="C341" s="273"/>
      <c r="D341" s="273"/>
      <c r="E341" s="273"/>
      <c r="F341" s="273"/>
      <c r="G341" s="273"/>
      <c r="H341" s="273"/>
      <c r="I341" s="2"/>
      <c r="J341" s="17"/>
      <c r="K341" s="10"/>
      <c r="L341" s="10"/>
      <c r="M341" s="10"/>
      <c r="N341" s="10"/>
      <c r="O341" s="10"/>
      <c r="P341" s="10"/>
      <c r="Q341" s="10"/>
      <c r="R341" s="2"/>
      <c r="S341" s="273"/>
      <c r="T341" s="273"/>
      <c r="U341" s="273"/>
      <c r="V341" s="9"/>
      <c r="W341" s="273"/>
      <c r="X341" s="273"/>
      <c r="Y341" s="9"/>
      <c r="Z341" s="273"/>
      <c r="AA341" s="273"/>
      <c r="AB341" s="9"/>
      <c r="AC341" s="273"/>
      <c r="AD341" s="273"/>
      <c r="AE341" s="9"/>
      <c r="AF341" s="273"/>
      <c r="AG341" s="273"/>
      <c r="AH341" s="9"/>
      <c r="AI341" s="273"/>
      <c r="AJ341" s="273"/>
      <c r="AK341" s="9"/>
      <c r="AL341" s="273"/>
      <c r="AM341" s="273"/>
      <c r="AN341" s="9"/>
      <c r="AO341" s="273"/>
      <c r="AP341" s="273"/>
      <c r="AQ341" s="9"/>
      <c r="AR341" s="273"/>
      <c r="AS341" s="39"/>
    </row>
    <row r="342" spans="1:45" ht="12.75">
      <c r="A342" s="160"/>
      <c r="B342" s="273"/>
      <c r="C342" s="273"/>
      <c r="D342" s="273"/>
      <c r="E342" s="273"/>
      <c r="F342" s="273"/>
      <c r="G342" s="273"/>
      <c r="H342" s="273"/>
      <c r="I342" s="2"/>
      <c r="J342" s="17"/>
      <c r="K342" s="10"/>
      <c r="L342" s="10"/>
      <c r="M342" s="10"/>
      <c r="N342" s="10"/>
      <c r="O342" s="10"/>
      <c r="P342" s="10"/>
      <c r="Q342" s="10"/>
      <c r="R342" s="2"/>
      <c r="S342" s="273"/>
      <c r="T342" s="273"/>
      <c r="U342" s="273"/>
      <c r="V342" s="9"/>
      <c r="W342" s="273"/>
      <c r="X342" s="273"/>
      <c r="Y342" s="9"/>
      <c r="Z342" s="273"/>
      <c r="AA342" s="273"/>
      <c r="AB342" s="9"/>
      <c r="AC342" s="273"/>
      <c r="AD342" s="273"/>
      <c r="AE342" s="9"/>
      <c r="AF342" s="273"/>
      <c r="AG342" s="273"/>
      <c r="AH342" s="9"/>
      <c r="AI342" s="273"/>
      <c r="AJ342" s="273"/>
      <c r="AK342" s="9"/>
      <c r="AL342" s="273"/>
      <c r="AM342" s="273"/>
      <c r="AN342" s="9"/>
      <c r="AO342" s="273"/>
      <c r="AP342" s="273"/>
      <c r="AQ342" s="9"/>
      <c r="AR342" s="273"/>
      <c r="AS342" s="39"/>
    </row>
    <row r="343" spans="1:45" ht="12.75">
      <c r="A343" s="160"/>
      <c r="B343" s="273"/>
      <c r="C343" s="273"/>
      <c r="D343" s="273"/>
      <c r="E343" s="273"/>
      <c r="F343" s="273"/>
      <c r="G343" s="273"/>
      <c r="H343" s="273"/>
      <c r="I343" s="2"/>
      <c r="J343" s="17"/>
      <c r="K343" s="10"/>
      <c r="L343" s="10"/>
      <c r="M343" s="10"/>
      <c r="N343" s="10"/>
      <c r="O343" s="10"/>
      <c r="P343" s="10"/>
      <c r="Q343" s="10"/>
      <c r="R343" s="2"/>
      <c r="S343" s="273"/>
      <c r="T343" s="273"/>
      <c r="U343" s="273"/>
      <c r="V343" s="9"/>
      <c r="W343" s="273"/>
      <c r="X343" s="273"/>
      <c r="Y343" s="9"/>
      <c r="Z343" s="273"/>
      <c r="AA343" s="273"/>
      <c r="AB343" s="9"/>
      <c r="AC343" s="273"/>
      <c r="AD343" s="273"/>
      <c r="AE343" s="9"/>
      <c r="AF343" s="273"/>
      <c r="AG343" s="273"/>
      <c r="AH343" s="9"/>
      <c r="AI343" s="273"/>
      <c r="AJ343" s="273"/>
      <c r="AK343" s="9"/>
      <c r="AL343" s="273"/>
      <c r="AM343" s="273"/>
      <c r="AN343" s="9"/>
      <c r="AO343" s="273"/>
      <c r="AP343" s="273"/>
      <c r="AQ343" s="9"/>
      <c r="AR343" s="273"/>
      <c r="AS343" s="39"/>
    </row>
    <row r="344" spans="1:45" ht="12.75">
      <c r="A344" s="160"/>
      <c r="B344" s="273"/>
      <c r="C344" s="273"/>
      <c r="D344" s="273"/>
      <c r="E344" s="273"/>
      <c r="F344" s="273"/>
      <c r="G344" s="273"/>
      <c r="H344" s="273"/>
      <c r="I344" s="2"/>
      <c r="J344" s="17"/>
      <c r="K344" s="10"/>
      <c r="L344" s="10"/>
      <c r="M344" s="10"/>
      <c r="N344" s="10"/>
      <c r="O344" s="10"/>
      <c r="P344" s="10"/>
      <c r="Q344" s="10"/>
      <c r="R344" s="2"/>
      <c r="S344" s="273"/>
      <c r="T344" s="273"/>
      <c r="U344" s="273"/>
      <c r="V344" s="9"/>
      <c r="W344" s="273"/>
      <c r="X344" s="273"/>
      <c r="Y344" s="9"/>
      <c r="Z344" s="273"/>
      <c r="AA344" s="273"/>
      <c r="AB344" s="9"/>
      <c r="AC344" s="273"/>
      <c r="AD344" s="273"/>
      <c r="AE344" s="9"/>
      <c r="AF344" s="273"/>
      <c r="AG344" s="273"/>
      <c r="AH344" s="9"/>
      <c r="AI344" s="273"/>
      <c r="AJ344" s="273"/>
      <c r="AK344" s="9"/>
      <c r="AL344" s="273"/>
      <c r="AM344" s="273"/>
      <c r="AN344" s="9"/>
      <c r="AO344" s="273"/>
      <c r="AP344" s="273"/>
      <c r="AQ344" s="9"/>
      <c r="AR344" s="273"/>
      <c r="AS344" s="39"/>
    </row>
    <row r="345" spans="1:45" ht="12.75">
      <c r="A345" s="160"/>
      <c r="B345" s="273"/>
      <c r="C345" s="273"/>
      <c r="D345" s="273"/>
      <c r="E345" s="273"/>
      <c r="F345" s="273"/>
      <c r="G345" s="273"/>
      <c r="H345" s="273"/>
      <c r="I345" s="2"/>
      <c r="J345" s="17"/>
      <c r="K345" s="10"/>
      <c r="L345" s="10"/>
      <c r="M345" s="10"/>
      <c r="N345" s="10"/>
      <c r="O345" s="10"/>
      <c r="P345" s="10"/>
      <c r="Q345" s="10"/>
      <c r="R345" s="2"/>
      <c r="S345" s="273"/>
      <c r="T345" s="273"/>
      <c r="U345" s="273"/>
      <c r="V345" s="9"/>
      <c r="W345" s="273"/>
      <c r="X345" s="273"/>
      <c r="Y345" s="9"/>
      <c r="Z345" s="273"/>
      <c r="AA345" s="273"/>
      <c r="AB345" s="9"/>
      <c r="AC345" s="273"/>
      <c r="AD345" s="273"/>
      <c r="AE345" s="9"/>
      <c r="AF345" s="273"/>
      <c r="AG345" s="273"/>
      <c r="AH345" s="9"/>
      <c r="AI345" s="273"/>
      <c r="AJ345" s="273"/>
      <c r="AK345" s="9"/>
      <c r="AL345" s="273"/>
      <c r="AM345" s="273"/>
      <c r="AN345" s="9"/>
      <c r="AO345" s="273"/>
      <c r="AP345" s="273"/>
      <c r="AQ345" s="9"/>
      <c r="AR345" s="273"/>
      <c r="AS345" s="39"/>
    </row>
    <row r="346" spans="1:45" ht="12.75">
      <c r="A346" s="160"/>
      <c r="B346" s="273"/>
      <c r="C346" s="273"/>
      <c r="D346" s="273"/>
      <c r="E346" s="273"/>
      <c r="F346" s="273"/>
      <c r="G346" s="273"/>
      <c r="H346" s="273"/>
      <c r="I346" s="2"/>
      <c r="J346" s="17"/>
      <c r="K346" s="10"/>
      <c r="L346" s="10"/>
      <c r="M346" s="10"/>
      <c r="N346" s="10"/>
      <c r="O346" s="10"/>
      <c r="P346" s="10"/>
      <c r="Q346" s="10"/>
      <c r="R346" s="2"/>
      <c r="S346" s="273"/>
      <c r="T346" s="273"/>
      <c r="U346" s="273"/>
      <c r="V346" s="9"/>
      <c r="W346" s="273"/>
      <c r="X346" s="273"/>
      <c r="Y346" s="9"/>
      <c r="Z346" s="273"/>
      <c r="AA346" s="273"/>
      <c r="AB346" s="9"/>
      <c r="AC346" s="273"/>
      <c r="AD346" s="273"/>
      <c r="AE346" s="9"/>
      <c r="AF346" s="273"/>
      <c r="AG346" s="273"/>
      <c r="AH346" s="9"/>
      <c r="AI346" s="273"/>
      <c r="AJ346" s="273"/>
      <c r="AK346" s="9"/>
      <c r="AL346" s="273"/>
      <c r="AM346" s="273"/>
      <c r="AN346" s="9"/>
      <c r="AO346" s="273"/>
      <c r="AP346" s="273"/>
      <c r="AQ346" s="9"/>
      <c r="AR346" s="273"/>
      <c r="AS346" s="39"/>
    </row>
    <row r="347" spans="1:45" ht="12.75">
      <c r="A347" s="160"/>
      <c r="B347" s="273"/>
      <c r="C347" s="273"/>
      <c r="D347" s="273"/>
      <c r="E347" s="273"/>
      <c r="F347" s="273"/>
      <c r="G347" s="273"/>
      <c r="H347" s="273"/>
      <c r="I347" s="2"/>
      <c r="J347" s="17"/>
      <c r="K347" s="10"/>
      <c r="L347" s="10"/>
      <c r="M347" s="10"/>
      <c r="N347" s="10"/>
      <c r="O347" s="10"/>
      <c r="P347" s="10"/>
      <c r="Q347" s="10"/>
      <c r="R347" s="2"/>
      <c r="S347" s="273"/>
      <c r="T347" s="273"/>
      <c r="U347" s="273"/>
      <c r="V347" s="9"/>
      <c r="W347" s="273"/>
      <c r="X347" s="273"/>
      <c r="Y347" s="9"/>
      <c r="Z347" s="273"/>
      <c r="AA347" s="273"/>
      <c r="AB347" s="9"/>
      <c r="AC347" s="273"/>
      <c r="AD347" s="273"/>
      <c r="AE347" s="9"/>
      <c r="AF347" s="273"/>
      <c r="AG347" s="273"/>
      <c r="AH347" s="9"/>
      <c r="AI347" s="273"/>
      <c r="AJ347" s="273"/>
      <c r="AK347" s="9"/>
      <c r="AL347" s="273"/>
      <c r="AM347" s="273"/>
      <c r="AN347" s="9"/>
      <c r="AO347" s="273"/>
      <c r="AP347" s="273"/>
      <c r="AQ347" s="9"/>
      <c r="AR347" s="273"/>
      <c r="AS347" s="39"/>
    </row>
    <row r="348" spans="1:45" ht="12.75">
      <c r="A348" s="160"/>
      <c r="B348" s="273"/>
      <c r="C348" s="273"/>
      <c r="D348" s="273"/>
      <c r="E348" s="273"/>
      <c r="F348" s="273"/>
      <c r="G348" s="273"/>
      <c r="H348" s="273"/>
      <c r="I348" s="2"/>
      <c r="J348" s="17"/>
      <c r="K348" s="10"/>
      <c r="L348" s="10"/>
      <c r="M348" s="10"/>
      <c r="N348" s="10"/>
      <c r="O348" s="10"/>
      <c r="P348" s="10"/>
      <c r="Q348" s="10"/>
      <c r="R348" s="2"/>
      <c r="S348" s="273"/>
      <c r="T348" s="273"/>
      <c r="U348" s="273"/>
      <c r="V348" s="9"/>
      <c r="W348" s="273"/>
      <c r="X348" s="273"/>
      <c r="Y348" s="9"/>
      <c r="Z348" s="273"/>
      <c r="AA348" s="273"/>
      <c r="AB348" s="9"/>
      <c r="AC348" s="273"/>
      <c r="AD348" s="273"/>
      <c r="AE348" s="9"/>
      <c r="AF348" s="273"/>
      <c r="AG348" s="273"/>
      <c r="AH348" s="9"/>
      <c r="AI348" s="273"/>
      <c r="AJ348" s="273"/>
      <c r="AK348" s="9"/>
      <c r="AL348" s="273"/>
      <c r="AM348" s="273"/>
      <c r="AN348" s="9"/>
      <c r="AO348" s="273"/>
      <c r="AP348" s="273"/>
      <c r="AQ348" s="9"/>
      <c r="AR348" s="273"/>
      <c r="AS348" s="39"/>
    </row>
    <row r="349" spans="1:45" ht="12.75">
      <c r="A349" s="160"/>
      <c r="B349" s="273"/>
      <c r="C349" s="273"/>
      <c r="D349" s="273"/>
      <c r="E349" s="273"/>
      <c r="F349" s="273"/>
      <c r="G349" s="273"/>
      <c r="H349" s="273"/>
      <c r="I349" s="2"/>
      <c r="J349" s="17"/>
      <c r="K349" s="10"/>
      <c r="L349" s="10"/>
      <c r="M349" s="10"/>
      <c r="N349" s="10"/>
      <c r="O349" s="10"/>
      <c r="P349" s="10"/>
      <c r="Q349" s="10"/>
      <c r="R349" s="2"/>
      <c r="S349" s="273"/>
      <c r="T349" s="273"/>
      <c r="U349" s="273"/>
      <c r="V349" s="9"/>
      <c r="W349" s="273"/>
      <c r="X349" s="273"/>
      <c r="Y349" s="9"/>
      <c r="Z349" s="273"/>
      <c r="AA349" s="273"/>
      <c r="AB349" s="9"/>
      <c r="AC349" s="273"/>
      <c r="AD349" s="273"/>
      <c r="AE349" s="9"/>
      <c r="AF349" s="273"/>
      <c r="AG349" s="273"/>
      <c r="AH349" s="9"/>
      <c r="AI349" s="273"/>
      <c r="AJ349" s="273"/>
      <c r="AK349" s="9"/>
      <c r="AL349" s="273"/>
      <c r="AM349" s="273"/>
      <c r="AN349" s="9"/>
      <c r="AO349" s="273"/>
      <c r="AP349" s="273"/>
      <c r="AQ349" s="9"/>
      <c r="AR349" s="273"/>
      <c r="AS349" s="39"/>
    </row>
    <row r="350" spans="1:45" ht="12.75">
      <c r="A350" s="160"/>
      <c r="B350" s="273"/>
      <c r="C350" s="273"/>
      <c r="D350" s="273"/>
      <c r="E350" s="273"/>
      <c r="F350" s="273"/>
      <c r="G350" s="273"/>
      <c r="H350" s="273"/>
      <c r="I350" s="2"/>
      <c r="J350" s="17"/>
      <c r="K350" s="10"/>
      <c r="L350" s="10"/>
      <c r="M350" s="10"/>
      <c r="N350" s="10"/>
      <c r="O350" s="10"/>
      <c r="P350" s="10"/>
      <c r="Q350" s="10"/>
      <c r="R350" s="2"/>
      <c r="S350" s="273"/>
      <c r="T350" s="273"/>
      <c r="U350" s="273"/>
      <c r="V350" s="9"/>
      <c r="W350" s="273"/>
      <c r="X350" s="273"/>
      <c r="Y350" s="9"/>
      <c r="Z350" s="273"/>
      <c r="AA350" s="273"/>
      <c r="AB350" s="9"/>
      <c r="AC350" s="273"/>
      <c r="AD350" s="273"/>
      <c r="AE350" s="9"/>
      <c r="AF350" s="273"/>
      <c r="AG350" s="273"/>
      <c r="AH350" s="9"/>
      <c r="AI350" s="273"/>
      <c r="AJ350" s="273"/>
      <c r="AK350" s="9"/>
      <c r="AL350" s="273"/>
      <c r="AM350" s="273"/>
      <c r="AN350" s="9"/>
      <c r="AO350" s="273"/>
      <c r="AP350" s="273"/>
      <c r="AQ350" s="9"/>
      <c r="AR350" s="273"/>
      <c r="AS350" s="39"/>
    </row>
    <row r="351" spans="1:45" ht="12.75">
      <c r="A351" s="160"/>
      <c r="B351" s="273"/>
      <c r="C351" s="273"/>
      <c r="D351" s="273"/>
      <c r="E351" s="273"/>
      <c r="F351" s="273"/>
      <c r="G351" s="273"/>
      <c r="H351" s="273"/>
      <c r="I351" s="2"/>
      <c r="J351" s="17"/>
      <c r="K351" s="10"/>
      <c r="L351" s="10"/>
      <c r="M351" s="10"/>
      <c r="N351" s="10"/>
      <c r="O351" s="10"/>
      <c r="P351" s="10"/>
      <c r="Q351" s="10"/>
      <c r="R351" s="2"/>
      <c r="S351" s="273"/>
      <c r="T351" s="273"/>
      <c r="U351" s="273"/>
      <c r="V351" s="9"/>
      <c r="W351" s="273"/>
      <c r="X351" s="273"/>
      <c r="Y351" s="9"/>
      <c r="Z351" s="273"/>
      <c r="AA351" s="273"/>
      <c r="AB351" s="9"/>
      <c r="AC351" s="273"/>
      <c r="AD351" s="273"/>
      <c r="AE351" s="9"/>
      <c r="AF351" s="273"/>
      <c r="AG351" s="273"/>
      <c r="AH351" s="9"/>
      <c r="AI351" s="273"/>
      <c r="AJ351" s="273"/>
      <c r="AK351" s="9"/>
      <c r="AL351" s="273"/>
      <c r="AM351" s="273"/>
      <c r="AN351" s="9"/>
      <c r="AO351" s="273"/>
      <c r="AP351" s="273"/>
      <c r="AQ351" s="9"/>
      <c r="AR351" s="273"/>
      <c r="AS351" s="39"/>
    </row>
    <row r="352" spans="1:45" ht="12.75">
      <c r="A352" s="160"/>
      <c r="B352" s="273"/>
      <c r="C352" s="273"/>
      <c r="D352" s="273"/>
      <c r="E352" s="273"/>
      <c r="F352" s="273"/>
      <c r="G352" s="273"/>
      <c r="H352" s="273"/>
      <c r="I352" s="2"/>
      <c r="J352" s="17"/>
      <c r="K352" s="10"/>
      <c r="L352" s="10"/>
      <c r="M352" s="10"/>
      <c r="N352" s="10"/>
      <c r="O352" s="10"/>
      <c r="P352" s="10"/>
      <c r="Q352" s="10"/>
      <c r="R352" s="2"/>
      <c r="S352" s="273"/>
      <c r="T352" s="273"/>
      <c r="U352" s="273"/>
      <c r="V352" s="9"/>
      <c r="W352" s="273"/>
      <c r="X352" s="273"/>
      <c r="Y352" s="9"/>
      <c r="Z352" s="273"/>
      <c r="AA352" s="273"/>
      <c r="AB352" s="9"/>
      <c r="AC352" s="273"/>
      <c r="AD352" s="273"/>
      <c r="AE352" s="9"/>
      <c r="AF352" s="273"/>
      <c r="AG352" s="273"/>
      <c r="AH352" s="9"/>
      <c r="AI352" s="273"/>
      <c r="AJ352" s="273"/>
      <c r="AK352" s="9"/>
      <c r="AL352" s="273"/>
      <c r="AM352" s="273"/>
      <c r="AN352" s="9"/>
      <c r="AO352" s="273"/>
      <c r="AP352" s="273"/>
      <c r="AQ352" s="9"/>
      <c r="AR352" s="273"/>
      <c r="AS352" s="39"/>
    </row>
    <row r="353" spans="1:45" ht="12.75">
      <c r="A353" s="160"/>
      <c r="B353" s="273"/>
      <c r="C353" s="273"/>
      <c r="D353" s="273"/>
      <c r="E353" s="273"/>
      <c r="F353" s="273"/>
      <c r="G353" s="273"/>
      <c r="H353" s="273"/>
      <c r="I353" s="2"/>
      <c r="J353" s="17"/>
      <c r="K353" s="10"/>
      <c r="L353" s="10"/>
      <c r="M353" s="10"/>
      <c r="N353" s="10"/>
      <c r="O353" s="10"/>
      <c r="P353" s="10"/>
      <c r="Q353" s="10"/>
      <c r="R353" s="2"/>
      <c r="S353" s="273"/>
      <c r="T353" s="273"/>
      <c r="U353" s="273"/>
      <c r="V353" s="9"/>
      <c r="W353" s="273"/>
      <c r="X353" s="273"/>
      <c r="Y353" s="9"/>
      <c r="Z353" s="273"/>
      <c r="AA353" s="273"/>
      <c r="AB353" s="9"/>
      <c r="AC353" s="273"/>
      <c r="AD353" s="273"/>
      <c r="AE353" s="9"/>
      <c r="AF353" s="273"/>
      <c r="AG353" s="273"/>
      <c r="AH353" s="9"/>
      <c r="AI353" s="273"/>
      <c r="AJ353" s="273"/>
      <c r="AK353" s="9"/>
      <c r="AL353" s="273"/>
      <c r="AM353" s="273"/>
      <c r="AN353" s="9"/>
      <c r="AO353" s="273"/>
      <c r="AP353" s="273"/>
      <c r="AQ353" s="9"/>
      <c r="AR353" s="273"/>
      <c r="AS353" s="39"/>
    </row>
    <row r="354" spans="1:45" ht="12.75">
      <c r="A354" s="160"/>
      <c r="B354" s="273"/>
      <c r="C354" s="273"/>
      <c r="D354" s="273"/>
      <c r="E354" s="273"/>
      <c r="F354" s="273"/>
      <c r="G354" s="273"/>
      <c r="H354" s="273"/>
      <c r="I354" s="2"/>
      <c r="J354" s="17"/>
      <c r="K354" s="10"/>
      <c r="L354" s="10"/>
      <c r="M354" s="10"/>
      <c r="N354" s="10"/>
      <c r="O354" s="10"/>
      <c r="P354" s="10"/>
      <c r="Q354" s="10"/>
      <c r="R354" s="2"/>
      <c r="S354" s="273"/>
      <c r="T354" s="273"/>
      <c r="U354" s="273"/>
      <c r="V354" s="9"/>
      <c r="W354" s="273"/>
      <c r="X354" s="273"/>
      <c r="Y354" s="9"/>
      <c r="Z354" s="273"/>
      <c r="AA354" s="273"/>
      <c r="AB354" s="9"/>
      <c r="AC354" s="273"/>
      <c r="AD354" s="273"/>
      <c r="AE354" s="9"/>
      <c r="AF354" s="273"/>
      <c r="AG354" s="273"/>
      <c r="AH354" s="9"/>
      <c r="AI354" s="273"/>
      <c r="AJ354" s="273"/>
      <c r="AK354" s="9"/>
      <c r="AL354" s="273"/>
      <c r="AM354" s="273"/>
      <c r="AN354" s="9"/>
      <c r="AO354" s="273"/>
      <c r="AP354" s="273"/>
      <c r="AQ354" s="9"/>
      <c r="AR354" s="273"/>
      <c r="AS354" s="39"/>
    </row>
    <row r="355" spans="1:45" ht="12.75">
      <c r="A355" s="160"/>
      <c r="B355" s="273"/>
      <c r="C355" s="273"/>
      <c r="D355" s="273"/>
      <c r="E355" s="273"/>
      <c r="F355" s="273"/>
      <c r="G355" s="273"/>
      <c r="H355" s="273"/>
      <c r="I355" s="2"/>
      <c r="J355" s="17"/>
      <c r="K355" s="10"/>
      <c r="L355" s="10"/>
      <c r="M355" s="10"/>
      <c r="N355" s="10"/>
      <c r="O355" s="10"/>
      <c r="P355" s="10"/>
      <c r="Q355" s="10"/>
      <c r="R355" s="2"/>
      <c r="S355" s="273"/>
      <c r="T355" s="273"/>
      <c r="U355" s="273"/>
      <c r="V355" s="9"/>
      <c r="W355" s="273"/>
      <c r="X355" s="273"/>
      <c r="Y355" s="9"/>
      <c r="Z355" s="273"/>
      <c r="AA355" s="273"/>
      <c r="AB355" s="9"/>
      <c r="AC355" s="273"/>
      <c r="AD355" s="273"/>
      <c r="AE355" s="9"/>
      <c r="AF355" s="273"/>
      <c r="AG355" s="273"/>
      <c r="AH355" s="9"/>
      <c r="AI355" s="273"/>
      <c r="AJ355" s="273"/>
      <c r="AK355" s="9"/>
      <c r="AL355" s="273"/>
      <c r="AM355" s="273"/>
      <c r="AN355" s="9"/>
      <c r="AO355" s="273"/>
      <c r="AP355" s="273"/>
      <c r="AQ355" s="9"/>
      <c r="AR355" s="273"/>
      <c r="AS355" s="39"/>
    </row>
    <row r="356" spans="1:45" ht="12.75">
      <c r="A356" s="160"/>
      <c r="B356" s="273"/>
      <c r="C356" s="273"/>
      <c r="D356" s="273"/>
      <c r="E356" s="273"/>
      <c r="F356" s="273"/>
      <c r="G356" s="273"/>
      <c r="H356" s="273"/>
      <c r="I356" s="2"/>
      <c r="J356" s="17"/>
      <c r="K356" s="10"/>
      <c r="L356" s="10"/>
      <c r="M356" s="10"/>
      <c r="N356" s="10"/>
      <c r="O356" s="10"/>
      <c r="P356" s="10"/>
      <c r="Q356" s="10"/>
      <c r="R356" s="2"/>
      <c r="S356" s="273"/>
      <c r="T356" s="273"/>
      <c r="U356" s="273"/>
      <c r="V356" s="9"/>
      <c r="W356" s="273"/>
      <c r="X356" s="273"/>
      <c r="Y356" s="9"/>
      <c r="Z356" s="273"/>
      <c r="AA356" s="273"/>
      <c r="AB356" s="9"/>
      <c r="AC356" s="273"/>
      <c r="AD356" s="273"/>
      <c r="AE356" s="9"/>
      <c r="AF356" s="273"/>
      <c r="AG356" s="273"/>
      <c r="AH356" s="9"/>
      <c r="AI356" s="273"/>
      <c r="AJ356" s="273"/>
      <c r="AK356" s="9"/>
      <c r="AL356" s="273"/>
      <c r="AM356" s="273"/>
      <c r="AN356" s="9"/>
      <c r="AO356" s="273"/>
      <c r="AP356" s="273"/>
      <c r="AQ356" s="9"/>
      <c r="AR356" s="273"/>
      <c r="AS356" s="39"/>
    </row>
    <row r="357" spans="1:45" ht="12.75">
      <c r="A357" s="160"/>
      <c r="B357" s="273"/>
      <c r="C357" s="273"/>
      <c r="D357" s="273"/>
      <c r="E357" s="273"/>
      <c r="F357" s="273"/>
      <c r="G357" s="273"/>
      <c r="H357" s="273"/>
      <c r="I357" s="2"/>
      <c r="J357" s="17"/>
      <c r="K357" s="10"/>
      <c r="L357" s="10"/>
      <c r="M357" s="10"/>
      <c r="N357" s="10"/>
      <c r="O357" s="10"/>
      <c r="P357" s="10"/>
      <c r="Q357" s="10"/>
      <c r="R357" s="2"/>
      <c r="S357" s="273"/>
      <c r="T357" s="273"/>
      <c r="U357" s="273"/>
      <c r="V357" s="9"/>
      <c r="W357" s="273"/>
      <c r="X357" s="273"/>
      <c r="Y357" s="9"/>
      <c r="Z357" s="273"/>
      <c r="AA357" s="273"/>
      <c r="AB357" s="9"/>
      <c r="AC357" s="273"/>
      <c r="AD357" s="273"/>
      <c r="AE357" s="9"/>
      <c r="AF357" s="273"/>
      <c r="AG357" s="273"/>
      <c r="AH357" s="9"/>
      <c r="AI357" s="273"/>
      <c r="AJ357" s="273"/>
      <c r="AK357" s="9"/>
      <c r="AL357" s="273"/>
      <c r="AM357" s="273"/>
      <c r="AN357" s="9"/>
      <c r="AO357" s="273"/>
      <c r="AP357" s="273"/>
      <c r="AQ357" s="9"/>
      <c r="AR357" s="273"/>
      <c r="AS357" s="39"/>
    </row>
    <row r="358" spans="1:45" ht="12.75">
      <c r="A358" s="160"/>
      <c r="B358" s="273"/>
      <c r="C358" s="273"/>
      <c r="D358" s="273"/>
      <c r="E358" s="273"/>
      <c r="F358" s="273"/>
      <c r="G358" s="273"/>
      <c r="H358" s="273"/>
      <c r="I358" s="2"/>
      <c r="J358" s="17"/>
      <c r="K358" s="10"/>
      <c r="L358" s="10"/>
      <c r="M358" s="10"/>
      <c r="N358" s="10"/>
      <c r="O358" s="10"/>
      <c r="P358" s="10"/>
      <c r="Q358" s="10"/>
      <c r="R358" s="2"/>
      <c r="S358" s="273"/>
      <c r="T358" s="273"/>
      <c r="U358" s="273"/>
      <c r="V358" s="9"/>
      <c r="W358" s="273"/>
      <c r="X358" s="273"/>
      <c r="Y358" s="9"/>
      <c r="Z358" s="273"/>
      <c r="AA358" s="273"/>
      <c r="AB358" s="9"/>
      <c r="AC358" s="273"/>
      <c r="AD358" s="273"/>
      <c r="AE358" s="9"/>
      <c r="AF358" s="273"/>
      <c r="AG358" s="273"/>
      <c r="AH358" s="9"/>
      <c r="AI358" s="273"/>
      <c r="AJ358" s="273"/>
      <c r="AK358" s="9"/>
      <c r="AL358" s="273"/>
      <c r="AM358" s="273"/>
      <c r="AN358" s="9"/>
      <c r="AO358" s="273"/>
      <c r="AP358" s="273"/>
      <c r="AQ358" s="9"/>
      <c r="AR358" s="273"/>
      <c r="AS358" s="39"/>
    </row>
    <row r="359" spans="1:45" ht="12.75">
      <c r="A359" s="160"/>
      <c r="B359" s="273"/>
      <c r="C359" s="273"/>
      <c r="D359" s="273"/>
      <c r="E359" s="273"/>
      <c r="F359" s="273"/>
      <c r="G359" s="273"/>
      <c r="H359" s="273"/>
      <c r="I359" s="2"/>
      <c r="J359" s="17"/>
      <c r="K359" s="10"/>
      <c r="L359" s="10"/>
      <c r="M359" s="10"/>
      <c r="N359" s="10"/>
      <c r="O359" s="10"/>
      <c r="P359" s="10"/>
      <c r="Q359" s="10"/>
      <c r="R359" s="2"/>
      <c r="S359" s="273"/>
      <c r="T359" s="273"/>
      <c r="U359" s="273"/>
      <c r="V359" s="9"/>
      <c r="W359" s="273"/>
      <c r="X359" s="273"/>
      <c r="Y359" s="9"/>
      <c r="Z359" s="273"/>
      <c r="AA359" s="273"/>
      <c r="AB359" s="9"/>
      <c r="AC359" s="273"/>
      <c r="AD359" s="273"/>
      <c r="AE359" s="9"/>
      <c r="AF359" s="273"/>
      <c r="AG359" s="273"/>
      <c r="AH359" s="9"/>
      <c r="AI359" s="273"/>
      <c r="AJ359" s="273"/>
      <c r="AK359" s="9"/>
      <c r="AL359" s="273"/>
      <c r="AM359" s="273"/>
      <c r="AN359" s="9"/>
      <c r="AO359" s="273"/>
      <c r="AP359" s="273"/>
      <c r="AQ359" s="9"/>
      <c r="AR359" s="273"/>
      <c r="AS359" s="39"/>
    </row>
    <row r="360" spans="1:45" ht="12.75">
      <c r="A360" s="160"/>
      <c r="B360" s="273"/>
      <c r="C360" s="273"/>
      <c r="D360" s="273"/>
      <c r="E360" s="273"/>
      <c r="F360" s="273"/>
      <c r="G360" s="273"/>
      <c r="H360" s="273"/>
      <c r="I360" s="2"/>
      <c r="J360" s="17"/>
      <c r="K360" s="10"/>
      <c r="L360" s="10"/>
      <c r="M360" s="10"/>
      <c r="N360" s="10"/>
      <c r="O360" s="10"/>
      <c r="P360" s="10"/>
      <c r="Q360" s="10"/>
      <c r="R360" s="2"/>
      <c r="S360" s="273"/>
      <c r="T360" s="273"/>
      <c r="U360" s="273"/>
      <c r="V360" s="9"/>
      <c r="W360" s="273"/>
      <c r="X360" s="273"/>
      <c r="Y360" s="9"/>
      <c r="Z360" s="273"/>
      <c r="AA360" s="273"/>
      <c r="AB360" s="9"/>
      <c r="AC360" s="273"/>
      <c r="AD360" s="273"/>
      <c r="AE360" s="9"/>
      <c r="AF360" s="273"/>
      <c r="AG360" s="273"/>
      <c r="AH360" s="9"/>
      <c r="AI360" s="273"/>
      <c r="AJ360" s="273"/>
      <c r="AK360" s="9"/>
      <c r="AL360" s="273"/>
      <c r="AM360" s="273"/>
      <c r="AN360" s="9"/>
      <c r="AO360" s="273"/>
      <c r="AP360" s="273"/>
      <c r="AQ360" s="9"/>
      <c r="AR360" s="273"/>
      <c r="AS360" s="39"/>
    </row>
    <row r="361" spans="1:45" ht="12.75">
      <c r="A361" s="160"/>
      <c r="B361" s="273"/>
      <c r="C361" s="273"/>
      <c r="D361" s="273"/>
      <c r="E361" s="273"/>
      <c r="F361" s="273"/>
      <c r="G361" s="273"/>
      <c r="H361" s="273"/>
      <c r="I361" s="2"/>
      <c r="J361" s="17"/>
      <c r="K361" s="10"/>
      <c r="L361" s="10"/>
      <c r="M361" s="10"/>
      <c r="N361" s="10"/>
      <c r="O361" s="10"/>
      <c r="P361" s="10"/>
      <c r="Q361" s="10"/>
      <c r="R361" s="2"/>
      <c r="S361" s="273"/>
      <c r="T361" s="273"/>
      <c r="U361" s="273"/>
      <c r="V361" s="9"/>
      <c r="W361" s="273"/>
      <c r="X361" s="273"/>
      <c r="Y361" s="9"/>
      <c r="Z361" s="273"/>
      <c r="AA361" s="273"/>
      <c r="AB361" s="9"/>
      <c r="AC361" s="273"/>
      <c r="AD361" s="273"/>
      <c r="AE361" s="9"/>
      <c r="AF361" s="273"/>
      <c r="AG361" s="273"/>
      <c r="AH361" s="9"/>
      <c r="AI361" s="273"/>
      <c r="AJ361" s="273"/>
      <c r="AK361" s="9"/>
      <c r="AL361" s="273"/>
      <c r="AM361" s="273"/>
      <c r="AN361" s="9"/>
      <c r="AO361" s="273"/>
      <c r="AP361" s="273"/>
      <c r="AQ361" s="9"/>
      <c r="AR361" s="273"/>
      <c r="AS361" s="39"/>
    </row>
    <row r="362" spans="1:45" ht="12.75">
      <c r="A362" s="160"/>
      <c r="B362" s="273"/>
      <c r="C362" s="273"/>
      <c r="D362" s="273"/>
      <c r="E362" s="273"/>
      <c r="F362" s="273"/>
      <c r="G362" s="273"/>
      <c r="H362" s="273"/>
      <c r="I362" s="2"/>
      <c r="J362" s="17"/>
      <c r="K362" s="10"/>
      <c r="L362" s="10"/>
      <c r="M362" s="10"/>
      <c r="N362" s="10"/>
      <c r="O362" s="10"/>
      <c r="P362" s="10"/>
      <c r="Q362" s="10"/>
      <c r="R362" s="2"/>
      <c r="S362" s="273"/>
      <c r="T362" s="273"/>
      <c r="U362" s="273"/>
      <c r="V362" s="9"/>
      <c r="W362" s="273"/>
      <c r="X362" s="273"/>
      <c r="Y362" s="9"/>
      <c r="Z362" s="273"/>
      <c r="AA362" s="273"/>
      <c r="AB362" s="9"/>
      <c r="AC362" s="273"/>
      <c r="AD362" s="273"/>
      <c r="AE362" s="9"/>
      <c r="AF362" s="273"/>
      <c r="AG362" s="273"/>
      <c r="AH362" s="9"/>
      <c r="AI362" s="273"/>
      <c r="AJ362" s="273"/>
      <c r="AK362" s="9"/>
      <c r="AL362" s="273"/>
      <c r="AM362" s="273"/>
      <c r="AN362" s="9"/>
      <c r="AO362" s="273"/>
      <c r="AP362" s="273"/>
      <c r="AQ362" s="9"/>
      <c r="AR362" s="273"/>
      <c r="AS362" s="39"/>
    </row>
    <row r="363" spans="1:45" ht="12.75">
      <c r="A363" s="160"/>
      <c r="B363" s="273"/>
      <c r="C363" s="273"/>
      <c r="D363" s="273"/>
      <c r="E363" s="273"/>
      <c r="F363" s="273"/>
      <c r="G363" s="273"/>
      <c r="H363" s="273"/>
      <c r="I363" s="2"/>
      <c r="J363" s="17"/>
      <c r="K363" s="10"/>
      <c r="L363" s="10"/>
      <c r="M363" s="10"/>
      <c r="N363" s="10"/>
      <c r="O363" s="10"/>
      <c r="P363" s="10"/>
      <c r="Q363" s="10"/>
      <c r="R363" s="2"/>
      <c r="S363" s="273"/>
      <c r="T363" s="273"/>
      <c r="U363" s="273"/>
      <c r="V363" s="9"/>
      <c r="W363" s="273"/>
      <c r="X363" s="273"/>
      <c r="Y363" s="9"/>
      <c r="Z363" s="273"/>
      <c r="AA363" s="273"/>
      <c r="AB363" s="9"/>
      <c r="AC363" s="273"/>
      <c r="AD363" s="273"/>
      <c r="AE363" s="9"/>
      <c r="AF363" s="273"/>
      <c r="AG363" s="273"/>
      <c r="AH363" s="9"/>
      <c r="AI363" s="273"/>
      <c r="AJ363" s="273"/>
      <c r="AK363" s="9"/>
      <c r="AL363" s="273"/>
      <c r="AM363" s="273"/>
      <c r="AN363" s="9"/>
      <c r="AO363" s="273"/>
      <c r="AP363" s="273"/>
      <c r="AQ363" s="9"/>
      <c r="AR363" s="273"/>
      <c r="AS363" s="39"/>
    </row>
    <row r="364" spans="1:45" ht="12.75">
      <c r="A364" s="160"/>
      <c r="B364" s="273"/>
      <c r="C364" s="273"/>
      <c r="D364" s="273"/>
      <c r="E364" s="273"/>
      <c r="F364" s="273"/>
      <c r="G364" s="273"/>
      <c r="H364" s="273"/>
      <c r="I364" s="2"/>
      <c r="J364" s="17"/>
      <c r="K364" s="10"/>
      <c r="L364" s="10"/>
      <c r="M364" s="10"/>
      <c r="N364" s="10"/>
      <c r="O364" s="10"/>
      <c r="P364" s="10"/>
      <c r="Q364" s="10"/>
      <c r="R364" s="2"/>
      <c r="S364" s="273"/>
      <c r="T364" s="273"/>
      <c r="U364" s="273"/>
      <c r="V364" s="9"/>
      <c r="W364" s="273"/>
      <c r="X364" s="273"/>
      <c r="Y364" s="9"/>
      <c r="Z364" s="273"/>
      <c r="AA364" s="273"/>
      <c r="AB364" s="9"/>
      <c r="AC364" s="273"/>
      <c r="AD364" s="273"/>
      <c r="AE364" s="9"/>
      <c r="AF364" s="273"/>
      <c r="AG364" s="273"/>
      <c r="AH364" s="9"/>
      <c r="AI364" s="273"/>
      <c r="AJ364" s="273"/>
      <c r="AK364" s="9"/>
      <c r="AL364" s="273"/>
      <c r="AM364" s="273"/>
      <c r="AN364" s="9"/>
      <c r="AO364" s="273"/>
      <c r="AP364" s="273"/>
      <c r="AQ364" s="9"/>
      <c r="AR364" s="273"/>
      <c r="AS364" s="39"/>
    </row>
    <row r="365" spans="1:45" ht="12.75">
      <c r="A365" s="160"/>
      <c r="B365" s="273"/>
      <c r="C365" s="273"/>
      <c r="D365" s="273"/>
      <c r="E365" s="273"/>
      <c r="F365" s="273"/>
      <c r="G365" s="273"/>
      <c r="H365" s="273"/>
      <c r="I365" s="2"/>
      <c r="J365" s="17"/>
      <c r="K365" s="10"/>
      <c r="L365" s="10"/>
      <c r="M365" s="10"/>
      <c r="N365" s="10"/>
      <c r="O365" s="10"/>
      <c r="P365" s="10"/>
      <c r="Q365" s="10"/>
      <c r="R365" s="2"/>
      <c r="S365" s="273"/>
      <c r="T365" s="273"/>
      <c r="U365" s="273"/>
      <c r="V365" s="9"/>
      <c r="W365" s="273"/>
      <c r="X365" s="273"/>
      <c r="Y365" s="9"/>
      <c r="Z365" s="273"/>
      <c r="AA365" s="273"/>
      <c r="AB365" s="9"/>
      <c r="AC365" s="273"/>
      <c r="AD365" s="273"/>
      <c r="AE365" s="9"/>
      <c r="AF365" s="273"/>
      <c r="AG365" s="273"/>
      <c r="AH365" s="9"/>
      <c r="AI365" s="273"/>
      <c r="AJ365" s="273"/>
      <c r="AK365" s="9"/>
      <c r="AL365" s="273"/>
      <c r="AM365" s="273"/>
      <c r="AN365" s="9"/>
      <c r="AO365" s="273"/>
      <c r="AP365" s="273"/>
      <c r="AQ365" s="9"/>
      <c r="AR365" s="273"/>
      <c r="AS365" s="39"/>
    </row>
    <row r="366" spans="1:45" ht="12.75">
      <c r="A366" s="160"/>
      <c r="B366" s="273"/>
      <c r="C366" s="273"/>
      <c r="D366" s="273"/>
      <c r="E366" s="273"/>
      <c r="F366" s="273"/>
      <c r="G366" s="273"/>
      <c r="H366" s="273"/>
      <c r="I366" s="2"/>
      <c r="J366" s="17"/>
      <c r="K366" s="10"/>
      <c r="L366" s="10"/>
      <c r="M366" s="10"/>
      <c r="N366" s="10"/>
      <c r="O366" s="10"/>
      <c r="P366" s="10"/>
      <c r="Q366" s="10"/>
      <c r="R366" s="2"/>
      <c r="S366" s="273"/>
      <c r="T366" s="273"/>
      <c r="U366" s="273"/>
      <c r="V366" s="9"/>
      <c r="W366" s="273"/>
      <c r="X366" s="273"/>
      <c r="Y366" s="9"/>
      <c r="Z366" s="273"/>
      <c r="AA366" s="273"/>
      <c r="AB366" s="9"/>
      <c r="AC366" s="273"/>
      <c r="AD366" s="273"/>
      <c r="AE366" s="9"/>
      <c r="AF366" s="273"/>
      <c r="AG366" s="273"/>
      <c r="AH366" s="9"/>
      <c r="AI366" s="273"/>
      <c r="AJ366" s="273"/>
      <c r="AK366" s="9"/>
      <c r="AL366" s="273"/>
      <c r="AM366" s="273"/>
      <c r="AN366" s="9"/>
      <c r="AO366" s="273"/>
      <c r="AP366" s="273"/>
      <c r="AQ366" s="9"/>
      <c r="AR366" s="273"/>
      <c r="AS366" s="39"/>
    </row>
    <row r="367" spans="1:45" ht="12.75">
      <c r="A367" s="160"/>
      <c r="B367" s="273"/>
      <c r="C367" s="273"/>
      <c r="D367" s="273"/>
      <c r="E367" s="273"/>
      <c r="F367" s="273"/>
      <c r="G367" s="273"/>
      <c r="H367" s="273"/>
      <c r="I367" s="2"/>
      <c r="J367" s="17"/>
      <c r="K367" s="10"/>
      <c r="L367" s="10"/>
      <c r="M367" s="10"/>
      <c r="N367" s="10"/>
      <c r="O367" s="10"/>
      <c r="P367" s="10"/>
      <c r="Q367" s="10"/>
      <c r="R367" s="2"/>
      <c r="S367" s="273"/>
      <c r="T367" s="273"/>
      <c r="U367" s="273"/>
      <c r="V367" s="9"/>
      <c r="W367" s="273"/>
      <c r="X367" s="273"/>
      <c r="Y367" s="9"/>
      <c r="Z367" s="273"/>
      <c r="AA367" s="273"/>
      <c r="AB367" s="9"/>
      <c r="AC367" s="273"/>
      <c r="AD367" s="273"/>
      <c r="AE367" s="9"/>
      <c r="AF367" s="273"/>
      <c r="AG367" s="273"/>
      <c r="AH367" s="9"/>
      <c r="AI367" s="273"/>
      <c r="AJ367" s="273"/>
      <c r="AK367" s="9"/>
      <c r="AL367" s="273"/>
      <c r="AM367" s="273"/>
      <c r="AN367" s="9"/>
      <c r="AO367" s="273"/>
      <c r="AP367" s="273"/>
      <c r="AQ367" s="9"/>
      <c r="AR367" s="273"/>
      <c r="AS367" s="39"/>
    </row>
    <row r="368" spans="1:45" ht="12.75">
      <c r="A368" s="160"/>
      <c r="B368" s="273"/>
      <c r="C368" s="273"/>
      <c r="D368" s="273"/>
      <c r="E368" s="273"/>
      <c r="F368" s="273"/>
      <c r="G368" s="273"/>
      <c r="H368" s="273"/>
      <c r="I368" s="2"/>
      <c r="J368" s="17"/>
      <c r="K368" s="10"/>
      <c r="L368" s="10"/>
      <c r="M368" s="10"/>
      <c r="N368" s="10"/>
      <c r="O368" s="10"/>
      <c r="P368" s="10"/>
      <c r="Q368" s="10"/>
      <c r="R368" s="2"/>
      <c r="S368" s="273"/>
      <c r="T368" s="273"/>
      <c r="U368" s="273"/>
      <c r="V368" s="9"/>
      <c r="W368" s="273"/>
      <c r="X368" s="273"/>
      <c r="Y368" s="9"/>
      <c r="Z368" s="273"/>
      <c r="AA368" s="273"/>
      <c r="AB368" s="9"/>
      <c r="AC368" s="273"/>
      <c r="AD368" s="273"/>
      <c r="AE368" s="9"/>
      <c r="AF368" s="273"/>
      <c r="AG368" s="273"/>
      <c r="AH368" s="9"/>
      <c r="AI368" s="273"/>
      <c r="AJ368" s="273"/>
      <c r="AK368" s="9"/>
      <c r="AL368" s="273"/>
      <c r="AM368" s="273"/>
      <c r="AN368" s="9"/>
      <c r="AO368" s="273"/>
      <c r="AP368" s="273"/>
      <c r="AQ368" s="9"/>
      <c r="AR368" s="273"/>
      <c r="AS368" s="39"/>
    </row>
    <row r="369" spans="1:45" ht="12.75">
      <c r="A369" s="160"/>
      <c r="B369" s="273"/>
      <c r="C369" s="273"/>
      <c r="D369" s="273"/>
      <c r="E369" s="273"/>
      <c r="F369" s="273"/>
      <c r="G369" s="273"/>
      <c r="H369" s="273"/>
      <c r="I369" s="2"/>
      <c r="J369" s="17"/>
      <c r="K369" s="10"/>
      <c r="L369" s="10"/>
      <c r="M369" s="10"/>
      <c r="N369" s="10"/>
      <c r="O369" s="10"/>
      <c r="P369" s="10"/>
      <c r="Q369" s="10"/>
      <c r="R369" s="2"/>
      <c r="S369" s="273"/>
      <c r="T369" s="273"/>
      <c r="U369" s="273"/>
      <c r="V369" s="9"/>
      <c r="W369" s="273"/>
      <c r="X369" s="273"/>
      <c r="Y369" s="9"/>
      <c r="Z369" s="273"/>
      <c r="AA369" s="273"/>
      <c r="AB369" s="9"/>
      <c r="AC369" s="273"/>
      <c r="AD369" s="273"/>
      <c r="AE369" s="9"/>
      <c r="AF369" s="273"/>
      <c r="AG369" s="273"/>
      <c r="AH369" s="9"/>
      <c r="AI369" s="273"/>
      <c r="AJ369" s="273"/>
      <c r="AK369" s="9"/>
      <c r="AL369" s="273"/>
      <c r="AM369" s="273"/>
      <c r="AN369" s="9"/>
      <c r="AO369" s="273"/>
      <c r="AP369" s="273"/>
      <c r="AQ369" s="9"/>
      <c r="AR369" s="273"/>
      <c r="AS369" s="39"/>
    </row>
    <row r="370" spans="1:45" ht="12.75">
      <c r="A370" s="160"/>
      <c r="B370" s="273"/>
      <c r="C370" s="273"/>
      <c r="D370" s="273"/>
      <c r="E370" s="273"/>
      <c r="F370" s="273"/>
      <c r="G370" s="273"/>
      <c r="H370" s="273"/>
      <c r="I370" s="2"/>
      <c r="J370" s="17"/>
      <c r="K370" s="10"/>
      <c r="L370" s="10"/>
      <c r="M370" s="10"/>
      <c r="N370" s="10"/>
      <c r="O370" s="10"/>
      <c r="P370" s="10"/>
      <c r="Q370" s="10"/>
      <c r="R370" s="2"/>
      <c r="S370" s="273"/>
      <c r="T370" s="273"/>
      <c r="U370" s="273"/>
      <c r="V370" s="9"/>
      <c r="W370" s="273"/>
      <c r="X370" s="273"/>
      <c r="Y370" s="9"/>
      <c r="Z370" s="273"/>
      <c r="AA370" s="273"/>
      <c r="AB370" s="9"/>
      <c r="AC370" s="273"/>
      <c r="AD370" s="273"/>
      <c r="AE370" s="9"/>
      <c r="AF370" s="273"/>
      <c r="AG370" s="273"/>
      <c r="AH370" s="9"/>
      <c r="AI370" s="273"/>
      <c r="AJ370" s="273"/>
      <c r="AK370" s="9"/>
      <c r="AL370" s="273"/>
      <c r="AM370" s="273"/>
      <c r="AN370" s="9"/>
      <c r="AO370" s="273"/>
      <c r="AP370" s="273"/>
      <c r="AQ370" s="9"/>
      <c r="AR370" s="273"/>
      <c r="AS370" s="39"/>
    </row>
    <row r="371" spans="1:45" ht="12.75">
      <c r="A371" s="160"/>
      <c r="B371" s="273"/>
      <c r="C371" s="273"/>
      <c r="D371" s="273"/>
      <c r="E371" s="273"/>
      <c r="F371" s="273"/>
      <c r="G371" s="273"/>
      <c r="H371" s="273"/>
      <c r="I371" s="2"/>
      <c r="J371" s="17"/>
      <c r="K371" s="10"/>
      <c r="L371" s="10"/>
      <c r="M371" s="10"/>
      <c r="N371" s="10"/>
      <c r="O371" s="10"/>
      <c r="P371" s="10"/>
      <c r="Q371" s="10"/>
      <c r="R371" s="2"/>
      <c r="S371" s="273"/>
      <c r="T371" s="273"/>
      <c r="U371" s="273"/>
      <c r="V371" s="9"/>
      <c r="W371" s="273"/>
      <c r="X371" s="273"/>
      <c r="Y371" s="9"/>
      <c r="Z371" s="273"/>
      <c r="AA371" s="273"/>
      <c r="AB371" s="9"/>
      <c r="AC371" s="273"/>
      <c r="AD371" s="273"/>
      <c r="AE371" s="9"/>
      <c r="AF371" s="273"/>
      <c r="AG371" s="273"/>
      <c r="AH371" s="9"/>
      <c r="AI371" s="273"/>
      <c r="AJ371" s="273"/>
      <c r="AK371" s="9"/>
      <c r="AL371" s="273"/>
      <c r="AM371" s="273"/>
      <c r="AN371" s="9"/>
      <c r="AO371" s="273"/>
      <c r="AP371" s="273"/>
      <c r="AQ371" s="9"/>
      <c r="AR371" s="273"/>
      <c r="AS371" s="39"/>
    </row>
    <row r="372" spans="1:45" ht="12.75">
      <c r="A372" s="160"/>
      <c r="B372" s="273"/>
      <c r="C372" s="273"/>
      <c r="D372" s="273"/>
      <c r="E372" s="273"/>
      <c r="F372" s="273"/>
      <c r="G372" s="273"/>
      <c r="H372" s="273"/>
      <c r="I372" s="2"/>
      <c r="J372" s="17"/>
      <c r="K372" s="10"/>
      <c r="L372" s="10"/>
      <c r="M372" s="10"/>
      <c r="N372" s="10"/>
      <c r="O372" s="10"/>
      <c r="P372" s="10"/>
      <c r="Q372" s="10"/>
      <c r="R372" s="2"/>
      <c r="S372" s="273"/>
      <c r="T372" s="273"/>
      <c r="U372" s="273"/>
      <c r="V372" s="9"/>
      <c r="W372" s="273"/>
      <c r="X372" s="273"/>
      <c r="Y372" s="9"/>
      <c r="Z372" s="273"/>
      <c r="AA372" s="273"/>
      <c r="AB372" s="9"/>
      <c r="AC372" s="273"/>
      <c r="AD372" s="273"/>
      <c r="AE372" s="9"/>
      <c r="AF372" s="273"/>
      <c r="AG372" s="273"/>
      <c r="AH372" s="9"/>
      <c r="AI372" s="273"/>
      <c r="AJ372" s="273"/>
      <c r="AK372" s="9"/>
      <c r="AL372" s="273"/>
      <c r="AM372" s="273"/>
      <c r="AN372" s="9"/>
      <c r="AO372" s="273"/>
      <c r="AP372" s="273"/>
      <c r="AQ372" s="9"/>
      <c r="AR372" s="273"/>
      <c r="AS372" s="39"/>
    </row>
    <row r="373" spans="1:45" ht="12.75">
      <c r="A373" s="160"/>
      <c r="B373" s="273"/>
      <c r="C373" s="273"/>
      <c r="D373" s="273"/>
      <c r="E373" s="273"/>
      <c r="F373" s="273"/>
      <c r="G373" s="273"/>
      <c r="H373" s="273"/>
      <c r="I373" s="2"/>
      <c r="J373" s="17"/>
      <c r="K373" s="10"/>
      <c r="L373" s="10"/>
      <c r="M373" s="10"/>
      <c r="N373" s="10"/>
      <c r="O373" s="10"/>
      <c r="P373" s="10"/>
      <c r="Q373" s="10"/>
      <c r="R373" s="2"/>
      <c r="S373" s="273"/>
      <c r="T373" s="273"/>
      <c r="U373" s="273"/>
      <c r="V373" s="9"/>
      <c r="W373" s="273"/>
      <c r="X373" s="273"/>
      <c r="Y373" s="9"/>
      <c r="Z373" s="273"/>
      <c r="AA373" s="273"/>
      <c r="AB373" s="9"/>
      <c r="AC373" s="273"/>
      <c r="AD373" s="273"/>
      <c r="AE373" s="9"/>
      <c r="AF373" s="273"/>
      <c r="AG373" s="273"/>
      <c r="AH373" s="9"/>
      <c r="AI373" s="273"/>
      <c r="AJ373" s="273"/>
      <c r="AK373" s="9"/>
      <c r="AL373" s="273"/>
      <c r="AM373" s="273"/>
      <c r="AN373" s="9"/>
      <c r="AO373" s="273"/>
      <c r="AP373" s="273"/>
      <c r="AQ373" s="9"/>
      <c r="AR373" s="273"/>
      <c r="AS373" s="39"/>
    </row>
    <row r="374" spans="1:45" ht="12.75">
      <c r="A374" s="160"/>
      <c r="B374" s="273"/>
      <c r="C374" s="273"/>
      <c r="D374" s="273"/>
      <c r="E374" s="273"/>
      <c r="F374" s="273"/>
      <c r="G374" s="273"/>
      <c r="H374" s="273"/>
      <c r="I374" s="2"/>
      <c r="J374" s="17"/>
      <c r="K374" s="10"/>
      <c r="L374" s="10"/>
      <c r="M374" s="10"/>
      <c r="N374" s="10"/>
      <c r="O374" s="10"/>
      <c r="P374" s="10"/>
      <c r="Q374" s="10"/>
      <c r="R374" s="2"/>
      <c r="S374" s="273"/>
      <c r="T374" s="273"/>
      <c r="U374" s="273"/>
      <c r="V374" s="9"/>
      <c r="W374" s="273"/>
      <c r="X374" s="273"/>
      <c r="Y374" s="9"/>
      <c r="Z374" s="273"/>
      <c r="AA374" s="273"/>
      <c r="AB374" s="9"/>
      <c r="AC374" s="273"/>
      <c r="AD374" s="273"/>
      <c r="AE374" s="9"/>
      <c r="AF374" s="273"/>
      <c r="AG374" s="273"/>
      <c r="AH374" s="9"/>
      <c r="AI374" s="273"/>
      <c r="AJ374" s="273"/>
      <c r="AK374" s="9"/>
      <c r="AL374" s="273"/>
      <c r="AM374" s="273"/>
      <c r="AN374" s="9"/>
      <c r="AO374" s="273"/>
      <c r="AP374" s="273"/>
      <c r="AQ374" s="9"/>
      <c r="AR374" s="273"/>
      <c r="AS374" s="39"/>
    </row>
    <row r="375" spans="1:45" ht="12.75">
      <c r="A375" s="160"/>
      <c r="B375" s="273"/>
      <c r="C375" s="273"/>
      <c r="D375" s="273"/>
      <c r="E375" s="273"/>
      <c r="F375" s="273"/>
      <c r="G375" s="273"/>
      <c r="H375" s="273"/>
      <c r="I375" s="2"/>
      <c r="J375" s="17"/>
      <c r="K375" s="10"/>
      <c r="L375" s="10"/>
      <c r="M375" s="10"/>
      <c r="N375" s="10"/>
      <c r="O375" s="10"/>
      <c r="P375" s="10"/>
      <c r="Q375" s="10"/>
      <c r="R375" s="2"/>
      <c r="S375" s="273"/>
      <c r="T375" s="273"/>
      <c r="U375" s="273"/>
      <c r="V375" s="9"/>
      <c r="W375" s="273"/>
      <c r="X375" s="273"/>
      <c r="Y375" s="9"/>
      <c r="Z375" s="273"/>
      <c r="AA375" s="273"/>
      <c r="AB375" s="9"/>
      <c r="AC375" s="273"/>
      <c r="AD375" s="273"/>
      <c r="AE375" s="9"/>
      <c r="AF375" s="273"/>
      <c r="AG375" s="273"/>
      <c r="AH375" s="9"/>
      <c r="AI375" s="273"/>
      <c r="AJ375" s="273"/>
      <c r="AK375" s="9"/>
      <c r="AL375" s="273"/>
      <c r="AM375" s="273"/>
      <c r="AN375" s="9"/>
      <c r="AO375" s="273"/>
      <c r="AP375" s="273"/>
      <c r="AQ375" s="9"/>
      <c r="AR375" s="273"/>
      <c r="AS375" s="39"/>
    </row>
    <row r="376" spans="1:45" ht="12.75">
      <c r="A376" s="160"/>
      <c r="B376" s="273"/>
      <c r="C376" s="273"/>
      <c r="D376" s="273"/>
      <c r="E376" s="273"/>
      <c r="F376" s="273"/>
      <c r="G376" s="273"/>
      <c r="H376" s="273"/>
      <c r="I376" s="2"/>
      <c r="J376" s="17"/>
      <c r="K376" s="10"/>
      <c r="L376" s="10"/>
      <c r="M376" s="10"/>
      <c r="N376" s="10"/>
      <c r="O376" s="10"/>
      <c r="P376" s="10"/>
      <c r="Q376" s="10"/>
      <c r="R376" s="2"/>
      <c r="S376" s="273"/>
      <c r="T376" s="273"/>
      <c r="U376" s="273"/>
      <c r="V376" s="9"/>
      <c r="W376" s="273"/>
      <c r="X376" s="273"/>
      <c r="Y376" s="9"/>
      <c r="Z376" s="273"/>
      <c r="AA376" s="273"/>
      <c r="AB376" s="9"/>
      <c r="AC376" s="273"/>
      <c r="AD376" s="273"/>
      <c r="AE376" s="9"/>
      <c r="AF376" s="273"/>
      <c r="AG376" s="273"/>
      <c r="AH376" s="9"/>
      <c r="AI376" s="273"/>
      <c r="AJ376" s="273"/>
      <c r="AK376" s="9"/>
      <c r="AL376" s="273"/>
      <c r="AM376" s="273"/>
      <c r="AN376" s="9"/>
      <c r="AO376" s="273"/>
      <c r="AP376" s="273"/>
      <c r="AQ376" s="9"/>
      <c r="AR376" s="273"/>
      <c r="AS376" s="39"/>
    </row>
    <row r="377" spans="1:45" ht="12.75">
      <c r="A377" s="160"/>
      <c r="B377" s="273"/>
      <c r="C377" s="273"/>
      <c r="D377" s="273"/>
      <c r="E377" s="273"/>
      <c r="F377" s="273"/>
      <c r="G377" s="273"/>
      <c r="H377" s="273"/>
      <c r="I377" s="2"/>
      <c r="J377" s="17"/>
      <c r="K377" s="10"/>
      <c r="L377" s="10"/>
      <c r="M377" s="10"/>
      <c r="N377" s="10"/>
      <c r="O377" s="10"/>
      <c r="P377" s="10"/>
      <c r="Q377" s="10"/>
      <c r="R377" s="2"/>
      <c r="S377" s="273"/>
      <c r="T377" s="273"/>
      <c r="U377" s="273"/>
      <c r="V377" s="9"/>
      <c r="W377" s="273"/>
      <c r="X377" s="273"/>
      <c r="Y377" s="9"/>
      <c r="Z377" s="273"/>
      <c r="AA377" s="273"/>
      <c r="AB377" s="9"/>
      <c r="AC377" s="273"/>
      <c r="AD377" s="273"/>
      <c r="AE377" s="9"/>
      <c r="AF377" s="273"/>
      <c r="AG377" s="273"/>
      <c r="AH377" s="9"/>
      <c r="AI377" s="273"/>
      <c r="AJ377" s="273"/>
      <c r="AK377" s="9"/>
      <c r="AL377" s="273"/>
      <c r="AM377" s="273"/>
      <c r="AN377" s="9"/>
      <c r="AO377" s="273"/>
      <c r="AP377" s="273"/>
      <c r="AQ377" s="9"/>
      <c r="AR377" s="273"/>
      <c r="AS377" s="39"/>
    </row>
    <row r="378" spans="1:45" ht="12.75">
      <c r="A378" s="160"/>
      <c r="B378" s="273"/>
      <c r="C378" s="273"/>
      <c r="D378" s="273"/>
      <c r="E378" s="273"/>
      <c r="F378" s="273"/>
      <c r="G378" s="273"/>
      <c r="H378" s="273"/>
      <c r="I378" s="2"/>
      <c r="J378" s="17"/>
      <c r="K378" s="10"/>
      <c r="L378" s="10"/>
      <c r="M378" s="10"/>
      <c r="N378" s="10"/>
      <c r="O378" s="10"/>
      <c r="P378" s="10"/>
      <c r="Q378" s="10"/>
      <c r="R378" s="2"/>
      <c r="S378" s="273"/>
      <c r="T378" s="273"/>
      <c r="U378" s="273"/>
      <c r="V378" s="9"/>
      <c r="W378" s="273"/>
      <c r="X378" s="273"/>
      <c r="Y378" s="9"/>
      <c r="Z378" s="273"/>
      <c r="AA378" s="273"/>
      <c r="AB378" s="9"/>
      <c r="AC378" s="273"/>
      <c r="AD378" s="273"/>
      <c r="AE378" s="9"/>
      <c r="AF378" s="273"/>
      <c r="AG378" s="273"/>
      <c r="AH378" s="9"/>
      <c r="AI378" s="273"/>
      <c r="AJ378" s="273"/>
      <c r="AK378" s="9"/>
      <c r="AL378" s="273"/>
      <c r="AM378" s="273"/>
      <c r="AN378" s="9"/>
      <c r="AO378" s="273"/>
      <c r="AP378" s="273"/>
      <c r="AQ378" s="9"/>
      <c r="AR378" s="273"/>
      <c r="AS378" s="39"/>
    </row>
    <row r="379" spans="1:45" ht="12.75">
      <c r="A379" s="160"/>
      <c r="B379" s="273"/>
      <c r="C379" s="273"/>
      <c r="D379" s="273"/>
      <c r="E379" s="273"/>
      <c r="F379" s="273"/>
      <c r="G379" s="273"/>
      <c r="H379" s="273"/>
      <c r="I379" s="2"/>
      <c r="J379" s="17"/>
      <c r="K379" s="10"/>
      <c r="L379" s="10"/>
      <c r="M379" s="10"/>
      <c r="N379" s="10"/>
      <c r="O379" s="10"/>
      <c r="P379" s="10"/>
      <c r="Q379" s="10"/>
      <c r="R379" s="2"/>
      <c r="S379" s="273"/>
      <c r="T379" s="273"/>
      <c r="U379" s="273"/>
      <c r="V379" s="9"/>
      <c r="W379" s="273"/>
      <c r="X379" s="273"/>
      <c r="Y379" s="9"/>
      <c r="Z379" s="273"/>
      <c r="AA379" s="273"/>
      <c r="AB379" s="9"/>
      <c r="AC379" s="273"/>
      <c r="AD379" s="273"/>
      <c r="AE379" s="9"/>
      <c r="AF379" s="273"/>
      <c r="AG379" s="273"/>
      <c r="AH379" s="9"/>
      <c r="AI379" s="273"/>
      <c r="AJ379" s="273"/>
      <c r="AK379" s="9"/>
      <c r="AL379" s="273"/>
      <c r="AM379" s="273"/>
      <c r="AN379" s="9"/>
      <c r="AO379" s="273"/>
      <c r="AP379" s="273"/>
      <c r="AQ379" s="9"/>
      <c r="AR379" s="273"/>
      <c r="AS379" s="39"/>
    </row>
    <row r="380" spans="1:45" ht="12.75">
      <c r="A380" s="160"/>
      <c r="B380" s="273"/>
      <c r="C380" s="273"/>
      <c r="D380" s="273"/>
      <c r="E380" s="273"/>
      <c r="F380" s="273"/>
      <c r="G380" s="273"/>
      <c r="H380" s="273"/>
      <c r="I380" s="2"/>
      <c r="J380" s="17"/>
      <c r="K380" s="10"/>
      <c r="L380" s="10"/>
      <c r="M380" s="10"/>
      <c r="N380" s="10"/>
      <c r="O380" s="10"/>
      <c r="P380" s="10"/>
      <c r="Q380" s="10"/>
      <c r="R380" s="2"/>
      <c r="S380" s="273"/>
      <c r="T380" s="273"/>
      <c r="U380" s="273"/>
      <c r="V380" s="9"/>
      <c r="W380" s="273"/>
      <c r="X380" s="273"/>
      <c r="Y380" s="9"/>
      <c r="Z380" s="273"/>
      <c r="AA380" s="273"/>
      <c r="AB380" s="9"/>
      <c r="AC380" s="273"/>
      <c r="AD380" s="273"/>
      <c r="AE380" s="9"/>
      <c r="AF380" s="273"/>
      <c r="AG380" s="273"/>
      <c r="AH380" s="9"/>
      <c r="AI380" s="273"/>
      <c r="AJ380" s="273"/>
      <c r="AK380" s="9"/>
      <c r="AL380" s="273"/>
      <c r="AM380" s="273"/>
      <c r="AN380" s="9"/>
      <c r="AO380" s="273"/>
      <c r="AP380" s="273"/>
      <c r="AQ380" s="9"/>
      <c r="AR380" s="273"/>
      <c r="AS380" s="39"/>
    </row>
    <row r="381" spans="1:45" ht="12.75">
      <c r="A381" s="160"/>
      <c r="B381" s="273"/>
      <c r="C381" s="273"/>
      <c r="D381" s="273"/>
      <c r="E381" s="273"/>
      <c r="F381" s="273"/>
      <c r="G381" s="273"/>
      <c r="H381" s="273"/>
      <c r="I381" s="2"/>
      <c r="J381" s="17"/>
      <c r="K381" s="10"/>
      <c r="L381" s="10"/>
      <c r="M381" s="10"/>
      <c r="N381" s="10"/>
      <c r="O381" s="10"/>
      <c r="P381" s="10"/>
      <c r="Q381" s="10"/>
      <c r="R381" s="2"/>
      <c r="S381" s="273"/>
      <c r="T381" s="273"/>
      <c r="U381" s="273"/>
      <c r="V381" s="9"/>
      <c r="W381" s="273"/>
      <c r="X381" s="273"/>
      <c r="Y381" s="9"/>
      <c r="Z381" s="273"/>
      <c r="AA381" s="273"/>
      <c r="AB381" s="9"/>
      <c r="AC381" s="273"/>
      <c r="AD381" s="273"/>
      <c r="AE381" s="9"/>
      <c r="AF381" s="273"/>
      <c r="AG381" s="273"/>
      <c r="AH381" s="9"/>
      <c r="AI381" s="273"/>
      <c r="AJ381" s="273"/>
      <c r="AK381" s="9"/>
      <c r="AL381" s="273"/>
      <c r="AM381" s="273"/>
      <c r="AN381" s="9"/>
      <c r="AO381" s="273"/>
      <c r="AP381" s="273"/>
      <c r="AQ381" s="9"/>
      <c r="AR381" s="273"/>
      <c r="AS381" s="39"/>
    </row>
    <row r="382" spans="1:45" ht="12.75">
      <c r="A382" s="160"/>
      <c r="B382" s="273"/>
      <c r="C382" s="273"/>
      <c r="D382" s="273"/>
      <c r="E382" s="273"/>
      <c r="F382" s="273"/>
      <c r="G382" s="273"/>
      <c r="H382" s="273"/>
      <c r="I382" s="2"/>
      <c r="J382" s="17"/>
      <c r="K382" s="10"/>
      <c r="L382" s="10"/>
      <c r="M382" s="10"/>
      <c r="N382" s="10"/>
      <c r="O382" s="10"/>
      <c r="P382" s="10"/>
      <c r="Q382" s="10"/>
      <c r="R382" s="2"/>
      <c r="S382" s="273"/>
      <c r="T382" s="273"/>
      <c r="U382" s="273"/>
      <c r="V382" s="9"/>
      <c r="W382" s="273"/>
      <c r="X382" s="273"/>
      <c r="Y382" s="9"/>
      <c r="Z382" s="273"/>
      <c r="AA382" s="273"/>
      <c r="AB382" s="9"/>
      <c r="AC382" s="273"/>
      <c r="AD382" s="273"/>
      <c r="AE382" s="9"/>
      <c r="AF382" s="273"/>
      <c r="AG382" s="273"/>
      <c r="AH382" s="9"/>
      <c r="AI382" s="273"/>
      <c r="AJ382" s="273"/>
      <c r="AK382" s="9"/>
      <c r="AL382" s="273"/>
      <c r="AM382" s="273"/>
      <c r="AN382" s="9"/>
      <c r="AO382" s="273"/>
      <c r="AP382" s="273"/>
      <c r="AQ382" s="9"/>
      <c r="AR382" s="273"/>
      <c r="AS382" s="39"/>
    </row>
    <row r="383" spans="1:45" ht="12.75">
      <c r="A383" s="160"/>
      <c r="B383" s="273"/>
      <c r="C383" s="273"/>
      <c r="D383" s="273"/>
      <c r="E383" s="273"/>
      <c r="F383" s="273"/>
      <c r="G383" s="273"/>
      <c r="H383" s="273"/>
      <c r="I383" s="2"/>
      <c r="J383" s="17"/>
      <c r="K383" s="10"/>
      <c r="L383" s="10"/>
      <c r="M383" s="10"/>
      <c r="N383" s="10"/>
      <c r="O383" s="10"/>
      <c r="P383" s="10"/>
      <c r="Q383" s="10"/>
      <c r="R383" s="2"/>
      <c r="S383" s="273"/>
      <c r="T383" s="273"/>
      <c r="U383" s="273"/>
      <c r="V383" s="9"/>
      <c r="W383" s="273"/>
      <c r="X383" s="273"/>
      <c r="Y383" s="9"/>
      <c r="Z383" s="273"/>
      <c r="AA383" s="273"/>
      <c r="AB383" s="9"/>
      <c r="AC383" s="273"/>
      <c r="AD383" s="273"/>
      <c r="AE383" s="9"/>
      <c r="AF383" s="273"/>
      <c r="AG383" s="273"/>
      <c r="AH383" s="9"/>
      <c r="AI383" s="273"/>
      <c r="AJ383" s="273"/>
      <c r="AK383" s="9"/>
      <c r="AL383" s="273"/>
      <c r="AM383" s="273"/>
      <c r="AN383" s="9"/>
      <c r="AO383" s="273"/>
      <c r="AP383" s="273"/>
      <c r="AQ383" s="9"/>
      <c r="AR383" s="273"/>
      <c r="AS383" s="39"/>
    </row>
    <row r="384" spans="1:45" ht="12.75">
      <c r="A384" s="160"/>
      <c r="B384" s="273"/>
      <c r="C384" s="273"/>
      <c r="D384" s="273"/>
      <c r="E384" s="273"/>
      <c r="F384" s="273"/>
      <c r="G384" s="273"/>
      <c r="H384" s="273"/>
      <c r="I384" s="2"/>
      <c r="J384" s="17"/>
      <c r="K384" s="10"/>
      <c r="L384" s="10"/>
      <c r="M384" s="10"/>
      <c r="N384" s="10"/>
      <c r="O384" s="10"/>
      <c r="P384" s="10"/>
      <c r="Q384" s="10"/>
      <c r="R384" s="2"/>
      <c r="S384" s="273"/>
      <c r="T384" s="273"/>
      <c r="U384" s="273"/>
      <c r="V384" s="9"/>
      <c r="W384" s="273"/>
      <c r="X384" s="273"/>
      <c r="Y384" s="9"/>
      <c r="Z384" s="273"/>
      <c r="AA384" s="273"/>
      <c r="AB384" s="9"/>
      <c r="AC384" s="273"/>
      <c r="AD384" s="273"/>
      <c r="AE384" s="9"/>
      <c r="AF384" s="273"/>
      <c r="AG384" s="273"/>
      <c r="AH384" s="9"/>
      <c r="AI384" s="273"/>
      <c r="AJ384" s="273"/>
      <c r="AK384" s="9"/>
      <c r="AL384" s="273"/>
      <c r="AM384" s="273"/>
      <c r="AN384" s="9"/>
      <c r="AO384" s="273"/>
      <c r="AP384" s="273"/>
      <c r="AQ384" s="9"/>
      <c r="AR384" s="273"/>
      <c r="AS384" s="39"/>
    </row>
    <row r="385" spans="1:45" ht="12.75">
      <c r="A385" s="160"/>
      <c r="B385" s="273"/>
      <c r="C385" s="273"/>
      <c r="D385" s="273"/>
      <c r="E385" s="273"/>
      <c r="F385" s="273"/>
      <c r="G385" s="273"/>
      <c r="H385" s="273"/>
      <c r="I385" s="2"/>
      <c r="J385" s="17"/>
      <c r="K385" s="10"/>
      <c r="L385" s="10"/>
      <c r="M385" s="10"/>
      <c r="N385" s="10"/>
      <c r="O385" s="10"/>
      <c r="P385" s="10"/>
      <c r="Q385" s="10"/>
      <c r="R385" s="2"/>
      <c r="S385" s="273"/>
      <c r="T385" s="273"/>
      <c r="U385" s="273"/>
      <c r="V385" s="9"/>
      <c r="W385" s="273"/>
      <c r="X385" s="273"/>
      <c r="Y385" s="9"/>
      <c r="Z385" s="273"/>
      <c r="AA385" s="273"/>
      <c r="AB385" s="9"/>
      <c r="AC385" s="273"/>
      <c r="AD385" s="273"/>
      <c r="AE385" s="9"/>
      <c r="AF385" s="273"/>
      <c r="AG385" s="273"/>
      <c r="AH385" s="9"/>
      <c r="AI385" s="273"/>
      <c r="AJ385" s="273"/>
      <c r="AK385" s="9"/>
      <c r="AL385" s="273"/>
      <c r="AM385" s="273"/>
      <c r="AN385" s="9"/>
      <c r="AO385" s="273"/>
      <c r="AP385" s="273"/>
      <c r="AQ385" s="9"/>
      <c r="AR385" s="273"/>
      <c r="AS385" s="39"/>
    </row>
    <row r="386" spans="1:45" ht="12.75">
      <c r="A386" s="160"/>
      <c r="B386" s="273"/>
      <c r="C386" s="273"/>
      <c r="D386" s="273"/>
      <c r="E386" s="273"/>
      <c r="F386" s="273"/>
      <c r="G386" s="273"/>
      <c r="H386" s="273"/>
      <c r="I386" s="2"/>
      <c r="J386" s="17"/>
      <c r="K386" s="10"/>
      <c r="L386" s="10"/>
      <c r="M386" s="10"/>
      <c r="N386" s="10"/>
      <c r="O386" s="10"/>
      <c r="P386" s="10"/>
      <c r="Q386" s="10"/>
      <c r="R386" s="2"/>
      <c r="S386" s="273"/>
      <c r="T386" s="273"/>
      <c r="U386" s="273"/>
      <c r="V386" s="9"/>
      <c r="W386" s="273"/>
      <c r="X386" s="273"/>
      <c r="Y386" s="9"/>
      <c r="Z386" s="273"/>
      <c r="AA386" s="273"/>
      <c r="AB386" s="9"/>
      <c r="AC386" s="273"/>
      <c r="AD386" s="273"/>
      <c r="AE386" s="9"/>
      <c r="AF386" s="273"/>
      <c r="AG386" s="273"/>
      <c r="AH386" s="9"/>
      <c r="AI386" s="273"/>
      <c r="AJ386" s="273"/>
      <c r="AK386" s="9"/>
      <c r="AL386" s="273"/>
      <c r="AM386" s="273"/>
      <c r="AN386" s="9"/>
      <c r="AO386" s="273"/>
      <c r="AP386" s="273"/>
      <c r="AQ386" s="9"/>
      <c r="AR386" s="273"/>
      <c r="AS386" s="39"/>
    </row>
    <row r="387" spans="1:45" ht="12.75">
      <c r="A387" s="160"/>
      <c r="B387" s="273"/>
      <c r="C387" s="273"/>
      <c r="D387" s="273"/>
      <c r="E387" s="273"/>
      <c r="F387" s="273"/>
      <c r="G387" s="273"/>
      <c r="H387" s="273"/>
      <c r="I387" s="2"/>
      <c r="J387" s="17"/>
      <c r="K387" s="10"/>
      <c r="L387" s="10"/>
      <c r="M387" s="10"/>
      <c r="N387" s="10"/>
      <c r="O387" s="10"/>
      <c r="P387" s="10"/>
      <c r="Q387" s="10"/>
      <c r="R387" s="2"/>
      <c r="S387" s="273"/>
      <c r="T387" s="273"/>
      <c r="U387" s="273"/>
      <c r="V387" s="9"/>
      <c r="W387" s="273"/>
      <c r="X387" s="273"/>
      <c r="Y387" s="9"/>
      <c r="Z387" s="273"/>
      <c r="AA387" s="273"/>
      <c r="AB387" s="9"/>
      <c r="AC387" s="273"/>
      <c r="AD387" s="273"/>
      <c r="AE387" s="9"/>
      <c r="AF387" s="273"/>
      <c r="AG387" s="273"/>
      <c r="AH387" s="9"/>
      <c r="AI387" s="273"/>
      <c r="AJ387" s="273"/>
      <c r="AK387" s="9"/>
      <c r="AL387" s="273"/>
      <c r="AM387" s="273"/>
      <c r="AN387" s="9"/>
      <c r="AO387" s="273"/>
      <c r="AP387" s="273"/>
      <c r="AQ387" s="9"/>
      <c r="AR387" s="273"/>
      <c r="AS387" s="39"/>
    </row>
    <row r="388" spans="1:45" ht="12.75">
      <c r="A388" s="160"/>
      <c r="B388" s="273"/>
      <c r="C388" s="273"/>
      <c r="D388" s="273"/>
      <c r="E388" s="273"/>
      <c r="F388" s="273"/>
      <c r="G388" s="273"/>
      <c r="H388" s="273"/>
      <c r="I388" s="2"/>
      <c r="J388" s="17"/>
      <c r="K388" s="10"/>
      <c r="L388" s="10"/>
      <c r="M388" s="10"/>
      <c r="N388" s="10"/>
      <c r="O388" s="10"/>
      <c r="P388" s="10"/>
      <c r="Q388" s="10"/>
      <c r="R388" s="2"/>
      <c r="S388" s="273"/>
      <c r="T388" s="273"/>
      <c r="U388" s="273"/>
      <c r="V388" s="9"/>
      <c r="W388" s="273"/>
      <c r="X388" s="273"/>
      <c r="Y388" s="9"/>
      <c r="Z388" s="273"/>
      <c r="AA388" s="273"/>
      <c r="AB388" s="9"/>
      <c r="AC388" s="273"/>
      <c r="AD388" s="273"/>
      <c r="AE388" s="9"/>
      <c r="AF388" s="273"/>
      <c r="AG388" s="273"/>
      <c r="AH388" s="9"/>
      <c r="AI388" s="273"/>
      <c r="AJ388" s="273"/>
      <c r="AK388" s="9"/>
      <c r="AL388" s="273"/>
      <c r="AM388" s="273"/>
      <c r="AN388" s="9"/>
      <c r="AO388" s="273"/>
      <c r="AP388" s="273"/>
      <c r="AQ388" s="9"/>
      <c r="AR388" s="273"/>
      <c r="AS388" s="39"/>
    </row>
    <row r="389" spans="1:45" ht="12.75">
      <c r="A389" s="160"/>
      <c r="B389" s="273"/>
      <c r="C389" s="273"/>
      <c r="D389" s="273"/>
      <c r="E389" s="273"/>
      <c r="F389" s="273"/>
      <c r="G389" s="273"/>
      <c r="H389" s="273"/>
      <c r="I389" s="2"/>
      <c r="J389" s="17"/>
      <c r="K389" s="10"/>
      <c r="L389" s="10"/>
      <c r="M389" s="10"/>
      <c r="N389" s="10"/>
      <c r="O389" s="10"/>
      <c r="P389" s="10"/>
      <c r="Q389" s="10"/>
      <c r="R389" s="2"/>
      <c r="S389" s="273"/>
      <c r="T389" s="273"/>
      <c r="U389" s="273"/>
      <c r="V389" s="9"/>
      <c r="W389" s="273"/>
      <c r="X389" s="273"/>
      <c r="Y389" s="9"/>
      <c r="Z389" s="273"/>
      <c r="AA389" s="273"/>
      <c r="AB389" s="9"/>
      <c r="AC389" s="273"/>
      <c r="AD389" s="273"/>
      <c r="AE389" s="9"/>
      <c r="AF389" s="273"/>
      <c r="AG389" s="273"/>
      <c r="AH389" s="9"/>
      <c r="AI389" s="273"/>
      <c r="AJ389" s="273"/>
      <c r="AK389" s="9"/>
      <c r="AL389" s="273"/>
      <c r="AM389" s="273"/>
      <c r="AN389" s="9"/>
      <c r="AO389" s="273"/>
      <c r="AP389" s="273"/>
      <c r="AQ389" s="9"/>
      <c r="AR389" s="273"/>
      <c r="AS389" s="39"/>
    </row>
    <row r="390" spans="1:45" ht="12.75">
      <c r="A390" s="160"/>
      <c r="B390" s="273"/>
      <c r="C390" s="273"/>
      <c r="D390" s="273"/>
      <c r="E390" s="273"/>
      <c r="F390" s="273"/>
      <c r="G390" s="273"/>
      <c r="H390" s="273"/>
      <c r="I390" s="2"/>
      <c r="J390" s="17"/>
      <c r="K390" s="10"/>
      <c r="L390" s="10"/>
      <c r="M390" s="10"/>
      <c r="N390" s="10"/>
      <c r="O390" s="10"/>
      <c r="P390" s="10"/>
      <c r="Q390" s="10"/>
      <c r="R390" s="2"/>
      <c r="S390" s="273"/>
      <c r="T390" s="273"/>
      <c r="U390" s="273"/>
      <c r="V390" s="9"/>
      <c r="W390" s="273"/>
      <c r="X390" s="273"/>
      <c r="Y390" s="9"/>
      <c r="Z390" s="273"/>
      <c r="AA390" s="273"/>
      <c r="AB390" s="9"/>
      <c r="AC390" s="273"/>
      <c r="AD390" s="273"/>
      <c r="AE390" s="9"/>
      <c r="AF390" s="273"/>
      <c r="AG390" s="273"/>
      <c r="AH390" s="9"/>
      <c r="AI390" s="273"/>
      <c r="AJ390" s="273"/>
      <c r="AK390" s="9"/>
      <c r="AL390" s="273"/>
      <c r="AM390" s="273"/>
      <c r="AN390" s="9"/>
      <c r="AO390" s="273"/>
      <c r="AP390" s="273"/>
      <c r="AQ390" s="9"/>
      <c r="AR390" s="273"/>
      <c r="AS390" s="39"/>
    </row>
    <row r="391" spans="1:45" ht="12.75">
      <c r="A391" s="160"/>
      <c r="B391" s="273"/>
      <c r="C391" s="273"/>
      <c r="D391" s="273"/>
      <c r="E391" s="273"/>
      <c r="F391" s="273"/>
      <c r="G391" s="273"/>
      <c r="H391" s="273"/>
      <c r="I391" s="2"/>
      <c r="J391" s="17"/>
      <c r="K391" s="10"/>
      <c r="L391" s="10"/>
      <c r="M391" s="10"/>
      <c r="N391" s="10"/>
      <c r="O391" s="10"/>
      <c r="P391" s="10"/>
      <c r="Q391" s="10"/>
      <c r="R391" s="2"/>
      <c r="S391" s="273"/>
      <c r="T391" s="273"/>
      <c r="U391" s="273"/>
      <c r="V391" s="9"/>
      <c r="W391" s="273"/>
      <c r="X391" s="273"/>
      <c r="Y391" s="9"/>
      <c r="Z391" s="273"/>
      <c r="AA391" s="273"/>
      <c r="AB391" s="9"/>
      <c r="AC391" s="273"/>
      <c r="AD391" s="273"/>
      <c r="AE391" s="9"/>
      <c r="AF391" s="273"/>
      <c r="AG391" s="273"/>
      <c r="AH391" s="9"/>
      <c r="AI391" s="273"/>
      <c r="AJ391" s="273"/>
      <c r="AK391" s="9"/>
      <c r="AL391" s="273"/>
      <c r="AM391" s="273"/>
      <c r="AN391" s="9"/>
      <c r="AO391" s="273"/>
      <c r="AP391" s="273"/>
      <c r="AQ391" s="9"/>
      <c r="AR391" s="273"/>
      <c r="AS391" s="39"/>
    </row>
    <row r="392" spans="1:45" ht="12.75">
      <c r="A392" s="160"/>
      <c r="B392" s="273"/>
      <c r="C392" s="273"/>
      <c r="D392" s="273"/>
      <c r="E392" s="273"/>
      <c r="F392" s="273"/>
      <c r="G392" s="273"/>
      <c r="H392" s="273"/>
      <c r="I392" s="2"/>
      <c r="J392" s="17"/>
      <c r="K392" s="10"/>
      <c r="L392" s="10"/>
      <c r="M392" s="10"/>
      <c r="N392" s="10"/>
      <c r="O392" s="10"/>
      <c r="P392" s="10"/>
      <c r="Q392" s="10"/>
      <c r="R392" s="2"/>
      <c r="S392" s="273"/>
      <c r="T392" s="273"/>
      <c r="U392" s="273"/>
      <c r="V392" s="9"/>
      <c r="W392" s="273"/>
      <c r="X392" s="273"/>
      <c r="Y392" s="9"/>
      <c r="Z392" s="273"/>
      <c r="AA392" s="273"/>
      <c r="AB392" s="9"/>
      <c r="AC392" s="273"/>
      <c r="AD392" s="273"/>
      <c r="AE392" s="9"/>
      <c r="AF392" s="273"/>
      <c r="AG392" s="273"/>
      <c r="AH392" s="9"/>
      <c r="AI392" s="273"/>
      <c r="AJ392" s="273"/>
      <c r="AK392" s="9"/>
      <c r="AL392" s="273"/>
      <c r="AM392" s="273"/>
      <c r="AN392" s="9"/>
      <c r="AO392" s="273"/>
      <c r="AP392" s="273"/>
      <c r="AQ392" s="9"/>
      <c r="AR392" s="273"/>
      <c r="AS392" s="39"/>
    </row>
    <row r="393" spans="1:45" ht="12.75">
      <c r="A393" s="160"/>
      <c r="B393" s="273"/>
      <c r="C393" s="273"/>
      <c r="D393" s="273"/>
      <c r="E393" s="273"/>
      <c r="F393" s="273"/>
      <c r="G393" s="273"/>
      <c r="H393" s="273"/>
      <c r="I393" s="2"/>
      <c r="J393" s="17"/>
      <c r="K393" s="10"/>
      <c r="L393" s="10"/>
      <c r="M393" s="10"/>
      <c r="N393" s="10"/>
      <c r="O393" s="10"/>
      <c r="P393" s="10"/>
      <c r="Q393" s="10"/>
      <c r="R393" s="2"/>
      <c r="S393" s="273"/>
      <c r="T393" s="273"/>
      <c r="U393" s="273"/>
      <c r="V393" s="9"/>
      <c r="W393" s="273"/>
      <c r="X393" s="273"/>
      <c r="Y393" s="9"/>
      <c r="Z393" s="273"/>
      <c r="AA393" s="273"/>
      <c r="AB393" s="9"/>
      <c r="AC393" s="273"/>
      <c r="AD393" s="273"/>
      <c r="AE393" s="9"/>
      <c r="AF393" s="273"/>
      <c r="AG393" s="273"/>
      <c r="AH393" s="9"/>
      <c r="AI393" s="273"/>
      <c r="AJ393" s="273"/>
      <c r="AK393" s="9"/>
      <c r="AL393" s="273"/>
      <c r="AM393" s="273"/>
      <c r="AN393" s="9"/>
      <c r="AO393" s="273"/>
      <c r="AP393" s="273"/>
      <c r="AQ393" s="9"/>
      <c r="AR393" s="273"/>
      <c r="AS393" s="39"/>
    </row>
    <row r="394" spans="1:45" ht="12.75">
      <c r="A394" s="160"/>
      <c r="B394" s="273"/>
      <c r="C394" s="273"/>
      <c r="D394" s="273"/>
      <c r="E394" s="273"/>
      <c r="F394" s="273"/>
      <c r="G394" s="273"/>
      <c r="H394" s="273"/>
      <c r="I394" s="2"/>
      <c r="J394" s="17"/>
      <c r="K394" s="10"/>
      <c r="L394" s="10"/>
      <c r="M394" s="10"/>
      <c r="N394" s="10"/>
      <c r="O394" s="10"/>
      <c r="P394" s="10"/>
      <c r="Q394" s="10"/>
      <c r="R394" s="2"/>
      <c r="S394" s="273"/>
      <c r="T394" s="273"/>
      <c r="U394" s="273"/>
      <c r="V394" s="9"/>
      <c r="W394" s="273"/>
      <c r="X394" s="273"/>
      <c r="Y394" s="9"/>
      <c r="Z394" s="273"/>
      <c r="AA394" s="273"/>
      <c r="AB394" s="9"/>
      <c r="AC394" s="273"/>
      <c r="AD394" s="273"/>
      <c r="AE394" s="9"/>
      <c r="AF394" s="273"/>
      <c r="AG394" s="273"/>
      <c r="AH394" s="9"/>
      <c r="AI394" s="273"/>
      <c r="AJ394" s="273"/>
      <c r="AK394" s="9"/>
      <c r="AL394" s="273"/>
      <c r="AM394" s="273"/>
      <c r="AN394" s="9"/>
      <c r="AO394" s="273"/>
      <c r="AP394" s="273"/>
      <c r="AQ394" s="9"/>
      <c r="AR394" s="273"/>
      <c r="AS394" s="39"/>
    </row>
    <row r="395" spans="1:45" ht="12.75">
      <c r="A395" s="160"/>
      <c r="B395" s="273"/>
      <c r="C395" s="273"/>
      <c r="D395" s="273"/>
      <c r="E395" s="273"/>
      <c r="F395" s="273"/>
      <c r="G395" s="273"/>
      <c r="H395" s="273"/>
      <c r="I395" s="2"/>
      <c r="J395" s="17"/>
      <c r="K395" s="10"/>
      <c r="L395" s="10"/>
      <c r="M395" s="10"/>
      <c r="N395" s="10"/>
      <c r="O395" s="10"/>
      <c r="P395" s="10"/>
      <c r="Q395" s="10"/>
      <c r="R395" s="2"/>
      <c r="S395" s="273"/>
      <c r="T395" s="273"/>
      <c r="U395" s="273"/>
      <c r="V395" s="9"/>
      <c r="W395" s="273"/>
      <c r="X395" s="273"/>
      <c r="Y395" s="9"/>
      <c r="Z395" s="273"/>
      <c r="AA395" s="273"/>
      <c r="AB395" s="9"/>
      <c r="AC395" s="273"/>
      <c r="AD395" s="273"/>
      <c r="AE395" s="9"/>
      <c r="AF395" s="273"/>
      <c r="AG395" s="273"/>
      <c r="AH395" s="9"/>
      <c r="AI395" s="273"/>
      <c r="AJ395" s="273"/>
      <c r="AK395" s="9"/>
      <c r="AL395" s="273"/>
      <c r="AM395" s="273"/>
      <c r="AN395" s="9"/>
      <c r="AO395" s="273"/>
      <c r="AP395" s="273"/>
      <c r="AQ395" s="9"/>
      <c r="AR395" s="273"/>
      <c r="AS395" s="39"/>
    </row>
    <row r="396" spans="1:45" ht="12.75">
      <c r="A396" s="160"/>
      <c r="B396" s="273"/>
      <c r="C396" s="273"/>
      <c r="D396" s="273"/>
      <c r="E396" s="273"/>
      <c r="F396" s="273"/>
      <c r="G396" s="273"/>
      <c r="H396" s="273"/>
      <c r="I396" s="2"/>
      <c r="J396" s="17"/>
      <c r="K396" s="10"/>
      <c r="L396" s="10"/>
      <c r="M396" s="10"/>
      <c r="N396" s="10"/>
      <c r="O396" s="10"/>
      <c r="P396" s="10"/>
      <c r="Q396" s="10"/>
      <c r="R396" s="2"/>
      <c r="S396" s="273"/>
      <c r="T396" s="273"/>
      <c r="U396" s="273"/>
      <c r="V396" s="9"/>
      <c r="W396" s="273"/>
      <c r="X396" s="273"/>
      <c r="Y396" s="9"/>
      <c r="Z396" s="273"/>
      <c r="AA396" s="273"/>
      <c r="AB396" s="9"/>
      <c r="AC396" s="273"/>
      <c r="AD396" s="273"/>
      <c r="AE396" s="9"/>
      <c r="AF396" s="273"/>
      <c r="AG396" s="273"/>
      <c r="AH396" s="9"/>
      <c r="AI396" s="273"/>
      <c r="AJ396" s="273"/>
      <c r="AK396" s="9"/>
      <c r="AL396" s="273"/>
      <c r="AM396" s="273"/>
      <c r="AN396" s="9"/>
      <c r="AO396" s="273"/>
      <c r="AP396" s="273"/>
      <c r="AQ396" s="9"/>
      <c r="AR396" s="273"/>
      <c r="AS396" s="39"/>
    </row>
    <row r="397" spans="1:45" ht="12.75">
      <c r="A397" s="160"/>
      <c r="B397" s="273"/>
      <c r="C397" s="273"/>
      <c r="D397" s="273"/>
      <c r="E397" s="273"/>
      <c r="F397" s="273"/>
      <c r="G397" s="273"/>
      <c r="H397" s="273"/>
      <c r="I397" s="2"/>
      <c r="J397" s="17"/>
      <c r="K397" s="10"/>
      <c r="L397" s="10"/>
      <c r="M397" s="10"/>
      <c r="N397" s="10"/>
      <c r="O397" s="10"/>
      <c r="P397" s="10"/>
      <c r="Q397" s="10"/>
      <c r="R397" s="2"/>
      <c r="S397" s="273"/>
      <c r="T397" s="273"/>
      <c r="U397" s="273"/>
      <c r="V397" s="9"/>
      <c r="W397" s="273"/>
      <c r="X397" s="273"/>
      <c r="Y397" s="9"/>
      <c r="Z397" s="273"/>
      <c r="AA397" s="273"/>
      <c r="AB397" s="9"/>
      <c r="AC397" s="273"/>
      <c r="AD397" s="273"/>
      <c r="AE397" s="9"/>
      <c r="AF397" s="273"/>
      <c r="AG397" s="273"/>
      <c r="AH397" s="9"/>
      <c r="AI397" s="273"/>
      <c r="AJ397" s="273"/>
      <c r="AK397" s="9"/>
      <c r="AL397" s="273"/>
      <c r="AM397" s="273"/>
      <c r="AN397" s="9"/>
      <c r="AO397" s="273"/>
      <c r="AP397" s="273"/>
      <c r="AQ397" s="9"/>
      <c r="AR397" s="273"/>
      <c r="AS397" s="39"/>
    </row>
    <row r="398" spans="1:45" ht="12.75">
      <c r="A398" s="160"/>
      <c r="B398" s="273"/>
      <c r="C398" s="273"/>
      <c r="D398" s="273"/>
      <c r="E398" s="273"/>
      <c r="F398" s="273"/>
      <c r="G398" s="273"/>
      <c r="H398" s="273"/>
      <c r="I398" s="2"/>
      <c r="J398" s="17"/>
      <c r="K398" s="10"/>
      <c r="L398" s="10"/>
      <c r="M398" s="10"/>
      <c r="N398" s="10"/>
      <c r="O398" s="10"/>
      <c r="P398" s="10"/>
      <c r="Q398" s="10"/>
      <c r="R398" s="2"/>
      <c r="S398" s="273"/>
      <c r="T398" s="273"/>
      <c r="U398" s="273"/>
      <c r="V398" s="9"/>
      <c r="W398" s="273"/>
      <c r="X398" s="273"/>
      <c r="Y398" s="9"/>
      <c r="Z398" s="273"/>
      <c r="AA398" s="273"/>
      <c r="AB398" s="9"/>
      <c r="AC398" s="273"/>
      <c r="AD398" s="273"/>
      <c r="AE398" s="9"/>
      <c r="AF398" s="273"/>
      <c r="AG398" s="273"/>
      <c r="AH398" s="9"/>
      <c r="AI398" s="273"/>
      <c r="AJ398" s="273"/>
      <c r="AK398" s="9"/>
      <c r="AL398" s="273"/>
      <c r="AM398" s="273"/>
      <c r="AN398" s="9"/>
      <c r="AO398" s="273"/>
      <c r="AP398" s="273"/>
      <c r="AQ398" s="9"/>
      <c r="AR398" s="273"/>
      <c r="AS398" s="39"/>
    </row>
    <row r="399" spans="1:45" ht="12.75">
      <c r="A399" s="160"/>
      <c r="B399" s="273"/>
      <c r="C399" s="273"/>
      <c r="D399" s="273"/>
      <c r="E399" s="273"/>
      <c r="F399" s="273"/>
      <c r="G399" s="273"/>
      <c r="H399" s="273"/>
      <c r="I399" s="2"/>
      <c r="J399" s="17"/>
      <c r="K399" s="10"/>
      <c r="L399" s="10"/>
      <c r="M399" s="10"/>
      <c r="N399" s="10"/>
      <c r="O399" s="10"/>
      <c r="P399" s="10"/>
      <c r="Q399" s="10"/>
      <c r="R399" s="2"/>
      <c r="S399" s="273"/>
      <c r="T399" s="273"/>
      <c r="U399" s="273"/>
      <c r="V399" s="9"/>
      <c r="W399" s="273"/>
      <c r="X399" s="273"/>
      <c r="Y399" s="9"/>
      <c r="Z399" s="273"/>
      <c r="AA399" s="273"/>
      <c r="AB399" s="9"/>
      <c r="AC399" s="273"/>
      <c r="AD399" s="273"/>
      <c r="AE399" s="9"/>
      <c r="AF399" s="273"/>
      <c r="AG399" s="273"/>
      <c r="AH399" s="9"/>
      <c r="AI399" s="273"/>
      <c r="AJ399" s="273"/>
      <c r="AK399" s="9"/>
      <c r="AL399" s="273"/>
      <c r="AM399" s="273"/>
      <c r="AN399" s="9"/>
      <c r="AO399" s="273"/>
      <c r="AP399" s="273"/>
      <c r="AQ399" s="9"/>
      <c r="AR399" s="273"/>
      <c r="AS399" s="39"/>
    </row>
    <row r="400" spans="1:45" ht="12.75">
      <c r="A400" s="160"/>
      <c r="B400" s="273"/>
      <c r="C400" s="273"/>
      <c r="D400" s="273"/>
      <c r="E400" s="273"/>
      <c r="F400" s="273"/>
      <c r="G400" s="273"/>
      <c r="H400" s="273"/>
      <c r="I400" s="2"/>
      <c r="J400" s="17"/>
      <c r="K400" s="10"/>
      <c r="L400" s="10"/>
      <c r="M400" s="10"/>
      <c r="N400" s="10"/>
      <c r="O400" s="10"/>
      <c r="P400" s="10"/>
      <c r="Q400" s="10"/>
      <c r="R400" s="2"/>
      <c r="S400" s="273"/>
      <c r="T400" s="273"/>
      <c r="U400" s="273"/>
      <c r="V400" s="9"/>
      <c r="W400" s="273"/>
      <c r="X400" s="273"/>
      <c r="Y400" s="9"/>
      <c r="Z400" s="273"/>
      <c r="AA400" s="273"/>
      <c r="AB400" s="9"/>
      <c r="AC400" s="273"/>
      <c r="AD400" s="273"/>
      <c r="AE400" s="9"/>
      <c r="AF400" s="273"/>
      <c r="AG400" s="273"/>
      <c r="AH400" s="9"/>
      <c r="AI400" s="273"/>
      <c r="AJ400" s="273"/>
      <c r="AK400" s="9"/>
      <c r="AL400" s="273"/>
      <c r="AM400" s="273"/>
      <c r="AN400" s="9"/>
      <c r="AO400" s="273"/>
      <c r="AP400" s="273"/>
      <c r="AQ400" s="9"/>
      <c r="AR400" s="273"/>
      <c r="AS400" s="39"/>
    </row>
    <row r="401" spans="1:45" ht="12.75">
      <c r="A401" s="160"/>
      <c r="B401" s="273"/>
      <c r="C401" s="273"/>
      <c r="D401" s="273"/>
      <c r="E401" s="273"/>
      <c r="F401" s="273"/>
      <c r="G401" s="273"/>
      <c r="H401" s="273"/>
      <c r="I401" s="2"/>
      <c r="J401" s="17"/>
      <c r="K401" s="10"/>
      <c r="L401" s="10"/>
      <c r="M401" s="10"/>
      <c r="N401" s="10"/>
      <c r="O401" s="10"/>
      <c r="P401" s="10"/>
      <c r="Q401" s="10"/>
      <c r="R401" s="2"/>
      <c r="S401" s="273"/>
      <c r="T401" s="273"/>
      <c r="U401" s="273"/>
      <c r="V401" s="9"/>
      <c r="W401" s="273"/>
      <c r="X401" s="273"/>
      <c r="Y401" s="9"/>
      <c r="Z401" s="273"/>
      <c r="AA401" s="273"/>
      <c r="AB401" s="9"/>
      <c r="AC401" s="273"/>
      <c r="AD401" s="273"/>
      <c r="AE401" s="9"/>
      <c r="AF401" s="273"/>
      <c r="AG401" s="273"/>
      <c r="AH401" s="9"/>
      <c r="AI401" s="273"/>
      <c r="AJ401" s="273"/>
      <c r="AK401" s="9"/>
      <c r="AL401" s="273"/>
      <c r="AM401" s="273"/>
      <c r="AN401" s="9"/>
      <c r="AO401" s="273"/>
      <c r="AP401" s="273"/>
      <c r="AQ401" s="9"/>
      <c r="AR401" s="273"/>
      <c r="AS401" s="39"/>
    </row>
    <row r="402" spans="1:45" ht="12.75">
      <c r="A402" s="160"/>
      <c r="B402" s="273"/>
      <c r="C402" s="273"/>
      <c r="D402" s="273"/>
      <c r="E402" s="273"/>
      <c r="F402" s="273"/>
      <c r="G402" s="273"/>
      <c r="H402" s="273"/>
      <c r="I402" s="2"/>
      <c r="J402" s="17"/>
      <c r="K402" s="10"/>
      <c r="L402" s="10"/>
      <c r="M402" s="10"/>
      <c r="N402" s="10"/>
      <c r="O402" s="10"/>
      <c r="P402" s="10"/>
      <c r="Q402" s="10"/>
      <c r="R402" s="2"/>
      <c r="S402" s="273"/>
      <c r="T402" s="273"/>
      <c r="U402" s="273"/>
      <c r="V402" s="9"/>
      <c r="W402" s="273"/>
      <c r="X402" s="273"/>
      <c r="Y402" s="9"/>
      <c r="Z402" s="273"/>
      <c r="AA402" s="273"/>
      <c r="AB402" s="9"/>
      <c r="AC402" s="273"/>
      <c r="AD402" s="273"/>
      <c r="AE402" s="9"/>
      <c r="AF402" s="273"/>
      <c r="AG402" s="273"/>
      <c r="AH402" s="9"/>
      <c r="AI402" s="273"/>
      <c r="AJ402" s="273"/>
      <c r="AK402" s="9"/>
      <c r="AL402" s="273"/>
      <c r="AM402" s="273"/>
      <c r="AN402" s="9"/>
      <c r="AO402" s="273"/>
      <c r="AP402" s="273"/>
      <c r="AQ402" s="9"/>
      <c r="AR402" s="273"/>
      <c r="AS402" s="39"/>
    </row>
    <row r="403" spans="1:45" ht="12.75">
      <c r="A403" s="160"/>
      <c r="B403" s="273"/>
      <c r="C403" s="273"/>
      <c r="D403" s="273"/>
      <c r="E403" s="273"/>
      <c r="F403" s="273"/>
      <c r="G403" s="273"/>
      <c r="H403" s="273"/>
      <c r="I403" s="2"/>
      <c r="J403" s="17"/>
      <c r="K403" s="10"/>
      <c r="L403" s="10"/>
      <c r="M403" s="10"/>
      <c r="N403" s="10"/>
      <c r="O403" s="10"/>
      <c r="P403" s="10"/>
      <c r="Q403" s="10"/>
      <c r="R403" s="2"/>
      <c r="S403" s="273"/>
      <c r="T403" s="273"/>
      <c r="U403" s="273"/>
      <c r="V403" s="9"/>
      <c r="W403" s="273"/>
      <c r="X403" s="273"/>
      <c r="Y403" s="9"/>
      <c r="Z403" s="273"/>
      <c r="AA403" s="273"/>
      <c r="AB403" s="9"/>
      <c r="AC403" s="273"/>
      <c r="AD403" s="273"/>
      <c r="AE403" s="9"/>
      <c r="AF403" s="273"/>
      <c r="AG403" s="273"/>
      <c r="AH403" s="9"/>
      <c r="AI403" s="273"/>
      <c r="AJ403" s="273"/>
      <c r="AK403" s="9"/>
      <c r="AL403" s="273"/>
      <c r="AM403" s="273"/>
      <c r="AN403" s="9"/>
      <c r="AO403" s="273"/>
      <c r="AP403" s="273"/>
      <c r="AQ403" s="9"/>
      <c r="AR403" s="273"/>
      <c r="AS403" s="39"/>
    </row>
    <row r="404" spans="1:45" ht="12.75">
      <c r="A404" s="160"/>
      <c r="B404" s="273"/>
      <c r="C404" s="273"/>
      <c r="D404" s="273"/>
      <c r="E404" s="273"/>
      <c r="F404" s="273"/>
      <c r="G404" s="273"/>
      <c r="H404" s="273"/>
      <c r="I404" s="2"/>
      <c r="J404" s="17"/>
      <c r="K404" s="10"/>
      <c r="L404" s="10"/>
      <c r="M404" s="10"/>
      <c r="N404" s="10"/>
      <c r="O404" s="10"/>
      <c r="P404" s="10"/>
      <c r="Q404" s="10"/>
      <c r="R404" s="2"/>
      <c r="S404" s="273"/>
      <c r="T404" s="273"/>
      <c r="U404" s="273"/>
      <c r="V404" s="9"/>
      <c r="W404" s="273"/>
      <c r="X404" s="273"/>
      <c r="Y404" s="9"/>
      <c r="Z404" s="273"/>
      <c r="AA404" s="273"/>
      <c r="AB404" s="9"/>
      <c r="AC404" s="273"/>
      <c r="AD404" s="273"/>
      <c r="AE404" s="9"/>
      <c r="AF404" s="273"/>
      <c r="AG404" s="273"/>
      <c r="AH404" s="9"/>
      <c r="AI404" s="273"/>
      <c r="AJ404" s="273"/>
      <c r="AK404" s="9"/>
      <c r="AL404" s="273"/>
      <c r="AM404" s="273"/>
      <c r="AN404" s="9"/>
      <c r="AO404" s="273"/>
      <c r="AP404" s="273"/>
      <c r="AQ404" s="9"/>
      <c r="AR404" s="273"/>
      <c r="AS404" s="39"/>
    </row>
    <row r="405" spans="1:45" ht="12.75">
      <c r="A405" s="160"/>
      <c r="B405" s="273"/>
      <c r="C405" s="273"/>
      <c r="D405" s="273"/>
      <c r="E405" s="273"/>
      <c r="F405" s="273"/>
      <c r="G405" s="273"/>
      <c r="H405" s="273"/>
      <c r="I405" s="2"/>
      <c r="J405" s="17"/>
      <c r="K405" s="10"/>
      <c r="L405" s="10"/>
      <c r="M405" s="10"/>
      <c r="N405" s="10"/>
      <c r="O405" s="10"/>
      <c r="P405" s="10"/>
      <c r="Q405" s="10"/>
      <c r="R405" s="2"/>
      <c r="S405" s="273"/>
      <c r="T405" s="273"/>
      <c r="U405" s="273"/>
      <c r="V405" s="9"/>
      <c r="W405" s="273"/>
      <c r="X405" s="273"/>
      <c r="Y405" s="9"/>
      <c r="Z405" s="273"/>
      <c r="AA405" s="273"/>
      <c r="AB405" s="9"/>
      <c r="AC405" s="273"/>
      <c r="AD405" s="273"/>
      <c r="AE405" s="9"/>
      <c r="AF405" s="273"/>
      <c r="AG405" s="273"/>
      <c r="AH405" s="9"/>
      <c r="AI405" s="273"/>
      <c r="AJ405" s="273"/>
      <c r="AK405" s="9"/>
      <c r="AL405" s="273"/>
      <c r="AM405" s="273"/>
      <c r="AN405" s="9"/>
      <c r="AO405" s="273"/>
      <c r="AP405" s="273"/>
      <c r="AQ405" s="9"/>
      <c r="AR405" s="273"/>
      <c r="AS405" s="39"/>
    </row>
    <row r="406" spans="1:45" ht="12.75">
      <c r="A406" s="160"/>
      <c r="B406" s="273"/>
      <c r="C406" s="273"/>
      <c r="D406" s="273"/>
      <c r="E406" s="273"/>
      <c r="F406" s="273"/>
      <c r="G406" s="273"/>
      <c r="H406" s="273"/>
      <c r="I406" s="2"/>
      <c r="J406" s="17"/>
      <c r="K406" s="10"/>
      <c r="L406" s="10"/>
      <c r="M406" s="10"/>
      <c r="N406" s="10"/>
      <c r="O406" s="10"/>
      <c r="P406" s="10"/>
      <c r="Q406" s="10"/>
      <c r="R406" s="2"/>
      <c r="S406" s="273"/>
      <c r="T406" s="273"/>
      <c r="U406" s="273"/>
      <c r="V406" s="9"/>
      <c r="W406" s="273"/>
      <c r="X406" s="273"/>
      <c r="Y406" s="9"/>
      <c r="Z406" s="273"/>
      <c r="AA406" s="273"/>
      <c r="AB406" s="9"/>
      <c r="AC406" s="273"/>
      <c r="AD406" s="273"/>
      <c r="AE406" s="9"/>
      <c r="AF406" s="273"/>
      <c r="AG406" s="273"/>
      <c r="AH406" s="9"/>
      <c r="AI406" s="273"/>
      <c r="AJ406" s="273"/>
      <c r="AK406" s="9"/>
      <c r="AL406" s="273"/>
      <c r="AM406" s="273"/>
      <c r="AN406" s="9"/>
      <c r="AO406" s="273"/>
      <c r="AP406" s="273"/>
      <c r="AQ406" s="9"/>
      <c r="AR406" s="273"/>
      <c r="AS406" s="39"/>
    </row>
    <row r="407" spans="1:45" ht="12.75">
      <c r="A407" s="160"/>
      <c r="B407" s="273"/>
      <c r="C407" s="273"/>
      <c r="D407" s="273"/>
      <c r="E407" s="273"/>
      <c r="F407" s="273"/>
      <c r="G407" s="273"/>
      <c r="H407" s="273"/>
      <c r="I407" s="2"/>
      <c r="J407" s="17"/>
      <c r="K407" s="10"/>
      <c r="L407" s="10"/>
      <c r="M407" s="10"/>
      <c r="N407" s="10"/>
      <c r="O407" s="10"/>
      <c r="P407" s="10"/>
      <c r="Q407" s="10"/>
      <c r="R407" s="2"/>
      <c r="S407" s="273"/>
      <c r="T407" s="273"/>
      <c r="U407" s="273"/>
      <c r="V407" s="9"/>
      <c r="W407" s="273"/>
      <c r="X407" s="273"/>
      <c r="Y407" s="9"/>
      <c r="Z407" s="273"/>
      <c r="AA407" s="273"/>
      <c r="AB407" s="9"/>
      <c r="AC407" s="273"/>
      <c r="AD407" s="273"/>
      <c r="AE407" s="9"/>
      <c r="AF407" s="273"/>
      <c r="AG407" s="273"/>
      <c r="AH407" s="9"/>
      <c r="AI407" s="273"/>
      <c r="AJ407" s="273"/>
      <c r="AK407" s="9"/>
      <c r="AL407" s="273"/>
      <c r="AM407" s="273"/>
      <c r="AN407" s="9"/>
      <c r="AO407" s="273"/>
      <c r="AP407" s="273"/>
      <c r="AQ407" s="9"/>
      <c r="AR407" s="273"/>
      <c r="AS407" s="39"/>
    </row>
    <row r="408" spans="1:45" ht="12.75">
      <c r="A408" s="160"/>
      <c r="B408" s="273"/>
      <c r="C408" s="273"/>
      <c r="D408" s="273"/>
      <c r="E408" s="273"/>
      <c r="F408" s="273"/>
      <c r="G408" s="273"/>
      <c r="H408" s="273"/>
      <c r="I408" s="2"/>
      <c r="J408" s="17"/>
      <c r="K408" s="10"/>
      <c r="L408" s="10"/>
      <c r="M408" s="10"/>
      <c r="N408" s="10"/>
      <c r="O408" s="10"/>
      <c r="P408" s="10"/>
      <c r="Q408" s="10"/>
      <c r="R408" s="2"/>
      <c r="S408" s="273"/>
      <c r="T408" s="273"/>
      <c r="U408" s="273"/>
      <c r="V408" s="9"/>
      <c r="W408" s="273"/>
      <c r="X408" s="273"/>
      <c r="Y408" s="9"/>
      <c r="Z408" s="273"/>
      <c r="AA408" s="273"/>
      <c r="AB408" s="9"/>
      <c r="AC408" s="273"/>
      <c r="AD408" s="273"/>
      <c r="AE408" s="9"/>
      <c r="AF408" s="273"/>
      <c r="AG408" s="273"/>
      <c r="AH408" s="9"/>
      <c r="AI408" s="273"/>
      <c r="AJ408" s="273"/>
      <c r="AK408" s="9"/>
      <c r="AL408" s="273"/>
      <c r="AM408" s="273"/>
      <c r="AN408" s="9"/>
      <c r="AO408" s="273"/>
      <c r="AP408" s="273"/>
      <c r="AQ408" s="9"/>
      <c r="AR408" s="273"/>
      <c r="AS408" s="39"/>
    </row>
    <row r="409" spans="1:45" ht="12.75">
      <c r="A409" s="160"/>
      <c r="B409" s="273"/>
      <c r="C409" s="273"/>
      <c r="D409" s="273"/>
      <c r="E409" s="273"/>
      <c r="F409" s="273"/>
      <c r="G409" s="273"/>
      <c r="H409" s="273"/>
      <c r="I409" s="2"/>
      <c r="J409" s="17"/>
      <c r="K409" s="10"/>
      <c r="L409" s="10"/>
      <c r="M409" s="10"/>
      <c r="N409" s="10"/>
      <c r="O409" s="10"/>
      <c r="P409" s="10"/>
      <c r="Q409" s="10"/>
      <c r="R409" s="2"/>
      <c r="S409" s="273"/>
      <c r="T409" s="273"/>
      <c r="U409" s="273"/>
      <c r="V409" s="9"/>
      <c r="W409" s="273"/>
      <c r="X409" s="273"/>
      <c r="Y409" s="9"/>
      <c r="Z409" s="273"/>
      <c r="AA409" s="273"/>
      <c r="AB409" s="9"/>
      <c r="AC409" s="273"/>
      <c r="AD409" s="273"/>
      <c r="AE409" s="9"/>
      <c r="AF409" s="273"/>
      <c r="AG409" s="273"/>
      <c r="AH409" s="9"/>
      <c r="AI409" s="273"/>
      <c r="AJ409" s="273"/>
      <c r="AK409" s="9"/>
      <c r="AL409" s="273"/>
      <c r="AM409" s="273"/>
      <c r="AN409" s="9"/>
      <c r="AO409" s="273"/>
      <c r="AP409" s="273"/>
      <c r="AQ409" s="9"/>
      <c r="AR409" s="273"/>
      <c r="AS409" s="39"/>
    </row>
    <row r="410" spans="1:45" ht="12.75">
      <c r="A410" s="160"/>
      <c r="B410" s="273"/>
      <c r="C410" s="273"/>
      <c r="D410" s="273"/>
      <c r="E410" s="273"/>
      <c r="F410" s="273"/>
      <c r="G410" s="273"/>
      <c r="H410" s="273"/>
      <c r="I410" s="2"/>
      <c r="J410" s="17"/>
      <c r="K410" s="10"/>
      <c r="L410" s="10"/>
      <c r="M410" s="10"/>
      <c r="N410" s="10"/>
      <c r="O410" s="10"/>
      <c r="P410" s="10"/>
      <c r="Q410" s="10"/>
      <c r="R410" s="2"/>
      <c r="S410" s="273"/>
      <c r="T410" s="273"/>
      <c r="U410" s="273"/>
      <c r="V410" s="9"/>
      <c r="W410" s="273"/>
      <c r="X410" s="273"/>
      <c r="Y410" s="9"/>
      <c r="Z410" s="273"/>
      <c r="AA410" s="273"/>
      <c r="AB410" s="9"/>
      <c r="AC410" s="273"/>
      <c r="AD410" s="273"/>
      <c r="AE410" s="9"/>
      <c r="AF410" s="273"/>
      <c r="AG410" s="273"/>
      <c r="AH410" s="9"/>
      <c r="AI410" s="273"/>
      <c r="AJ410" s="273"/>
      <c r="AK410" s="9"/>
      <c r="AL410" s="273"/>
      <c r="AM410" s="273"/>
      <c r="AN410" s="9"/>
      <c r="AO410" s="273"/>
      <c r="AP410" s="273"/>
      <c r="AQ410" s="9"/>
      <c r="AR410" s="273"/>
      <c r="AS410" s="39"/>
    </row>
    <row r="411" spans="1:45" ht="12.75">
      <c r="A411" s="160"/>
      <c r="B411" s="273"/>
      <c r="C411" s="273"/>
      <c r="D411" s="273"/>
      <c r="E411" s="273"/>
      <c r="F411" s="273"/>
      <c r="G411" s="273"/>
      <c r="H411" s="273"/>
      <c r="I411" s="2"/>
      <c r="J411" s="17"/>
      <c r="K411" s="10"/>
      <c r="L411" s="10"/>
      <c r="M411" s="10"/>
      <c r="N411" s="10"/>
      <c r="O411" s="10"/>
      <c r="P411" s="10"/>
      <c r="Q411" s="10"/>
      <c r="R411" s="2"/>
      <c r="S411" s="273"/>
      <c r="T411" s="273"/>
      <c r="U411" s="273"/>
      <c r="V411" s="9"/>
      <c r="W411" s="273"/>
      <c r="X411" s="273"/>
      <c r="Y411" s="9"/>
      <c r="Z411" s="273"/>
      <c r="AA411" s="273"/>
      <c r="AB411" s="9"/>
      <c r="AC411" s="273"/>
      <c r="AD411" s="273"/>
      <c r="AE411" s="9"/>
      <c r="AF411" s="273"/>
      <c r="AG411" s="273"/>
      <c r="AH411" s="9"/>
      <c r="AI411" s="273"/>
      <c r="AJ411" s="273"/>
      <c r="AK411" s="9"/>
      <c r="AL411" s="273"/>
      <c r="AM411" s="273"/>
      <c r="AN411" s="9"/>
      <c r="AO411" s="273"/>
      <c r="AP411" s="273"/>
      <c r="AQ411" s="9"/>
      <c r="AR411" s="273"/>
      <c r="AS411" s="39"/>
    </row>
    <row r="412" spans="1:45" ht="12.75">
      <c r="A412" s="160"/>
      <c r="B412" s="273"/>
      <c r="C412" s="273"/>
      <c r="D412" s="273"/>
      <c r="E412" s="273"/>
      <c r="F412" s="273"/>
      <c r="G412" s="273"/>
      <c r="H412" s="273"/>
      <c r="I412" s="2"/>
      <c r="J412" s="17"/>
      <c r="K412" s="10"/>
      <c r="L412" s="10"/>
      <c r="M412" s="10"/>
      <c r="N412" s="10"/>
      <c r="O412" s="10"/>
      <c r="P412" s="10"/>
      <c r="Q412" s="10"/>
      <c r="R412" s="2"/>
      <c r="S412" s="273"/>
      <c r="T412" s="273"/>
      <c r="U412" s="273"/>
      <c r="V412" s="9"/>
      <c r="W412" s="273"/>
      <c r="X412" s="273"/>
      <c r="Y412" s="9"/>
      <c r="Z412" s="273"/>
      <c r="AA412" s="273"/>
      <c r="AB412" s="9"/>
      <c r="AC412" s="273"/>
      <c r="AD412" s="273"/>
      <c r="AE412" s="9"/>
      <c r="AF412" s="273"/>
      <c r="AG412" s="273"/>
      <c r="AH412" s="9"/>
      <c r="AI412" s="273"/>
      <c r="AJ412" s="273"/>
      <c r="AK412" s="9"/>
      <c r="AL412" s="273"/>
      <c r="AM412" s="273"/>
      <c r="AN412" s="9"/>
      <c r="AO412" s="273"/>
      <c r="AP412" s="273"/>
      <c r="AQ412" s="9"/>
      <c r="AR412" s="273"/>
      <c r="AS412" s="39"/>
    </row>
    <row r="413" spans="1:45" ht="12.75">
      <c r="A413" s="160"/>
      <c r="B413" s="273"/>
      <c r="C413" s="273"/>
      <c r="D413" s="273"/>
      <c r="E413" s="273"/>
      <c r="F413" s="273"/>
      <c r="G413" s="273"/>
      <c r="H413" s="273"/>
      <c r="I413" s="2"/>
      <c r="J413" s="17"/>
      <c r="K413" s="10"/>
      <c r="L413" s="10"/>
      <c r="M413" s="10"/>
      <c r="N413" s="10"/>
      <c r="O413" s="10"/>
      <c r="P413" s="10"/>
      <c r="Q413" s="10"/>
      <c r="R413" s="2"/>
      <c r="S413" s="273"/>
      <c r="T413" s="273"/>
      <c r="U413" s="273"/>
      <c r="V413" s="9"/>
      <c r="W413" s="273"/>
      <c r="X413" s="273"/>
      <c r="Y413" s="9"/>
      <c r="Z413" s="273"/>
      <c r="AA413" s="273"/>
      <c r="AB413" s="9"/>
      <c r="AC413" s="273"/>
      <c r="AD413" s="273"/>
      <c r="AE413" s="9"/>
      <c r="AF413" s="273"/>
      <c r="AG413" s="273"/>
      <c r="AH413" s="9"/>
      <c r="AI413" s="273"/>
      <c r="AJ413" s="273"/>
      <c r="AK413" s="9"/>
      <c r="AL413" s="273"/>
      <c r="AM413" s="273"/>
      <c r="AN413" s="9"/>
      <c r="AO413" s="273"/>
      <c r="AP413" s="273"/>
      <c r="AQ413" s="9"/>
      <c r="AR413" s="273"/>
      <c r="AS413" s="39"/>
    </row>
    <row r="414" spans="1:45" ht="12.75">
      <c r="A414" s="160"/>
      <c r="B414" s="273"/>
      <c r="C414" s="273"/>
      <c r="D414" s="273"/>
      <c r="E414" s="273"/>
      <c r="F414" s="273"/>
      <c r="G414" s="273"/>
      <c r="H414" s="273"/>
      <c r="I414" s="2"/>
      <c r="J414" s="17"/>
      <c r="K414" s="10"/>
      <c r="L414" s="10"/>
      <c r="M414" s="10"/>
      <c r="N414" s="10"/>
      <c r="O414" s="10"/>
      <c r="P414" s="10"/>
      <c r="Q414" s="10"/>
      <c r="R414" s="2"/>
      <c r="S414" s="273"/>
      <c r="T414" s="273"/>
      <c r="U414" s="273"/>
      <c r="V414" s="9"/>
      <c r="W414" s="273"/>
      <c r="X414" s="273"/>
      <c r="Y414" s="9"/>
      <c r="Z414" s="273"/>
      <c r="AA414" s="273"/>
      <c r="AB414" s="9"/>
      <c r="AC414" s="273"/>
      <c r="AD414" s="273"/>
      <c r="AE414" s="9"/>
      <c r="AF414" s="273"/>
      <c r="AG414" s="273"/>
      <c r="AH414" s="9"/>
      <c r="AI414" s="273"/>
      <c r="AJ414" s="273"/>
      <c r="AK414" s="9"/>
      <c r="AL414" s="273"/>
      <c r="AM414" s="273"/>
      <c r="AN414" s="9"/>
      <c r="AO414" s="273"/>
      <c r="AP414" s="273"/>
      <c r="AQ414" s="9"/>
      <c r="AR414" s="273"/>
      <c r="AS414" s="39"/>
    </row>
    <row r="415" spans="1:45" ht="12.75">
      <c r="A415" s="160"/>
      <c r="B415" s="273"/>
      <c r="C415" s="273"/>
      <c r="D415" s="273"/>
      <c r="E415" s="273"/>
      <c r="F415" s="273"/>
      <c r="G415" s="273"/>
      <c r="H415" s="273"/>
      <c r="I415" s="2"/>
      <c r="J415" s="17"/>
      <c r="K415" s="10"/>
      <c r="L415" s="10"/>
      <c r="M415" s="10"/>
      <c r="N415" s="10"/>
      <c r="O415" s="10"/>
      <c r="P415" s="10"/>
      <c r="Q415" s="10"/>
      <c r="R415" s="2"/>
      <c r="S415" s="273"/>
      <c r="T415" s="273"/>
      <c r="U415" s="273"/>
      <c r="V415" s="9"/>
      <c r="W415" s="273"/>
      <c r="X415" s="273"/>
      <c r="Y415" s="9"/>
      <c r="Z415" s="273"/>
      <c r="AA415" s="273"/>
      <c r="AB415" s="9"/>
      <c r="AC415" s="273"/>
      <c r="AD415" s="273"/>
      <c r="AE415" s="9"/>
      <c r="AF415" s="273"/>
      <c r="AG415" s="273"/>
      <c r="AH415" s="9"/>
      <c r="AI415" s="273"/>
      <c r="AJ415" s="273"/>
      <c r="AK415" s="9"/>
      <c r="AL415" s="273"/>
      <c r="AM415" s="273"/>
      <c r="AN415" s="9"/>
      <c r="AO415" s="273"/>
      <c r="AP415" s="273"/>
      <c r="AQ415" s="9"/>
      <c r="AR415" s="273"/>
      <c r="AS415" s="39"/>
    </row>
    <row r="416" spans="1:45" ht="12.75">
      <c r="A416" s="160"/>
      <c r="B416" s="273"/>
      <c r="C416" s="273"/>
      <c r="D416" s="273"/>
      <c r="E416" s="273"/>
      <c r="F416" s="273"/>
      <c r="G416" s="273"/>
      <c r="H416" s="273"/>
      <c r="I416" s="2"/>
      <c r="J416" s="17"/>
      <c r="K416" s="10"/>
      <c r="L416" s="10"/>
      <c r="M416" s="10"/>
      <c r="N416" s="10"/>
      <c r="O416" s="10"/>
      <c r="P416" s="10"/>
      <c r="Q416" s="10"/>
      <c r="R416" s="2"/>
      <c r="S416" s="273"/>
      <c r="T416" s="273"/>
      <c r="U416" s="273"/>
      <c r="V416" s="9"/>
      <c r="W416" s="273"/>
      <c r="X416" s="273"/>
      <c r="Y416" s="9"/>
      <c r="Z416" s="273"/>
      <c r="AA416" s="273"/>
      <c r="AB416" s="9"/>
      <c r="AC416" s="273"/>
      <c r="AD416" s="273"/>
      <c r="AE416" s="9"/>
      <c r="AF416" s="273"/>
      <c r="AG416" s="273"/>
      <c r="AH416" s="9"/>
      <c r="AI416" s="273"/>
      <c r="AJ416" s="273"/>
      <c r="AK416" s="9"/>
      <c r="AL416" s="273"/>
      <c r="AM416" s="273"/>
      <c r="AN416" s="9"/>
      <c r="AO416" s="273"/>
      <c r="AP416" s="273"/>
      <c r="AQ416" s="9"/>
      <c r="AR416" s="273"/>
      <c r="AS416" s="39"/>
    </row>
    <row r="417" spans="1:45" ht="12.75">
      <c r="A417" s="160"/>
      <c r="B417" s="273"/>
      <c r="C417" s="273"/>
      <c r="D417" s="273"/>
      <c r="E417" s="273"/>
      <c r="F417" s="273"/>
      <c r="G417" s="273"/>
      <c r="H417" s="273"/>
      <c r="I417" s="2"/>
      <c r="J417" s="17"/>
      <c r="K417" s="10"/>
      <c r="L417" s="10"/>
      <c r="M417" s="10"/>
      <c r="N417" s="10"/>
      <c r="O417" s="10"/>
      <c r="P417" s="10"/>
      <c r="Q417" s="10"/>
      <c r="R417" s="2"/>
      <c r="S417" s="273"/>
      <c r="T417" s="273"/>
      <c r="U417" s="273"/>
      <c r="V417" s="9"/>
      <c r="W417" s="273"/>
      <c r="X417" s="273"/>
      <c r="Y417" s="9"/>
      <c r="Z417" s="273"/>
      <c r="AA417" s="273"/>
      <c r="AB417" s="9"/>
      <c r="AC417" s="273"/>
      <c r="AD417" s="273"/>
      <c r="AE417" s="9"/>
      <c r="AF417" s="273"/>
      <c r="AG417" s="273"/>
      <c r="AH417" s="9"/>
      <c r="AI417" s="273"/>
      <c r="AJ417" s="273"/>
      <c r="AK417" s="9"/>
      <c r="AL417" s="273"/>
      <c r="AM417" s="273"/>
      <c r="AN417" s="9"/>
      <c r="AO417" s="273"/>
      <c r="AP417" s="273"/>
      <c r="AQ417" s="9"/>
      <c r="AR417" s="273"/>
      <c r="AS417" s="39"/>
    </row>
    <row r="418" spans="1:45" ht="12.75">
      <c r="A418" s="160"/>
      <c r="B418" s="273"/>
      <c r="C418" s="273"/>
      <c r="D418" s="273"/>
      <c r="E418" s="273"/>
      <c r="F418" s="273"/>
      <c r="G418" s="273"/>
      <c r="H418" s="273"/>
      <c r="I418" s="2"/>
      <c r="J418" s="17"/>
      <c r="K418" s="10"/>
      <c r="L418" s="10"/>
      <c r="M418" s="10"/>
      <c r="N418" s="10"/>
      <c r="O418" s="10"/>
      <c r="P418" s="10"/>
      <c r="Q418" s="10"/>
      <c r="R418" s="2"/>
      <c r="S418" s="273"/>
      <c r="T418" s="273"/>
      <c r="U418" s="273"/>
      <c r="V418" s="9"/>
      <c r="W418" s="273"/>
      <c r="X418" s="273"/>
      <c r="Y418" s="9"/>
      <c r="Z418" s="273"/>
      <c r="AA418" s="273"/>
      <c r="AB418" s="9"/>
      <c r="AC418" s="273"/>
      <c r="AD418" s="273"/>
      <c r="AE418" s="9"/>
      <c r="AF418" s="273"/>
      <c r="AG418" s="273"/>
      <c r="AH418" s="9"/>
      <c r="AI418" s="273"/>
      <c r="AJ418" s="273"/>
      <c r="AK418" s="9"/>
      <c r="AL418" s="273"/>
      <c r="AM418" s="273"/>
      <c r="AN418" s="9"/>
      <c r="AO418" s="273"/>
      <c r="AP418" s="273"/>
      <c r="AQ418" s="9"/>
      <c r="AR418" s="273"/>
      <c r="AS418" s="39"/>
    </row>
    <row r="419" spans="1:45" ht="12.75">
      <c r="A419" s="160"/>
      <c r="B419" s="273"/>
      <c r="C419" s="273"/>
      <c r="D419" s="273"/>
      <c r="E419" s="273"/>
      <c r="F419" s="273"/>
      <c r="G419" s="273"/>
      <c r="H419" s="273"/>
      <c r="I419" s="2"/>
      <c r="J419" s="17"/>
      <c r="K419" s="10"/>
      <c r="L419" s="10"/>
      <c r="M419" s="10"/>
      <c r="N419" s="10"/>
      <c r="O419" s="10"/>
      <c r="P419" s="10"/>
      <c r="Q419" s="10"/>
      <c r="R419" s="2"/>
      <c r="S419" s="273"/>
      <c r="T419" s="273"/>
      <c r="U419" s="273"/>
      <c r="V419" s="9"/>
      <c r="W419" s="273"/>
      <c r="X419" s="273"/>
      <c r="Y419" s="9"/>
      <c r="Z419" s="273"/>
      <c r="AA419" s="273"/>
      <c r="AB419" s="9"/>
      <c r="AC419" s="273"/>
      <c r="AD419" s="273"/>
      <c r="AE419" s="9"/>
      <c r="AF419" s="273"/>
      <c r="AG419" s="273"/>
      <c r="AH419" s="9"/>
      <c r="AI419" s="273"/>
      <c r="AJ419" s="273"/>
      <c r="AK419" s="9"/>
      <c r="AL419" s="273"/>
      <c r="AM419" s="273"/>
      <c r="AN419" s="9"/>
      <c r="AO419" s="273"/>
      <c r="AP419" s="273"/>
      <c r="AQ419" s="9"/>
      <c r="AR419" s="273"/>
      <c r="AS419" s="39"/>
    </row>
    <row r="420" spans="1:45" ht="12.75">
      <c r="A420" s="160"/>
      <c r="B420" s="273"/>
      <c r="C420" s="273"/>
      <c r="D420" s="273"/>
      <c r="E420" s="273"/>
      <c r="F420" s="273"/>
      <c r="G420" s="273"/>
      <c r="H420" s="273"/>
      <c r="I420" s="2"/>
      <c r="J420" s="17"/>
      <c r="K420" s="10"/>
      <c r="L420" s="10"/>
      <c r="M420" s="10"/>
      <c r="N420" s="10"/>
      <c r="O420" s="10"/>
      <c r="P420" s="10"/>
      <c r="Q420" s="10"/>
      <c r="R420" s="2"/>
      <c r="S420" s="273"/>
      <c r="T420" s="273"/>
      <c r="U420" s="273"/>
      <c r="V420" s="9"/>
      <c r="W420" s="273"/>
      <c r="X420" s="273"/>
      <c r="Y420" s="9"/>
      <c r="Z420" s="273"/>
      <c r="AA420" s="273"/>
      <c r="AB420" s="9"/>
      <c r="AC420" s="273"/>
      <c r="AD420" s="273"/>
      <c r="AE420" s="9"/>
      <c r="AF420" s="273"/>
      <c r="AG420" s="273"/>
      <c r="AH420" s="9"/>
      <c r="AI420" s="273"/>
      <c r="AJ420" s="273"/>
      <c r="AK420" s="9"/>
      <c r="AL420" s="273"/>
      <c r="AM420" s="273"/>
      <c r="AN420" s="9"/>
      <c r="AO420" s="273"/>
      <c r="AP420" s="273"/>
      <c r="AQ420" s="9"/>
      <c r="AR420" s="273"/>
      <c r="AS420" s="39"/>
    </row>
    <row r="421" spans="1:45" ht="12.75">
      <c r="A421" s="160"/>
      <c r="B421" s="273"/>
      <c r="C421" s="273"/>
      <c r="D421" s="273"/>
      <c r="E421" s="273"/>
      <c r="F421" s="273"/>
      <c r="G421" s="273"/>
      <c r="H421" s="273"/>
      <c r="I421" s="2"/>
      <c r="J421" s="17"/>
      <c r="K421" s="10"/>
      <c r="L421" s="10"/>
      <c r="M421" s="10"/>
      <c r="N421" s="10"/>
      <c r="O421" s="10"/>
      <c r="P421" s="10"/>
      <c r="Q421" s="10"/>
      <c r="R421" s="2"/>
      <c r="S421" s="273"/>
      <c r="T421" s="273"/>
      <c r="U421" s="273"/>
      <c r="V421" s="9"/>
      <c r="W421" s="273"/>
      <c r="X421" s="273"/>
      <c r="Y421" s="9"/>
      <c r="Z421" s="273"/>
      <c r="AA421" s="273"/>
      <c r="AB421" s="9"/>
      <c r="AC421" s="273"/>
      <c r="AD421" s="273"/>
      <c r="AE421" s="9"/>
      <c r="AF421" s="273"/>
      <c r="AG421" s="273"/>
      <c r="AH421" s="9"/>
      <c r="AI421" s="273"/>
      <c r="AJ421" s="273"/>
      <c r="AK421" s="9"/>
      <c r="AL421" s="273"/>
      <c r="AM421" s="273"/>
      <c r="AN421" s="9"/>
      <c r="AO421" s="273"/>
      <c r="AP421" s="273"/>
      <c r="AQ421" s="9"/>
      <c r="AR421" s="273"/>
      <c r="AS421" s="39"/>
    </row>
    <row r="422" spans="1:45" ht="12.75">
      <c r="A422" s="160"/>
      <c r="B422" s="273"/>
      <c r="C422" s="273"/>
      <c r="D422" s="273"/>
      <c r="E422" s="273"/>
      <c r="F422" s="273"/>
      <c r="G422" s="273"/>
      <c r="H422" s="273"/>
      <c r="I422" s="2"/>
      <c r="J422" s="17"/>
      <c r="K422" s="10"/>
      <c r="L422" s="10"/>
      <c r="M422" s="10"/>
      <c r="N422" s="10"/>
      <c r="O422" s="10"/>
      <c r="P422" s="10"/>
      <c r="Q422" s="10"/>
      <c r="R422" s="2"/>
      <c r="S422" s="273"/>
      <c r="T422" s="273"/>
      <c r="U422" s="273"/>
      <c r="V422" s="9"/>
      <c r="W422" s="273"/>
      <c r="X422" s="273"/>
      <c r="Y422" s="9"/>
      <c r="Z422" s="273"/>
      <c r="AA422" s="273"/>
      <c r="AB422" s="9"/>
      <c r="AC422" s="273"/>
      <c r="AD422" s="273"/>
      <c r="AE422" s="9"/>
      <c r="AF422" s="273"/>
      <c r="AG422" s="273"/>
      <c r="AH422" s="9"/>
      <c r="AI422" s="273"/>
      <c r="AJ422" s="273"/>
      <c r="AK422" s="9"/>
      <c r="AL422" s="273"/>
      <c r="AM422" s="273"/>
      <c r="AN422" s="9"/>
      <c r="AO422" s="273"/>
      <c r="AP422" s="273"/>
      <c r="AQ422" s="9"/>
      <c r="AR422" s="273"/>
      <c r="AS422" s="39"/>
    </row>
    <row r="423" spans="1:45" ht="12.75">
      <c r="A423" s="160"/>
      <c r="B423" s="273"/>
      <c r="C423" s="273"/>
      <c r="D423" s="273"/>
      <c r="E423" s="273"/>
      <c r="F423" s="273"/>
      <c r="G423" s="273"/>
      <c r="H423" s="273"/>
      <c r="I423" s="2"/>
      <c r="J423" s="17"/>
      <c r="K423" s="10"/>
      <c r="L423" s="10"/>
      <c r="M423" s="10"/>
      <c r="N423" s="10"/>
      <c r="O423" s="10"/>
      <c r="P423" s="10"/>
      <c r="Q423" s="10"/>
      <c r="R423" s="2"/>
      <c r="S423" s="273"/>
      <c r="T423" s="273"/>
      <c r="U423" s="273"/>
      <c r="V423" s="9"/>
      <c r="W423" s="273"/>
      <c r="X423" s="273"/>
      <c r="Y423" s="9"/>
      <c r="Z423" s="273"/>
      <c r="AA423" s="273"/>
      <c r="AB423" s="9"/>
      <c r="AC423" s="273"/>
      <c r="AD423" s="273"/>
      <c r="AE423" s="9"/>
      <c r="AF423" s="273"/>
      <c r="AG423" s="273"/>
      <c r="AH423" s="9"/>
      <c r="AI423" s="273"/>
      <c r="AJ423" s="273"/>
      <c r="AK423" s="9"/>
      <c r="AL423" s="273"/>
      <c r="AM423" s="273"/>
      <c r="AN423" s="9"/>
      <c r="AO423" s="273"/>
      <c r="AP423" s="273"/>
      <c r="AQ423" s="9"/>
      <c r="AR423" s="273"/>
      <c r="AS423" s="39"/>
    </row>
    <row r="424" spans="1:45" ht="12.75">
      <c r="A424" s="160"/>
      <c r="B424" s="273"/>
      <c r="C424" s="273"/>
      <c r="D424" s="273"/>
      <c r="E424" s="273"/>
      <c r="F424" s="273"/>
      <c r="G424" s="273"/>
      <c r="H424" s="273"/>
      <c r="I424" s="2"/>
      <c r="J424" s="17"/>
      <c r="K424" s="10"/>
      <c r="L424" s="10"/>
      <c r="M424" s="10"/>
      <c r="N424" s="10"/>
      <c r="O424" s="10"/>
      <c r="P424" s="10"/>
      <c r="Q424" s="10"/>
      <c r="R424" s="2"/>
      <c r="S424" s="273"/>
      <c r="T424" s="273"/>
      <c r="U424" s="273"/>
      <c r="V424" s="9"/>
      <c r="W424" s="273"/>
      <c r="X424" s="273"/>
      <c r="Y424" s="9"/>
      <c r="Z424" s="273"/>
      <c r="AA424" s="273"/>
      <c r="AB424" s="9"/>
      <c r="AC424" s="273"/>
      <c r="AD424" s="273"/>
      <c r="AE424" s="9"/>
      <c r="AF424" s="273"/>
      <c r="AG424" s="273"/>
      <c r="AH424" s="9"/>
      <c r="AI424" s="273"/>
      <c r="AJ424" s="273"/>
      <c r="AK424" s="9"/>
      <c r="AL424" s="273"/>
      <c r="AM424" s="273"/>
      <c r="AN424" s="9"/>
      <c r="AO424" s="273"/>
      <c r="AP424" s="273"/>
      <c r="AQ424" s="9"/>
      <c r="AR424" s="273"/>
      <c r="AS424" s="39"/>
    </row>
    <row r="425" spans="1:45" ht="12.75">
      <c r="A425" s="160"/>
      <c r="B425" s="273"/>
      <c r="C425" s="273"/>
      <c r="D425" s="273"/>
      <c r="E425" s="273"/>
      <c r="F425" s="273"/>
      <c r="G425" s="273"/>
      <c r="H425" s="273"/>
      <c r="I425" s="2"/>
      <c r="J425" s="17"/>
      <c r="K425" s="10"/>
      <c r="L425" s="10"/>
      <c r="M425" s="10"/>
      <c r="N425" s="10"/>
      <c r="O425" s="10"/>
      <c r="P425" s="10"/>
      <c r="Q425" s="10"/>
      <c r="R425" s="2"/>
      <c r="S425" s="273"/>
      <c r="T425" s="273"/>
      <c r="U425" s="273"/>
      <c r="V425" s="9"/>
      <c r="W425" s="273"/>
      <c r="X425" s="273"/>
      <c r="Y425" s="9"/>
      <c r="Z425" s="273"/>
      <c r="AA425" s="273"/>
      <c r="AB425" s="9"/>
      <c r="AC425" s="273"/>
      <c r="AD425" s="273"/>
      <c r="AE425" s="9"/>
      <c r="AF425" s="273"/>
      <c r="AG425" s="273"/>
      <c r="AH425" s="9"/>
      <c r="AI425" s="273"/>
      <c r="AJ425" s="273"/>
      <c r="AK425" s="9"/>
      <c r="AL425" s="273"/>
      <c r="AM425" s="273"/>
      <c r="AN425" s="9"/>
      <c r="AO425" s="273"/>
      <c r="AP425" s="273"/>
      <c r="AQ425" s="9"/>
      <c r="AR425" s="273"/>
      <c r="AS425" s="39"/>
    </row>
    <row r="426" spans="1:45" ht="12.75">
      <c r="A426" s="160"/>
      <c r="B426" s="273"/>
      <c r="C426" s="273"/>
      <c r="D426" s="273"/>
      <c r="E426" s="273"/>
      <c r="F426" s="273"/>
      <c r="G426" s="273"/>
      <c r="H426" s="273"/>
      <c r="I426" s="2"/>
      <c r="J426" s="17"/>
      <c r="K426" s="10"/>
      <c r="L426" s="10"/>
      <c r="M426" s="10"/>
      <c r="N426" s="10"/>
      <c r="O426" s="10"/>
      <c r="P426" s="10"/>
      <c r="Q426" s="10"/>
      <c r="R426" s="2"/>
      <c r="S426" s="273"/>
      <c r="T426" s="273"/>
      <c r="U426" s="273"/>
      <c r="V426" s="9"/>
      <c r="W426" s="273"/>
      <c r="X426" s="273"/>
      <c r="Y426" s="9"/>
      <c r="Z426" s="273"/>
      <c r="AA426" s="273"/>
      <c r="AB426" s="9"/>
      <c r="AC426" s="273"/>
      <c r="AD426" s="273"/>
      <c r="AE426" s="9"/>
      <c r="AF426" s="273"/>
      <c r="AG426" s="273"/>
      <c r="AH426" s="9"/>
      <c r="AI426" s="273"/>
      <c r="AJ426" s="273"/>
      <c r="AK426" s="9"/>
      <c r="AL426" s="273"/>
      <c r="AM426" s="273"/>
      <c r="AN426" s="9"/>
      <c r="AO426" s="273"/>
      <c r="AP426" s="273"/>
      <c r="AQ426" s="9"/>
      <c r="AR426" s="273"/>
      <c r="AS426" s="39"/>
    </row>
    <row r="427" spans="1:45" ht="12.75">
      <c r="A427" s="160"/>
      <c r="B427" s="273"/>
      <c r="C427" s="273"/>
      <c r="D427" s="273"/>
      <c r="E427" s="273"/>
      <c r="F427" s="273"/>
      <c r="G427" s="273"/>
      <c r="H427" s="273"/>
      <c r="I427" s="2"/>
      <c r="J427" s="17"/>
      <c r="K427" s="10"/>
      <c r="L427" s="10"/>
      <c r="M427" s="10"/>
      <c r="N427" s="10"/>
      <c r="O427" s="10"/>
      <c r="P427" s="10"/>
      <c r="Q427" s="10"/>
      <c r="R427" s="2"/>
      <c r="S427" s="273"/>
      <c r="T427" s="273"/>
      <c r="U427" s="273"/>
      <c r="V427" s="9"/>
      <c r="W427" s="273"/>
      <c r="X427" s="273"/>
      <c r="Y427" s="9"/>
      <c r="Z427" s="273"/>
      <c r="AA427" s="273"/>
      <c r="AB427" s="9"/>
      <c r="AC427" s="273"/>
      <c r="AD427" s="273"/>
      <c r="AE427" s="9"/>
      <c r="AF427" s="273"/>
      <c r="AG427" s="273"/>
      <c r="AH427" s="9"/>
      <c r="AI427" s="273"/>
      <c r="AJ427" s="273"/>
      <c r="AK427" s="9"/>
      <c r="AL427" s="273"/>
      <c r="AM427" s="273"/>
      <c r="AN427" s="9"/>
      <c r="AO427" s="273"/>
      <c r="AP427" s="273"/>
      <c r="AQ427" s="9"/>
      <c r="AR427" s="273"/>
      <c r="AS427" s="39"/>
    </row>
    <row r="428" spans="1:45" ht="12.75">
      <c r="A428" s="160"/>
      <c r="B428" s="273"/>
      <c r="C428" s="273"/>
      <c r="D428" s="273"/>
      <c r="E428" s="273"/>
      <c r="F428" s="273"/>
      <c r="G428" s="273"/>
      <c r="H428" s="273"/>
      <c r="I428" s="2"/>
      <c r="J428" s="17"/>
      <c r="K428" s="10"/>
      <c r="L428" s="10"/>
      <c r="M428" s="10"/>
      <c r="N428" s="10"/>
      <c r="O428" s="10"/>
      <c r="P428" s="10"/>
      <c r="Q428" s="10"/>
      <c r="R428" s="2"/>
      <c r="S428" s="273"/>
      <c r="T428" s="273"/>
      <c r="U428" s="273"/>
      <c r="V428" s="9"/>
      <c r="W428" s="273"/>
      <c r="X428" s="273"/>
      <c r="Y428" s="9"/>
      <c r="Z428" s="273"/>
      <c r="AA428" s="273"/>
      <c r="AB428" s="9"/>
      <c r="AC428" s="273"/>
      <c r="AD428" s="273"/>
      <c r="AE428" s="9"/>
      <c r="AF428" s="273"/>
      <c r="AG428" s="273"/>
      <c r="AH428" s="9"/>
      <c r="AI428" s="273"/>
      <c r="AJ428" s="273"/>
      <c r="AK428" s="9"/>
      <c r="AL428" s="273"/>
      <c r="AM428" s="273"/>
      <c r="AN428" s="9"/>
      <c r="AO428" s="273"/>
      <c r="AP428" s="273"/>
      <c r="AQ428" s="9"/>
      <c r="AR428" s="273"/>
      <c r="AS428" s="39"/>
    </row>
    <row r="429" spans="1:45" ht="12.75">
      <c r="A429" s="160"/>
      <c r="B429" s="273"/>
      <c r="C429" s="273"/>
      <c r="D429" s="273"/>
      <c r="E429" s="273"/>
      <c r="F429" s="273"/>
      <c r="G429" s="273"/>
      <c r="H429" s="273"/>
      <c r="I429" s="2"/>
      <c r="J429" s="17"/>
      <c r="K429" s="10"/>
      <c r="L429" s="10"/>
      <c r="M429" s="10"/>
      <c r="N429" s="10"/>
      <c r="O429" s="10"/>
      <c r="P429" s="10"/>
      <c r="Q429" s="10"/>
      <c r="R429" s="2"/>
      <c r="S429" s="273"/>
      <c r="T429" s="273"/>
      <c r="U429" s="273"/>
      <c r="V429" s="9"/>
      <c r="W429" s="273"/>
      <c r="X429" s="273"/>
      <c r="Y429" s="9"/>
      <c r="Z429" s="273"/>
      <c r="AA429" s="273"/>
      <c r="AB429" s="9"/>
      <c r="AC429" s="273"/>
      <c r="AD429" s="273"/>
      <c r="AE429" s="9"/>
      <c r="AF429" s="273"/>
      <c r="AG429" s="273"/>
      <c r="AH429" s="9"/>
      <c r="AI429" s="273"/>
      <c r="AJ429" s="273"/>
      <c r="AK429" s="9"/>
      <c r="AL429" s="273"/>
      <c r="AM429" s="273"/>
      <c r="AN429" s="9"/>
      <c r="AO429" s="273"/>
      <c r="AP429" s="273"/>
      <c r="AQ429" s="9"/>
      <c r="AR429" s="273"/>
      <c r="AS429" s="39"/>
    </row>
    <row r="430" spans="1:45" ht="12.75">
      <c r="A430" s="160"/>
      <c r="B430" s="273"/>
      <c r="C430" s="273"/>
      <c r="D430" s="273"/>
      <c r="E430" s="273"/>
      <c r="F430" s="273"/>
      <c r="G430" s="273"/>
      <c r="H430" s="273"/>
      <c r="I430" s="2"/>
      <c r="J430" s="17"/>
      <c r="K430" s="10"/>
      <c r="L430" s="10"/>
      <c r="M430" s="10"/>
      <c r="N430" s="10"/>
      <c r="O430" s="10"/>
      <c r="P430" s="10"/>
      <c r="Q430" s="10"/>
      <c r="R430" s="2"/>
      <c r="S430" s="273"/>
      <c r="T430" s="273"/>
      <c r="U430" s="273"/>
      <c r="V430" s="9"/>
      <c r="W430" s="273"/>
      <c r="X430" s="273"/>
      <c r="Y430" s="9"/>
      <c r="Z430" s="273"/>
      <c r="AA430" s="273"/>
      <c r="AB430" s="9"/>
      <c r="AC430" s="273"/>
      <c r="AD430" s="273"/>
      <c r="AE430" s="9"/>
      <c r="AF430" s="273"/>
      <c r="AG430" s="273"/>
      <c r="AH430" s="9"/>
      <c r="AI430" s="273"/>
      <c r="AJ430" s="273"/>
      <c r="AK430" s="9"/>
      <c r="AL430" s="273"/>
      <c r="AM430" s="273"/>
      <c r="AN430" s="9"/>
      <c r="AO430" s="273"/>
      <c r="AP430" s="273"/>
      <c r="AQ430" s="9"/>
      <c r="AR430" s="273"/>
      <c r="AS430" s="39"/>
    </row>
    <row r="431" spans="1:45" ht="12.75">
      <c r="A431" s="160"/>
      <c r="B431" s="273"/>
      <c r="C431" s="273"/>
      <c r="D431" s="273"/>
      <c r="E431" s="273"/>
      <c r="F431" s="273"/>
      <c r="G431" s="273"/>
      <c r="H431" s="273"/>
      <c r="I431" s="2"/>
      <c r="J431" s="17"/>
      <c r="K431" s="10"/>
      <c r="L431" s="10"/>
      <c r="M431" s="10"/>
      <c r="N431" s="10"/>
      <c r="O431" s="10"/>
      <c r="P431" s="10"/>
      <c r="Q431" s="10"/>
      <c r="R431" s="2"/>
      <c r="S431" s="273"/>
      <c r="T431" s="273"/>
      <c r="U431" s="273"/>
      <c r="V431" s="9"/>
      <c r="W431" s="273"/>
      <c r="X431" s="273"/>
      <c r="Y431" s="9"/>
      <c r="Z431" s="273"/>
      <c r="AA431" s="273"/>
      <c r="AB431" s="9"/>
      <c r="AC431" s="273"/>
      <c r="AD431" s="273"/>
      <c r="AE431" s="9"/>
      <c r="AF431" s="273"/>
      <c r="AG431" s="273"/>
      <c r="AH431" s="9"/>
      <c r="AI431" s="273"/>
      <c r="AJ431" s="273"/>
      <c r="AK431" s="9"/>
      <c r="AL431" s="273"/>
      <c r="AM431" s="273"/>
      <c r="AN431" s="9"/>
      <c r="AO431" s="273"/>
      <c r="AP431" s="273"/>
      <c r="AQ431" s="9"/>
      <c r="AR431" s="273"/>
      <c r="AS431" s="39"/>
    </row>
    <row r="432" spans="1:45" ht="12.75">
      <c r="A432" s="160"/>
      <c r="B432" s="273"/>
      <c r="C432" s="273"/>
      <c r="D432" s="273"/>
      <c r="E432" s="273"/>
      <c r="F432" s="273"/>
      <c r="G432" s="273"/>
      <c r="H432" s="273"/>
      <c r="I432" s="2"/>
      <c r="J432" s="17"/>
      <c r="K432" s="10"/>
      <c r="L432" s="10"/>
      <c r="M432" s="10"/>
      <c r="N432" s="10"/>
      <c r="O432" s="10"/>
      <c r="P432" s="10"/>
      <c r="Q432" s="10"/>
      <c r="R432" s="2"/>
      <c r="S432" s="273"/>
      <c r="T432" s="273"/>
      <c r="U432" s="273"/>
      <c r="V432" s="9"/>
      <c r="W432" s="273"/>
      <c r="X432" s="273"/>
      <c r="Y432" s="9"/>
      <c r="Z432" s="273"/>
      <c r="AA432" s="273"/>
      <c r="AB432" s="9"/>
      <c r="AC432" s="273"/>
      <c r="AD432" s="273"/>
      <c r="AE432" s="9"/>
      <c r="AF432" s="273"/>
      <c r="AG432" s="273"/>
      <c r="AH432" s="9"/>
      <c r="AI432" s="273"/>
      <c r="AJ432" s="273"/>
      <c r="AK432" s="9"/>
      <c r="AL432" s="273"/>
      <c r="AM432" s="273"/>
      <c r="AN432" s="9"/>
      <c r="AO432" s="273"/>
      <c r="AP432" s="273"/>
      <c r="AQ432" s="9"/>
      <c r="AR432" s="273"/>
      <c r="AS432" s="39"/>
    </row>
    <row r="433" spans="1:45" ht="12.75">
      <c r="A433" s="160"/>
      <c r="B433" s="273"/>
      <c r="C433" s="273"/>
      <c r="D433" s="273"/>
      <c r="E433" s="273"/>
      <c r="F433" s="273"/>
      <c r="G433" s="273"/>
      <c r="H433" s="273"/>
      <c r="I433" s="2"/>
      <c r="J433" s="17"/>
      <c r="K433" s="10"/>
      <c r="L433" s="10"/>
      <c r="M433" s="10"/>
      <c r="N433" s="10"/>
      <c r="O433" s="10"/>
      <c r="P433" s="10"/>
      <c r="Q433" s="10"/>
      <c r="R433" s="2"/>
      <c r="S433" s="273"/>
      <c r="T433" s="273"/>
      <c r="U433" s="273"/>
      <c r="V433" s="9"/>
      <c r="W433" s="273"/>
      <c r="X433" s="273"/>
      <c r="Y433" s="9"/>
      <c r="Z433" s="273"/>
      <c r="AA433" s="273"/>
      <c r="AB433" s="9"/>
      <c r="AC433" s="273"/>
      <c r="AD433" s="273"/>
      <c r="AE433" s="9"/>
      <c r="AF433" s="273"/>
      <c r="AG433" s="273"/>
      <c r="AH433" s="9"/>
      <c r="AI433" s="273"/>
      <c r="AJ433" s="273"/>
      <c r="AK433" s="9"/>
      <c r="AL433" s="273"/>
      <c r="AM433" s="273"/>
      <c r="AN433" s="9"/>
      <c r="AO433" s="273"/>
      <c r="AP433" s="273"/>
      <c r="AQ433" s="9"/>
      <c r="AR433" s="273"/>
      <c r="AS433" s="39"/>
    </row>
    <row r="434" spans="1:45" ht="12.75">
      <c r="A434" s="160"/>
      <c r="B434" s="273"/>
      <c r="C434" s="273"/>
      <c r="D434" s="273"/>
      <c r="E434" s="273"/>
      <c r="F434" s="273"/>
      <c r="G434" s="273"/>
      <c r="H434" s="273"/>
      <c r="I434" s="2"/>
      <c r="J434" s="17"/>
      <c r="K434" s="10"/>
      <c r="L434" s="10"/>
      <c r="M434" s="10"/>
      <c r="N434" s="10"/>
      <c r="O434" s="10"/>
      <c r="P434" s="10"/>
      <c r="Q434" s="10"/>
      <c r="R434" s="2"/>
      <c r="S434" s="273"/>
      <c r="T434" s="273"/>
      <c r="U434" s="273"/>
      <c r="V434" s="9"/>
      <c r="W434" s="273"/>
      <c r="X434" s="273"/>
      <c r="Y434" s="9"/>
      <c r="Z434" s="273"/>
      <c r="AA434" s="273"/>
      <c r="AB434" s="9"/>
      <c r="AC434" s="273"/>
      <c r="AD434" s="273"/>
      <c r="AE434" s="9"/>
      <c r="AF434" s="273"/>
      <c r="AG434" s="273"/>
      <c r="AH434" s="9"/>
      <c r="AI434" s="273"/>
      <c r="AJ434" s="273"/>
      <c r="AK434" s="9"/>
      <c r="AL434" s="273"/>
      <c r="AM434" s="273"/>
      <c r="AN434" s="9"/>
      <c r="AO434" s="273"/>
      <c r="AP434" s="273"/>
      <c r="AQ434" s="9"/>
      <c r="AR434" s="273"/>
      <c r="AS434" s="39"/>
    </row>
    <row r="435" spans="1:45" ht="12.75">
      <c r="A435" s="160"/>
      <c r="B435" s="273"/>
      <c r="C435" s="273"/>
      <c r="D435" s="273"/>
      <c r="E435" s="273"/>
      <c r="F435" s="273"/>
      <c r="G435" s="273"/>
      <c r="H435" s="273"/>
      <c r="I435" s="2"/>
      <c r="J435" s="17"/>
      <c r="K435" s="10"/>
      <c r="L435" s="10"/>
      <c r="M435" s="10"/>
      <c r="N435" s="10"/>
      <c r="O435" s="10"/>
      <c r="P435" s="10"/>
      <c r="Q435" s="10"/>
      <c r="R435" s="2"/>
      <c r="S435" s="273"/>
      <c r="T435" s="273"/>
      <c r="U435" s="273"/>
      <c r="V435" s="9"/>
      <c r="W435" s="273"/>
      <c r="X435" s="273"/>
      <c r="Y435" s="9"/>
      <c r="Z435" s="273"/>
      <c r="AA435" s="273"/>
      <c r="AB435" s="9"/>
      <c r="AC435" s="273"/>
      <c r="AD435" s="273"/>
      <c r="AE435" s="9"/>
      <c r="AF435" s="273"/>
      <c r="AG435" s="273"/>
      <c r="AH435" s="9"/>
      <c r="AI435" s="273"/>
      <c r="AJ435" s="273"/>
      <c r="AK435" s="9"/>
      <c r="AL435" s="273"/>
      <c r="AM435" s="273"/>
      <c r="AN435" s="9"/>
      <c r="AO435" s="273"/>
      <c r="AP435" s="273"/>
      <c r="AQ435" s="9"/>
      <c r="AR435" s="273"/>
      <c r="AS435" s="39"/>
    </row>
    <row r="436" spans="1:45" ht="12.75">
      <c r="A436" s="160"/>
      <c r="B436" s="273"/>
      <c r="C436" s="273"/>
      <c r="D436" s="273"/>
      <c r="E436" s="273"/>
      <c r="F436" s="273"/>
      <c r="G436" s="273"/>
      <c r="H436" s="273"/>
      <c r="I436" s="2"/>
      <c r="J436" s="17"/>
      <c r="K436" s="10"/>
      <c r="L436" s="10"/>
      <c r="M436" s="10"/>
      <c r="N436" s="10"/>
      <c r="O436" s="10"/>
      <c r="P436" s="10"/>
      <c r="Q436" s="10"/>
      <c r="R436" s="2"/>
      <c r="S436" s="273"/>
      <c r="T436" s="273"/>
      <c r="U436" s="273"/>
      <c r="V436" s="9"/>
      <c r="W436" s="273"/>
      <c r="X436" s="273"/>
      <c r="Y436" s="9"/>
      <c r="Z436" s="273"/>
      <c r="AA436" s="273"/>
      <c r="AB436" s="9"/>
      <c r="AC436" s="273"/>
      <c r="AD436" s="273"/>
      <c r="AE436" s="9"/>
      <c r="AF436" s="273"/>
      <c r="AG436" s="273"/>
      <c r="AH436" s="9"/>
      <c r="AI436" s="273"/>
      <c r="AJ436" s="273"/>
      <c r="AK436" s="9"/>
      <c r="AL436" s="273"/>
      <c r="AM436" s="273"/>
      <c r="AN436" s="9"/>
      <c r="AO436" s="273"/>
      <c r="AP436" s="273"/>
      <c r="AQ436" s="9"/>
      <c r="AR436" s="273"/>
      <c r="AS436" s="39"/>
    </row>
    <row r="437" spans="1:45" ht="12.75">
      <c r="A437" s="160"/>
      <c r="B437" s="273"/>
      <c r="C437" s="273"/>
      <c r="D437" s="273"/>
      <c r="E437" s="273"/>
      <c r="F437" s="273"/>
      <c r="G437" s="273"/>
      <c r="H437" s="273"/>
      <c r="I437" s="2"/>
      <c r="J437" s="17"/>
      <c r="K437" s="10"/>
      <c r="L437" s="10"/>
      <c r="M437" s="10"/>
      <c r="N437" s="10"/>
      <c r="O437" s="10"/>
      <c r="P437" s="10"/>
      <c r="Q437" s="10"/>
      <c r="R437" s="2"/>
      <c r="S437" s="273"/>
      <c r="T437" s="273"/>
      <c r="U437" s="273"/>
      <c r="V437" s="9"/>
      <c r="W437" s="273"/>
      <c r="X437" s="273"/>
      <c r="Y437" s="9"/>
      <c r="Z437" s="273"/>
      <c r="AA437" s="273"/>
      <c r="AB437" s="9"/>
      <c r="AC437" s="273"/>
      <c r="AD437" s="273"/>
      <c r="AE437" s="9"/>
      <c r="AF437" s="273"/>
      <c r="AG437" s="273"/>
      <c r="AH437" s="9"/>
      <c r="AI437" s="273"/>
      <c r="AJ437" s="273"/>
      <c r="AK437" s="9"/>
      <c r="AL437" s="273"/>
      <c r="AM437" s="273"/>
      <c r="AN437" s="9"/>
      <c r="AO437" s="273"/>
      <c r="AP437" s="273"/>
      <c r="AQ437" s="9"/>
      <c r="AR437" s="273"/>
      <c r="AS437" s="39"/>
    </row>
    <row r="438" spans="1:45" ht="12.75">
      <c r="A438" s="160"/>
      <c r="B438" s="273"/>
      <c r="C438" s="273"/>
      <c r="D438" s="273"/>
      <c r="E438" s="273"/>
      <c r="F438" s="273"/>
      <c r="G438" s="273"/>
      <c r="H438" s="273"/>
      <c r="I438" s="2"/>
      <c r="J438" s="17"/>
      <c r="K438" s="10"/>
      <c r="L438" s="10"/>
      <c r="M438" s="10"/>
      <c r="N438" s="10"/>
      <c r="O438" s="10"/>
      <c r="P438" s="10"/>
      <c r="Q438" s="10"/>
      <c r="R438" s="2"/>
      <c r="S438" s="273"/>
      <c r="T438" s="273"/>
      <c r="U438" s="273"/>
      <c r="V438" s="9"/>
      <c r="W438" s="273"/>
      <c r="X438" s="273"/>
      <c r="Y438" s="9"/>
      <c r="Z438" s="273"/>
      <c r="AA438" s="273"/>
      <c r="AB438" s="9"/>
      <c r="AC438" s="273"/>
      <c r="AD438" s="273"/>
      <c r="AE438" s="9"/>
      <c r="AF438" s="273"/>
      <c r="AG438" s="273"/>
      <c r="AH438" s="9"/>
      <c r="AI438" s="273"/>
      <c r="AJ438" s="273"/>
      <c r="AK438" s="9"/>
      <c r="AL438" s="273"/>
      <c r="AM438" s="273"/>
      <c r="AN438" s="9"/>
      <c r="AO438" s="273"/>
      <c r="AP438" s="273"/>
      <c r="AQ438" s="9"/>
      <c r="AR438" s="273"/>
      <c r="AS438" s="39"/>
    </row>
    <row r="439" spans="1:45" ht="12.75">
      <c r="A439" s="160"/>
      <c r="B439" s="273"/>
      <c r="C439" s="273"/>
      <c r="D439" s="273"/>
      <c r="E439" s="273"/>
      <c r="F439" s="273"/>
      <c r="G439" s="273"/>
      <c r="H439" s="273"/>
      <c r="I439" s="2"/>
      <c r="J439" s="17"/>
      <c r="K439" s="10"/>
      <c r="L439" s="10"/>
      <c r="M439" s="10"/>
      <c r="N439" s="10"/>
      <c r="O439" s="10"/>
      <c r="P439" s="10"/>
      <c r="Q439" s="10"/>
      <c r="R439" s="2"/>
      <c r="S439" s="273"/>
      <c r="T439" s="273"/>
      <c r="U439" s="273"/>
      <c r="V439" s="9"/>
      <c r="W439" s="273"/>
      <c r="X439" s="273"/>
      <c r="Y439" s="9"/>
      <c r="Z439" s="273"/>
      <c r="AA439" s="273"/>
      <c r="AB439" s="9"/>
      <c r="AC439" s="273"/>
      <c r="AD439" s="273"/>
      <c r="AE439" s="9"/>
      <c r="AF439" s="273"/>
      <c r="AG439" s="273"/>
      <c r="AH439" s="9"/>
      <c r="AI439" s="273"/>
      <c r="AJ439" s="273"/>
      <c r="AK439" s="9"/>
      <c r="AL439" s="273"/>
      <c r="AM439" s="273"/>
      <c r="AN439" s="9"/>
      <c r="AO439" s="273"/>
      <c r="AP439" s="273"/>
      <c r="AQ439" s="9"/>
      <c r="AR439" s="273"/>
      <c r="AS439" s="39"/>
    </row>
    <row r="440" spans="1:45" ht="12.75">
      <c r="A440" s="160"/>
      <c r="B440" s="273"/>
      <c r="C440" s="273"/>
      <c r="D440" s="273"/>
      <c r="E440" s="273"/>
      <c r="F440" s="273"/>
      <c r="G440" s="273"/>
      <c r="H440" s="273"/>
      <c r="I440" s="2"/>
      <c r="J440" s="17"/>
      <c r="K440" s="10"/>
      <c r="L440" s="10"/>
      <c r="M440" s="10"/>
      <c r="N440" s="10"/>
      <c r="O440" s="10"/>
      <c r="P440" s="10"/>
      <c r="Q440" s="10"/>
      <c r="R440" s="2"/>
      <c r="S440" s="273"/>
      <c r="T440" s="273"/>
      <c r="U440" s="273"/>
      <c r="V440" s="9"/>
      <c r="W440" s="273"/>
      <c r="X440" s="273"/>
      <c r="Y440" s="9"/>
      <c r="Z440" s="273"/>
      <c r="AA440" s="273"/>
      <c r="AB440" s="9"/>
      <c r="AC440" s="273"/>
      <c r="AD440" s="273"/>
      <c r="AE440" s="9"/>
      <c r="AF440" s="273"/>
      <c r="AG440" s="273"/>
      <c r="AH440" s="9"/>
      <c r="AI440" s="273"/>
      <c r="AJ440" s="273"/>
      <c r="AK440" s="9"/>
      <c r="AL440" s="273"/>
      <c r="AM440" s="273"/>
      <c r="AN440" s="9"/>
      <c r="AO440" s="273"/>
      <c r="AP440" s="273"/>
      <c r="AQ440" s="9"/>
      <c r="AR440" s="273"/>
      <c r="AS440" s="39"/>
    </row>
    <row r="441" spans="1:45" ht="12.75">
      <c r="A441" s="160"/>
      <c r="B441" s="273"/>
      <c r="C441" s="273"/>
      <c r="D441" s="273"/>
      <c r="E441" s="273"/>
      <c r="F441" s="273"/>
      <c r="G441" s="273"/>
      <c r="H441" s="273"/>
      <c r="I441" s="2"/>
      <c r="J441" s="17"/>
      <c r="K441" s="10"/>
      <c r="L441" s="10"/>
      <c r="M441" s="10"/>
      <c r="N441" s="10"/>
      <c r="O441" s="10"/>
      <c r="P441" s="10"/>
      <c r="Q441" s="10"/>
      <c r="R441" s="2"/>
      <c r="S441" s="273"/>
      <c r="T441" s="273"/>
      <c r="U441" s="273"/>
      <c r="V441" s="9"/>
      <c r="W441" s="273"/>
      <c r="X441" s="273"/>
      <c r="Y441" s="9"/>
      <c r="Z441" s="273"/>
      <c r="AA441" s="273"/>
      <c r="AB441" s="9"/>
      <c r="AC441" s="273"/>
      <c r="AD441" s="273"/>
      <c r="AE441" s="9"/>
      <c r="AF441" s="273"/>
      <c r="AG441" s="273"/>
      <c r="AH441" s="9"/>
      <c r="AI441" s="273"/>
      <c r="AJ441" s="273"/>
      <c r="AK441" s="9"/>
      <c r="AL441" s="273"/>
      <c r="AM441" s="273"/>
      <c r="AN441" s="9"/>
      <c r="AO441" s="273"/>
      <c r="AP441" s="273"/>
      <c r="AQ441" s="9"/>
      <c r="AR441" s="273"/>
      <c r="AS441" s="39"/>
    </row>
    <row r="442" spans="1:45" ht="12.75">
      <c r="A442" s="160"/>
      <c r="B442" s="273"/>
      <c r="C442" s="273"/>
      <c r="D442" s="273"/>
      <c r="E442" s="273"/>
      <c r="F442" s="273"/>
      <c r="G442" s="273"/>
      <c r="H442" s="273"/>
      <c r="I442" s="2"/>
      <c r="J442" s="17"/>
      <c r="K442" s="10"/>
      <c r="L442" s="10"/>
      <c r="M442" s="10"/>
      <c r="N442" s="10"/>
      <c r="O442" s="10"/>
      <c r="P442" s="10"/>
      <c r="Q442" s="10"/>
      <c r="R442" s="2"/>
      <c r="S442" s="273"/>
      <c r="T442" s="273"/>
      <c r="U442" s="273"/>
      <c r="V442" s="9"/>
      <c r="W442" s="273"/>
      <c r="X442" s="273"/>
      <c r="Y442" s="9"/>
      <c r="Z442" s="273"/>
      <c r="AA442" s="273"/>
      <c r="AB442" s="9"/>
      <c r="AC442" s="273"/>
      <c r="AD442" s="273"/>
      <c r="AE442" s="9"/>
      <c r="AF442" s="273"/>
      <c r="AG442" s="273"/>
      <c r="AH442" s="9"/>
      <c r="AI442" s="273"/>
      <c r="AJ442" s="273"/>
      <c r="AK442" s="9"/>
      <c r="AL442" s="273"/>
      <c r="AM442" s="273"/>
      <c r="AN442" s="9"/>
      <c r="AO442" s="273"/>
      <c r="AP442" s="273"/>
      <c r="AQ442" s="9"/>
      <c r="AR442" s="273"/>
      <c r="AS442" s="39"/>
    </row>
    <row r="443" spans="1:45" ht="12.75">
      <c r="A443" s="160"/>
      <c r="B443" s="273"/>
      <c r="C443" s="273"/>
      <c r="D443" s="273"/>
      <c r="E443" s="273"/>
      <c r="F443" s="273"/>
      <c r="G443" s="273"/>
      <c r="H443" s="273"/>
      <c r="I443" s="2"/>
      <c r="J443" s="17"/>
      <c r="K443" s="10"/>
      <c r="L443" s="10"/>
      <c r="M443" s="10"/>
      <c r="N443" s="10"/>
      <c r="O443" s="10"/>
      <c r="P443" s="10"/>
      <c r="Q443" s="10"/>
      <c r="R443" s="2"/>
      <c r="S443" s="273"/>
      <c r="T443" s="273"/>
      <c r="U443" s="273"/>
      <c r="V443" s="9"/>
      <c r="W443" s="273"/>
      <c r="X443" s="273"/>
      <c r="Y443" s="9"/>
      <c r="Z443" s="273"/>
      <c r="AA443" s="273"/>
      <c r="AB443" s="9"/>
      <c r="AC443" s="273"/>
      <c r="AD443" s="273"/>
      <c r="AE443" s="9"/>
      <c r="AF443" s="273"/>
      <c r="AG443" s="273"/>
      <c r="AH443" s="9"/>
      <c r="AI443" s="273"/>
      <c r="AJ443" s="273"/>
      <c r="AK443" s="9"/>
      <c r="AL443" s="273"/>
      <c r="AM443" s="273"/>
      <c r="AN443" s="9"/>
      <c r="AO443" s="273"/>
      <c r="AP443" s="273"/>
      <c r="AQ443" s="9"/>
      <c r="AR443" s="273"/>
      <c r="AS443" s="39"/>
    </row>
    <row r="444" spans="1:45" ht="12.75">
      <c r="A444" s="160"/>
      <c r="B444" s="273"/>
      <c r="C444" s="273"/>
      <c r="D444" s="273"/>
      <c r="E444" s="273"/>
      <c r="F444" s="273"/>
      <c r="G444" s="273"/>
      <c r="H444" s="273"/>
      <c r="I444" s="2"/>
      <c r="J444" s="17"/>
      <c r="K444" s="10"/>
      <c r="L444" s="10"/>
      <c r="M444" s="10"/>
      <c r="N444" s="10"/>
      <c r="O444" s="10"/>
      <c r="P444" s="10"/>
      <c r="Q444" s="10"/>
      <c r="R444" s="2"/>
      <c r="S444" s="273"/>
      <c r="T444" s="273"/>
      <c r="U444" s="273"/>
      <c r="V444" s="9"/>
      <c r="W444" s="273"/>
      <c r="X444" s="273"/>
      <c r="Y444" s="9"/>
      <c r="Z444" s="273"/>
      <c r="AA444" s="273"/>
      <c r="AB444" s="9"/>
      <c r="AC444" s="273"/>
      <c r="AD444" s="273"/>
      <c r="AE444" s="9"/>
      <c r="AF444" s="273"/>
      <c r="AG444" s="273"/>
      <c r="AH444" s="9"/>
      <c r="AI444" s="273"/>
      <c r="AJ444" s="273"/>
      <c r="AK444" s="9"/>
      <c r="AL444" s="273"/>
      <c r="AM444" s="273"/>
      <c r="AN444" s="9"/>
      <c r="AO444" s="273"/>
      <c r="AP444" s="273"/>
      <c r="AQ444" s="9"/>
      <c r="AR444" s="273"/>
      <c r="AS444" s="39"/>
    </row>
    <row r="445" spans="1:45" ht="12.75">
      <c r="A445" s="160"/>
      <c r="B445" s="273"/>
      <c r="C445" s="273"/>
      <c r="D445" s="273"/>
      <c r="E445" s="273"/>
      <c r="F445" s="273"/>
      <c r="G445" s="273"/>
      <c r="H445" s="273"/>
      <c r="I445" s="2"/>
      <c r="J445" s="17"/>
      <c r="K445" s="10"/>
      <c r="L445" s="10"/>
      <c r="M445" s="10"/>
      <c r="N445" s="10"/>
      <c r="O445" s="10"/>
      <c r="P445" s="10"/>
      <c r="Q445" s="10"/>
      <c r="R445" s="2"/>
      <c r="S445" s="273"/>
      <c r="T445" s="273"/>
      <c r="U445" s="273"/>
      <c r="V445" s="9"/>
      <c r="W445" s="273"/>
      <c r="X445" s="273"/>
      <c r="Y445" s="9"/>
      <c r="Z445" s="273"/>
      <c r="AA445" s="273"/>
      <c r="AB445" s="9"/>
      <c r="AC445" s="273"/>
      <c r="AD445" s="273"/>
      <c r="AE445" s="9"/>
      <c r="AF445" s="273"/>
      <c r="AG445" s="273"/>
      <c r="AH445" s="9"/>
      <c r="AI445" s="273"/>
      <c r="AJ445" s="273"/>
      <c r="AK445" s="9"/>
      <c r="AL445" s="273"/>
      <c r="AM445" s="273"/>
      <c r="AN445" s="9"/>
      <c r="AO445" s="273"/>
      <c r="AP445" s="273"/>
      <c r="AQ445" s="9"/>
      <c r="AR445" s="273"/>
      <c r="AS445" s="39"/>
    </row>
    <row r="446" spans="1:45" ht="12.75">
      <c r="A446" s="160"/>
      <c r="B446" s="273"/>
      <c r="C446" s="273"/>
      <c r="D446" s="273"/>
      <c r="E446" s="273"/>
      <c r="F446" s="273"/>
      <c r="G446" s="273"/>
      <c r="H446" s="273"/>
      <c r="I446" s="2"/>
      <c r="J446" s="17"/>
      <c r="K446" s="10"/>
      <c r="L446" s="10"/>
      <c r="M446" s="10"/>
      <c r="N446" s="10"/>
      <c r="O446" s="10"/>
      <c r="P446" s="10"/>
      <c r="Q446" s="10"/>
      <c r="R446" s="2"/>
      <c r="S446" s="273"/>
      <c r="T446" s="273"/>
      <c r="U446" s="273"/>
      <c r="V446" s="9"/>
      <c r="W446" s="273"/>
      <c r="X446" s="273"/>
      <c r="Y446" s="9"/>
      <c r="Z446" s="273"/>
      <c r="AA446" s="273"/>
      <c r="AB446" s="9"/>
      <c r="AC446" s="273"/>
      <c r="AD446" s="273"/>
      <c r="AE446" s="9"/>
      <c r="AF446" s="273"/>
      <c r="AG446" s="273"/>
      <c r="AH446" s="9"/>
      <c r="AI446" s="273"/>
      <c r="AJ446" s="273"/>
      <c r="AK446" s="9"/>
      <c r="AL446" s="273"/>
      <c r="AM446" s="273"/>
      <c r="AN446" s="9"/>
      <c r="AO446" s="273"/>
      <c r="AP446" s="273"/>
      <c r="AQ446" s="9"/>
      <c r="AR446" s="273"/>
      <c r="AS446" s="39"/>
    </row>
    <row r="447" spans="1:45" ht="12.75">
      <c r="A447" s="160"/>
      <c r="B447" s="273"/>
      <c r="C447" s="273"/>
      <c r="D447" s="273"/>
      <c r="E447" s="273"/>
      <c r="F447" s="273"/>
      <c r="G447" s="273"/>
      <c r="H447" s="273"/>
      <c r="I447" s="2"/>
      <c r="J447" s="17"/>
      <c r="K447" s="10"/>
      <c r="L447" s="10"/>
      <c r="M447" s="10"/>
      <c r="N447" s="10"/>
      <c r="O447" s="10"/>
      <c r="P447" s="10"/>
      <c r="Q447" s="10"/>
      <c r="R447" s="2"/>
      <c r="S447" s="273"/>
      <c r="T447" s="273"/>
      <c r="U447" s="273"/>
      <c r="V447" s="9"/>
      <c r="W447" s="273"/>
      <c r="X447" s="273"/>
      <c r="Y447" s="9"/>
      <c r="Z447" s="273"/>
      <c r="AA447" s="273"/>
      <c r="AB447" s="9"/>
      <c r="AC447" s="273"/>
      <c r="AD447" s="273"/>
      <c r="AE447" s="9"/>
      <c r="AF447" s="273"/>
      <c r="AG447" s="273"/>
      <c r="AH447" s="9"/>
      <c r="AI447" s="273"/>
      <c r="AJ447" s="273"/>
      <c r="AK447" s="9"/>
      <c r="AL447" s="273"/>
      <c r="AM447" s="273"/>
      <c r="AN447" s="9"/>
      <c r="AO447" s="273"/>
      <c r="AP447" s="273"/>
      <c r="AQ447" s="9"/>
      <c r="AR447" s="273"/>
      <c r="AS447" s="39"/>
    </row>
    <row r="448" spans="1:45" ht="12.75">
      <c r="A448" s="160"/>
      <c r="B448" s="273"/>
      <c r="C448" s="273"/>
      <c r="D448" s="273"/>
      <c r="E448" s="273"/>
      <c r="F448" s="273"/>
      <c r="G448" s="273"/>
      <c r="H448" s="273"/>
      <c r="I448" s="2"/>
      <c r="J448" s="17"/>
      <c r="K448" s="10"/>
      <c r="L448" s="10"/>
      <c r="M448" s="10"/>
      <c r="N448" s="10"/>
      <c r="O448" s="10"/>
      <c r="P448" s="10"/>
      <c r="Q448" s="10"/>
      <c r="R448" s="2"/>
      <c r="S448" s="273"/>
      <c r="T448" s="273"/>
      <c r="U448" s="273"/>
      <c r="V448" s="9"/>
      <c r="W448" s="273"/>
      <c r="X448" s="273"/>
      <c r="Y448" s="9"/>
      <c r="Z448" s="273"/>
      <c r="AA448" s="273"/>
      <c r="AB448" s="9"/>
      <c r="AC448" s="273"/>
      <c r="AD448" s="273"/>
      <c r="AE448" s="9"/>
      <c r="AF448" s="273"/>
      <c r="AG448" s="273"/>
      <c r="AH448" s="9"/>
      <c r="AI448" s="273"/>
      <c r="AJ448" s="273"/>
      <c r="AK448" s="9"/>
      <c r="AL448" s="273"/>
      <c r="AM448" s="273"/>
      <c r="AN448" s="9"/>
      <c r="AO448" s="273"/>
      <c r="AP448" s="273"/>
      <c r="AQ448" s="9"/>
      <c r="AR448" s="273"/>
      <c r="AS448" s="39"/>
    </row>
    <row r="449" spans="1:45" ht="12.75">
      <c r="A449" s="160"/>
      <c r="B449" s="273"/>
      <c r="C449" s="273"/>
      <c r="D449" s="273"/>
      <c r="E449" s="273"/>
      <c r="F449" s="273"/>
      <c r="G449" s="273"/>
      <c r="H449" s="273"/>
      <c r="I449" s="2"/>
      <c r="J449" s="17"/>
      <c r="K449" s="10"/>
      <c r="L449" s="10"/>
      <c r="M449" s="10"/>
      <c r="N449" s="10"/>
      <c r="O449" s="10"/>
      <c r="P449" s="10"/>
      <c r="Q449" s="10"/>
      <c r="R449" s="2"/>
      <c r="S449" s="273"/>
      <c r="T449" s="273"/>
      <c r="U449" s="273"/>
      <c r="V449" s="9"/>
      <c r="W449" s="273"/>
      <c r="X449" s="273"/>
      <c r="Y449" s="9"/>
      <c r="Z449" s="273"/>
      <c r="AA449" s="273"/>
      <c r="AB449" s="9"/>
      <c r="AC449" s="273"/>
      <c r="AD449" s="273"/>
      <c r="AE449" s="9"/>
      <c r="AF449" s="273"/>
      <c r="AG449" s="273"/>
      <c r="AH449" s="9"/>
      <c r="AI449" s="273"/>
      <c r="AJ449" s="273"/>
      <c r="AK449" s="9"/>
      <c r="AL449" s="273"/>
      <c r="AM449" s="273"/>
      <c r="AN449" s="9"/>
      <c r="AO449" s="273"/>
      <c r="AP449" s="273"/>
      <c r="AQ449" s="9"/>
      <c r="AR449" s="273"/>
      <c r="AS449" s="39"/>
    </row>
    <row r="450" spans="1:45" ht="12.75">
      <c r="A450" s="160"/>
      <c r="B450" s="273"/>
      <c r="C450" s="273"/>
      <c r="D450" s="273"/>
      <c r="E450" s="273"/>
      <c r="F450" s="273"/>
      <c r="G450" s="273"/>
      <c r="H450" s="273"/>
      <c r="I450" s="2"/>
      <c r="J450" s="17"/>
      <c r="K450" s="10"/>
      <c r="L450" s="10"/>
      <c r="M450" s="10"/>
      <c r="N450" s="10"/>
      <c r="O450" s="10"/>
      <c r="P450" s="10"/>
      <c r="Q450" s="10"/>
      <c r="R450" s="2"/>
      <c r="S450" s="273"/>
      <c r="T450" s="273"/>
      <c r="U450" s="273"/>
      <c r="V450" s="9"/>
      <c r="W450" s="273"/>
      <c r="X450" s="273"/>
      <c r="Y450" s="9"/>
      <c r="Z450" s="273"/>
      <c r="AA450" s="273"/>
      <c r="AB450" s="9"/>
      <c r="AC450" s="273"/>
      <c r="AD450" s="273"/>
      <c r="AE450" s="9"/>
      <c r="AF450" s="273"/>
      <c r="AG450" s="273"/>
      <c r="AH450" s="9"/>
      <c r="AI450" s="273"/>
      <c r="AJ450" s="273"/>
      <c r="AK450" s="9"/>
      <c r="AL450" s="273"/>
      <c r="AM450" s="273"/>
      <c r="AN450" s="9"/>
      <c r="AO450" s="273"/>
      <c r="AP450" s="273"/>
      <c r="AQ450" s="9"/>
      <c r="AR450" s="273"/>
      <c r="AS450" s="39"/>
    </row>
    <row r="451" spans="1:45" ht="12.75">
      <c r="A451" s="160"/>
      <c r="B451" s="273"/>
      <c r="C451" s="273"/>
      <c r="D451" s="273"/>
      <c r="E451" s="273"/>
      <c r="F451" s="273"/>
      <c r="G451" s="273"/>
      <c r="H451" s="273"/>
      <c r="I451" s="2"/>
      <c r="J451" s="17"/>
      <c r="K451" s="10"/>
      <c r="L451" s="10"/>
      <c r="M451" s="10"/>
      <c r="N451" s="10"/>
      <c r="O451" s="10"/>
      <c r="P451" s="10"/>
      <c r="Q451" s="10"/>
      <c r="R451" s="2"/>
      <c r="S451" s="273"/>
      <c r="T451" s="273"/>
      <c r="U451" s="273"/>
      <c r="V451" s="9"/>
      <c r="W451" s="273"/>
      <c r="X451" s="273"/>
      <c r="Y451" s="9"/>
      <c r="Z451" s="273"/>
      <c r="AA451" s="273"/>
      <c r="AB451" s="9"/>
      <c r="AC451" s="273"/>
      <c r="AD451" s="273"/>
      <c r="AE451" s="9"/>
      <c r="AF451" s="273"/>
      <c r="AG451" s="273"/>
      <c r="AH451" s="9"/>
      <c r="AI451" s="273"/>
      <c r="AJ451" s="273"/>
      <c r="AK451" s="9"/>
      <c r="AL451" s="273"/>
      <c r="AM451" s="273"/>
      <c r="AN451" s="9"/>
      <c r="AO451" s="273"/>
      <c r="AP451" s="273"/>
      <c r="AQ451" s="9"/>
      <c r="AR451" s="273"/>
      <c r="AS451" s="39"/>
    </row>
    <row r="452" spans="1:45" ht="12.75">
      <c r="A452" s="160"/>
      <c r="B452" s="273"/>
      <c r="C452" s="273"/>
      <c r="D452" s="273"/>
      <c r="E452" s="273"/>
      <c r="F452" s="273"/>
      <c r="G452" s="273"/>
      <c r="H452" s="273"/>
      <c r="I452" s="2"/>
      <c r="J452" s="17"/>
      <c r="K452" s="10"/>
      <c r="L452" s="10"/>
      <c r="M452" s="10"/>
      <c r="N452" s="10"/>
      <c r="O452" s="10"/>
      <c r="P452" s="10"/>
      <c r="Q452" s="10"/>
      <c r="R452" s="2"/>
      <c r="S452" s="273"/>
      <c r="T452" s="273"/>
      <c r="U452" s="273"/>
      <c r="V452" s="9"/>
      <c r="W452" s="273"/>
      <c r="X452" s="273"/>
      <c r="Y452" s="9"/>
      <c r="Z452" s="273"/>
      <c r="AA452" s="273"/>
      <c r="AB452" s="9"/>
      <c r="AC452" s="273"/>
      <c r="AD452" s="273"/>
      <c r="AE452" s="9"/>
      <c r="AF452" s="273"/>
      <c r="AG452" s="273"/>
      <c r="AH452" s="9"/>
      <c r="AI452" s="273"/>
      <c r="AJ452" s="273"/>
      <c r="AK452" s="9"/>
      <c r="AL452" s="273"/>
      <c r="AM452" s="273"/>
      <c r="AN452" s="9"/>
      <c r="AO452" s="273"/>
      <c r="AP452" s="273"/>
      <c r="AQ452" s="9"/>
      <c r="AR452" s="273"/>
      <c r="AS452" s="39"/>
    </row>
    <row r="453" spans="1:45" ht="12.75">
      <c r="A453" s="160"/>
      <c r="B453" s="273"/>
      <c r="C453" s="273"/>
      <c r="D453" s="273"/>
      <c r="E453" s="273"/>
      <c r="F453" s="273"/>
      <c r="G453" s="273"/>
      <c r="H453" s="273"/>
      <c r="I453" s="2"/>
      <c r="J453" s="17"/>
      <c r="K453" s="10"/>
      <c r="L453" s="10"/>
      <c r="M453" s="10"/>
      <c r="N453" s="10"/>
      <c r="O453" s="10"/>
      <c r="P453" s="10"/>
      <c r="Q453" s="10"/>
      <c r="R453" s="2"/>
      <c r="S453" s="273"/>
      <c r="T453" s="273"/>
      <c r="U453" s="273"/>
      <c r="V453" s="9"/>
      <c r="W453" s="273"/>
      <c r="X453" s="273"/>
      <c r="Y453" s="9"/>
      <c r="Z453" s="273"/>
      <c r="AA453" s="273"/>
      <c r="AB453" s="9"/>
      <c r="AC453" s="273"/>
      <c r="AD453" s="273"/>
      <c r="AE453" s="9"/>
      <c r="AF453" s="273"/>
      <c r="AG453" s="273"/>
      <c r="AH453" s="9"/>
      <c r="AI453" s="273"/>
      <c r="AJ453" s="273"/>
      <c r="AK453" s="9"/>
      <c r="AL453" s="273"/>
      <c r="AM453" s="273"/>
      <c r="AN453" s="9"/>
      <c r="AO453" s="273"/>
      <c r="AP453" s="273"/>
      <c r="AQ453" s="9"/>
      <c r="AR453" s="273"/>
      <c r="AS453" s="39"/>
    </row>
    <row r="454" spans="1:45" ht="12.75">
      <c r="A454" s="160"/>
      <c r="B454" s="273"/>
      <c r="C454" s="273"/>
      <c r="D454" s="273"/>
      <c r="E454" s="273"/>
      <c r="F454" s="273"/>
      <c r="G454" s="273"/>
      <c r="H454" s="273"/>
      <c r="I454" s="2"/>
      <c r="J454" s="17"/>
      <c r="K454" s="10"/>
      <c r="L454" s="10"/>
      <c r="M454" s="10"/>
      <c r="N454" s="10"/>
      <c r="O454" s="10"/>
      <c r="P454" s="10"/>
      <c r="Q454" s="10"/>
      <c r="R454" s="2"/>
      <c r="S454" s="273"/>
      <c r="T454" s="273"/>
      <c r="U454" s="273"/>
      <c r="V454" s="9"/>
      <c r="W454" s="273"/>
      <c r="X454" s="273"/>
      <c r="Y454" s="9"/>
      <c r="Z454" s="273"/>
      <c r="AA454" s="273"/>
      <c r="AB454" s="9"/>
      <c r="AC454" s="273"/>
      <c r="AD454" s="273"/>
      <c r="AE454" s="9"/>
      <c r="AF454" s="273"/>
      <c r="AG454" s="273"/>
      <c r="AH454" s="9"/>
      <c r="AI454" s="273"/>
      <c r="AJ454" s="273"/>
      <c r="AK454" s="9"/>
      <c r="AL454" s="273"/>
      <c r="AM454" s="273"/>
      <c r="AN454" s="9"/>
      <c r="AO454" s="273"/>
      <c r="AP454" s="273"/>
      <c r="AQ454" s="9"/>
      <c r="AR454" s="273"/>
      <c r="AS454" s="39"/>
    </row>
    <row r="455" spans="1:45" ht="12.75">
      <c r="A455" s="160"/>
      <c r="B455" s="273"/>
      <c r="C455" s="273"/>
      <c r="D455" s="273"/>
      <c r="E455" s="273"/>
      <c r="F455" s="273"/>
      <c r="G455" s="273"/>
      <c r="H455" s="273"/>
      <c r="I455" s="2"/>
      <c r="J455" s="17"/>
      <c r="K455" s="10"/>
      <c r="L455" s="10"/>
      <c r="M455" s="10"/>
      <c r="N455" s="10"/>
      <c r="O455" s="10"/>
      <c r="P455" s="10"/>
      <c r="Q455" s="10"/>
      <c r="R455" s="2"/>
      <c r="S455" s="273"/>
      <c r="T455" s="273"/>
      <c r="U455" s="273"/>
      <c r="V455" s="9"/>
      <c r="W455" s="273"/>
      <c r="X455" s="273"/>
      <c r="Y455" s="9"/>
      <c r="Z455" s="273"/>
      <c r="AA455" s="273"/>
      <c r="AB455" s="9"/>
      <c r="AC455" s="273"/>
      <c r="AD455" s="273"/>
      <c r="AE455" s="9"/>
      <c r="AF455" s="273"/>
      <c r="AG455" s="273"/>
      <c r="AH455" s="9"/>
      <c r="AI455" s="273"/>
      <c r="AJ455" s="273"/>
      <c r="AK455" s="9"/>
      <c r="AL455" s="273"/>
      <c r="AM455" s="273"/>
      <c r="AN455" s="9"/>
      <c r="AO455" s="273"/>
      <c r="AP455" s="273"/>
      <c r="AQ455" s="9"/>
      <c r="AR455" s="273"/>
      <c r="AS455" s="39"/>
    </row>
    <row r="456" spans="1:45" ht="12.75">
      <c r="A456" s="160"/>
      <c r="B456" s="273"/>
      <c r="C456" s="273"/>
      <c r="D456" s="273"/>
      <c r="E456" s="273"/>
      <c r="F456" s="273"/>
      <c r="G456" s="273"/>
      <c r="H456" s="273"/>
      <c r="I456" s="2"/>
      <c r="J456" s="17"/>
      <c r="K456" s="10"/>
      <c r="L456" s="10"/>
      <c r="M456" s="10"/>
      <c r="N456" s="10"/>
      <c r="O456" s="10"/>
      <c r="P456" s="10"/>
      <c r="Q456" s="10"/>
      <c r="R456" s="2"/>
      <c r="S456" s="273"/>
      <c r="T456" s="273"/>
      <c r="U456" s="273"/>
      <c r="V456" s="9"/>
      <c r="W456" s="273"/>
      <c r="X456" s="273"/>
      <c r="Y456" s="9"/>
      <c r="Z456" s="273"/>
      <c r="AA456" s="273"/>
      <c r="AB456" s="9"/>
      <c r="AC456" s="273"/>
      <c r="AD456" s="273"/>
      <c r="AE456" s="9"/>
      <c r="AF456" s="273"/>
      <c r="AG456" s="273"/>
      <c r="AH456" s="9"/>
      <c r="AI456" s="273"/>
      <c r="AJ456" s="273"/>
      <c r="AK456" s="9"/>
      <c r="AL456" s="273"/>
      <c r="AM456" s="273"/>
      <c r="AN456" s="9"/>
      <c r="AO456" s="273"/>
      <c r="AP456" s="273"/>
      <c r="AQ456" s="9"/>
      <c r="AR456" s="273"/>
      <c r="AS456" s="39"/>
    </row>
    <row r="457" spans="1:45" ht="12.75">
      <c r="A457" s="160"/>
      <c r="B457" s="273"/>
      <c r="C457" s="273"/>
      <c r="D457" s="273"/>
      <c r="E457" s="273"/>
      <c r="F457" s="273"/>
      <c r="G457" s="273"/>
      <c r="H457" s="273"/>
      <c r="I457" s="2"/>
      <c r="J457" s="17"/>
      <c r="K457" s="10"/>
      <c r="L457" s="10"/>
      <c r="M457" s="10"/>
      <c r="N457" s="10"/>
      <c r="O457" s="10"/>
      <c r="P457" s="10"/>
      <c r="Q457" s="10"/>
      <c r="R457" s="2"/>
      <c r="S457" s="273"/>
      <c r="T457" s="273"/>
      <c r="U457" s="273"/>
      <c r="V457" s="9"/>
      <c r="W457" s="273"/>
      <c r="X457" s="273"/>
      <c r="Y457" s="9"/>
      <c r="Z457" s="273"/>
      <c r="AA457" s="273"/>
      <c r="AB457" s="9"/>
      <c r="AC457" s="273"/>
      <c r="AD457" s="273"/>
      <c r="AE457" s="9"/>
      <c r="AF457" s="273"/>
      <c r="AG457" s="273"/>
      <c r="AH457" s="9"/>
      <c r="AI457" s="273"/>
      <c r="AJ457" s="273"/>
      <c r="AK457" s="9"/>
      <c r="AL457" s="273"/>
      <c r="AM457" s="273"/>
      <c r="AN457" s="9"/>
      <c r="AO457" s="273"/>
      <c r="AP457" s="273"/>
      <c r="AQ457" s="9"/>
      <c r="AR457" s="273"/>
      <c r="AS457" s="39"/>
    </row>
    <row r="458" spans="1:45" ht="12.75">
      <c r="A458" s="160"/>
      <c r="B458" s="273"/>
      <c r="C458" s="273"/>
      <c r="D458" s="273"/>
      <c r="E458" s="273"/>
      <c r="F458" s="273"/>
      <c r="G458" s="273"/>
      <c r="H458" s="273"/>
      <c r="I458" s="2"/>
      <c r="J458" s="17"/>
      <c r="K458" s="10"/>
      <c r="L458" s="10"/>
      <c r="M458" s="10"/>
      <c r="N458" s="10"/>
      <c r="O458" s="10"/>
      <c r="P458" s="10"/>
      <c r="Q458" s="10"/>
      <c r="R458" s="2"/>
      <c r="S458" s="273"/>
      <c r="T458" s="273"/>
      <c r="U458" s="273"/>
      <c r="V458" s="9"/>
      <c r="W458" s="273"/>
      <c r="X458" s="273"/>
      <c r="Y458" s="9"/>
      <c r="Z458" s="273"/>
      <c r="AA458" s="273"/>
      <c r="AB458" s="9"/>
      <c r="AC458" s="273"/>
      <c r="AD458" s="273"/>
      <c r="AE458" s="9"/>
      <c r="AF458" s="273"/>
      <c r="AG458" s="273"/>
      <c r="AH458" s="9"/>
      <c r="AI458" s="273"/>
      <c r="AJ458" s="273"/>
      <c r="AK458" s="9"/>
      <c r="AL458" s="273"/>
      <c r="AM458" s="273"/>
      <c r="AN458" s="9"/>
      <c r="AO458" s="273"/>
      <c r="AP458" s="273"/>
      <c r="AQ458" s="9"/>
      <c r="AR458" s="273"/>
      <c r="AS458" s="39"/>
    </row>
    <row r="459" spans="1:45" ht="12.75">
      <c r="A459" s="160"/>
      <c r="B459" s="273"/>
      <c r="C459" s="273"/>
      <c r="D459" s="273"/>
      <c r="E459" s="273"/>
      <c r="F459" s="273"/>
      <c r="G459" s="273"/>
      <c r="H459" s="273"/>
      <c r="I459" s="2"/>
      <c r="J459" s="17"/>
      <c r="K459" s="10"/>
      <c r="L459" s="10"/>
      <c r="M459" s="10"/>
      <c r="N459" s="10"/>
      <c r="O459" s="10"/>
      <c r="P459" s="10"/>
      <c r="Q459" s="10"/>
      <c r="R459" s="2"/>
      <c r="S459" s="273"/>
      <c r="T459" s="273"/>
      <c r="U459" s="273"/>
      <c r="V459" s="9"/>
      <c r="W459" s="273"/>
      <c r="X459" s="273"/>
      <c r="Y459" s="9"/>
      <c r="Z459" s="273"/>
      <c r="AA459" s="273"/>
      <c r="AB459" s="9"/>
      <c r="AC459" s="273"/>
      <c r="AD459" s="273"/>
      <c r="AE459" s="9"/>
      <c r="AF459" s="273"/>
      <c r="AG459" s="273"/>
      <c r="AH459" s="9"/>
      <c r="AI459" s="273"/>
      <c r="AJ459" s="273"/>
      <c r="AK459" s="9"/>
      <c r="AL459" s="273"/>
      <c r="AM459" s="273"/>
      <c r="AN459" s="9"/>
      <c r="AO459" s="273"/>
      <c r="AP459" s="273"/>
      <c r="AQ459" s="9"/>
      <c r="AR459" s="273"/>
      <c r="AS459" s="39"/>
    </row>
    <row r="460" spans="1:45" ht="12.75">
      <c r="A460" s="160"/>
      <c r="B460" s="273"/>
      <c r="C460" s="273"/>
      <c r="D460" s="273"/>
      <c r="E460" s="273"/>
      <c r="F460" s="273"/>
      <c r="G460" s="273"/>
      <c r="H460" s="273"/>
      <c r="I460" s="2"/>
      <c r="J460" s="17"/>
      <c r="K460" s="10"/>
      <c r="L460" s="10"/>
      <c r="M460" s="10"/>
      <c r="N460" s="10"/>
      <c r="O460" s="10"/>
      <c r="P460" s="10"/>
      <c r="Q460" s="10"/>
      <c r="R460" s="2"/>
      <c r="S460" s="273"/>
      <c r="T460" s="273"/>
      <c r="U460" s="273"/>
      <c r="V460" s="9"/>
      <c r="W460" s="273"/>
      <c r="X460" s="273"/>
      <c r="Y460" s="9"/>
      <c r="Z460" s="273"/>
      <c r="AA460" s="273"/>
      <c r="AB460" s="9"/>
      <c r="AC460" s="273"/>
      <c r="AD460" s="273"/>
      <c r="AE460" s="9"/>
      <c r="AF460" s="273"/>
      <c r="AG460" s="273"/>
      <c r="AH460" s="9"/>
      <c r="AI460" s="273"/>
      <c r="AJ460" s="273"/>
      <c r="AK460" s="9"/>
      <c r="AL460" s="273"/>
      <c r="AM460" s="273"/>
      <c r="AN460" s="9"/>
      <c r="AO460" s="273"/>
      <c r="AP460" s="273"/>
      <c r="AQ460" s="9"/>
      <c r="AR460" s="273"/>
      <c r="AS460" s="39"/>
    </row>
    <row r="461" spans="1:45" ht="12.75">
      <c r="A461" s="160"/>
      <c r="B461" s="273"/>
      <c r="C461" s="273"/>
      <c r="D461" s="273"/>
      <c r="E461" s="273"/>
      <c r="F461" s="273"/>
      <c r="G461" s="273"/>
      <c r="H461" s="273"/>
      <c r="I461" s="2"/>
      <c r="J461" s="17"/>
      <c r="K461" s="10"/>
      <c r="L461" s="10"/>
      <c r="M461" s="10"/>
      <c r="N461" s="10"/>
      <c r="O461" s="10"/>
      <c r="P461" s="10"/>
      <c r="Q461" s="10"/>
      <c r="R461" s="2"/>
      <c r="S461" s="273"/>
      <c r="T461" s="273"/>
      <c r="U461" s="273"/>
      <c r="V461" s="9"/>
      <c r="W461" s="273"/>
      <c r="X461" s="273"/>
      <c r="Y461" s="9"/>
      <c r="Z461" s="273"/>
      <c r="AA461" s="273"/>
      <c r="AB461" s="9"/>
      <c r="AC461" s="273"/>
      <c r="AD461" s="273"/>
      <c r="AE461" s="9"/>
      <c r="AF461" s="273"/>
      <c r="AG461" s="273"/>
      <c r="AH461" s="9"/>
      <c r="AI461" s="273"/>
      <c r="AJ461" s="273"/>
      <c r="AK461" s="9"/>
      <c r="AL461" s="273"/>
      <c r="AM461" s="273"/>
      <c r="AN461" s="9"/>
      <c r="AO461" s="273"/>
      <c r="AP461" s="273"/>
      <c r="AQ461" s="9"/>
      <c r="AR461" s="273"/>
      <c r="AS461" s="39"/>
    </row>
    <row r="462" spans="1:45" ht="12.75">
      <c r="A462" s="160"/>
      <c r="B462" s="273"/>
      <c r="C462" s="273"/>
      <c r="D462" s="273"/>
      <c r="E462" s="273"/>
      <c r="F462" s="273"/>
      <c r="G462" s="273"/>
      <c r="H462" s="273"/>
      <c r="I462" s="2"/>
      <c r="J462" s="17"/>
      <c r="K462" s="10"/>
      <c r="L462" s="10"/>
      <c r="M462" s="10"/>
      <c r="N462" s="10"/>
      <c r="O462" s="10"/>
      <c r="P462" s="10"/>
      <c r="Q462" s="10"/>
      <c r="R462" s="2"/>
      <c r="S462" s="273"/>
      <c r="T462" s="273"/>
      <c r="U462" s="273"/>
      <c r="V462" s="9"/>
      <c r="W462" s="273"/>
      <c r="X462" s="273"/>
      <c r="Y462" s="9"/>
      <c r="Z462" s="273"/>
      <c r="AA462" s="273"/>
      <c r="AB462" s="9"/>
      <c r="AC462" s="273"/>
      <c r="AD462" s="273"/>
      <c r="AE462" s="9"/>
      <c r="AF462" s="273"/>
      <c r="AG462" s="273"/>
      <c r="AH462" s="9"/>
      <c r="AI462" s="273"/>
      <c r="AJ462" s="273"/>
      <c r="AK462" s="9"/>
      <c r="AL462" s="273"/>
      <c r="AM462" s="273"/>
      <c r="AN462" s="9"/>
      <c r="AO462" s="273"/>
      <c r="AP462" s="273"/>
      <c r="AQ462" s="9"/>
      <c r="AR462" s="273"/>
      <c r="AS462" s="39"/>
    </row>
    <row r="463" spans="1:45" ht="12.75">
      <c r="A463" s="160"/>
      <c r="B463" s="273"/>
      <c r="C463" s="273"/>
      <c r="D463" s="273"/>
      <c r="E463" s="273"/>
      <c r="F463" s="273"/>
      <c r="G463" s="273"/>
      <c r="H463" s="273"/>
      <c r="I463" s="2"/>
      <c r="J463" s="17"/>
      <c r="K463" s="10"/>
      <c r="L463" s="10"/>
      <c r="M463" s="10"/>
      <c r="N463" s="10"/>
      <c r="O463" s="10"/>
      <c r="P463" s="10"/>
      <c r="Q463" s="10"/>
      <c r="R463" s="2"/>
      <c r="S463" s="273"/>
      <c r="T463" s="273"/>
      <c r="U463" s="273"/>
      <c r="V463" s="9"/>
      <c r="W463" s="273"/>
      <c r="X463" s="273"/>
      <c r="Y463" s="9"/>
      <c r="Z463" s="273"/>
      <c r="AA463" s="273"/>
      <c r="AB463" s="9"/>
      <c r="AC463" s="273"/>
      <c r="AD463" s="273"/>
      <c r="AE463" s="9"/>
      <c r="AF463" s="273"/>
      <c r="AG463" s="273"/>
      <c r="AH463" s="9"/>
      <c r="AI463" s="273"/>
      <c r="AJ463" s="273"/>
      <c r="AK463" s="9"/>
      <c r="AL463" s="273"/>
      <c r="AM463" s="273"/>
      <c r="AN463" s="9"/>
      <c r="AO463" s="273"/>
      <c r="AP463" s="273"/>
      <c r="AQ463" s="9"/>
      <c r="AR463" s="273"/>
      <c r="AS463" s="39"/>
    </row>
    <row r="464" spans="1:45" ht="12.75">
      <c r="A464" s="160"/>
      <c r="B464" s="273"/>
      <c r="C464" s="273"/>
      <c r="D464" s="273"/>
      <c r="E464" s="273"/>
      <c r="F464" s="273"/>
      <c r="G464" s="273"/>
      <c r="H464" s="273"/>
      <c r="I464" s="2"/>
      <c r="J464" s="17"/>
      <c r="K464" s="10"/>
      <c r="L464" s="10"/>
      <c r="M464" s="10"/>
      <c r="N464" s="10"/>
      <c r="O464" s="10"/>
      <c r="P464" s="10"/>
      <c r="Q464" s="10"/>
      <c r="R464" s="2"/>
      <c r="S464" s="273"/>
      <c r="T464" s="273"/>
      <c r="U464" s="273"/>
      <c r="V464" s="9"/>
      <c r="W464" s="273"/>
      <c r="X464" s="273"/>
      <c r="Y464" s="9"/>
      <c r="Z464" s="273"/>
      <c r="AA464" s="273"/>
      <c r="AB464" s="9"/>
      <c r="AC464" s="273"/>
      <c r="AD464" s="273"/>
      <c r="AE464" s="9"/>
      <c r="AF464" s="273"/>
      <c r="AG464" s="273"/>
      <c r="AH464" s="9"/>
      <c r="AI464" s="273"/>
      <c r="AJ464" s="273"/>
      <c r="AK464" s="9"/>
      <c r="AL464" s="273"/>
      <c r="AM464" s="273"/>
      <c r="AN464" s="9"/>
      <c r="AO464" s="273"/>
      <c r="AP464" s="273"/>
      <c r="AQ464" s="9"/>
      <c r="AR464" s="273"/>
      <c r="AS464" s="39"/>
    </row>
    <row r="465" spans="1:45" ht="12.75">
      <c r="A465" s="160"/>
      <c r="B465" s="273"/>
      <c r="C465" s="273"/>
      <c r="D465" s="273"/>
      <c r="E465" s="273"/>
      <c r="F465" s="273"/>
      <c r="G465" s="273"/>
      <c r="H465" s="273"/>
      <c r="I465" s="2"/>
      <c r="J465" s="17"/>
      <c r="K465" s="10"/>
      <c r="L465" s="10"/>
      <c r="M465" s="10"/>
      <c r="N465" s="10"/>
      <c r="O465" s="10"/>
      <c r="P465" s="10"/>
      <c r="Q465" s="10"/>
      <c r="R465" s="2"/>
      <c r="S465" s="273"/>
      <c r="T465" s="273"/>
      <c r="U465" s="273"/>
      <c r="V465" s="9"/>
      <c r="W465" s="273"/>
      <c r="X465" s="273"/>
      <c r="Y465" s="9"/>
      <c r="Z465" s="273"/>
      <c r="AA465" s="273"/>
      <c r="AB465" s="9"/>
      <c r="AC465" s="273"/>
      <c r="AD465" s="273"/>
      <c r="AE465" s="9"/>
      <c r="AF465" s="273"/>
      <c r="AG465" s="273"/>
      <c r="AH465" s="9"/>
      <c r="AI465" s="273"/>
      <c r="AJ465" s="273"/>
      <c r="AK465" s="9"/>
      <c r="AL465" s="273"/>
      <c r="AM465" s="273"/>
      <c r="AN465" s="9"/>
      <c r="AO465" s="273"/>
      <c r="AP465" s="273"/>
      <c r="AQ465" s="9"/>
      <c r="AR465" s="273"/>
      <c r="AS465" s="39"/>
    </row>
    <row r="466" spans="1:45" ht="12.75">
      <c r="A466" s="160"/>
      <c r="B466" s="273"/>
      <c r="C466" s="273"/>
      <c r="D466" s="273"/>
      <c r="E466" s="273"/>
      <c r="F466" s="273"/>
      <c r="G466" s="273"/>
      <c r="H466" s="273"/>
      <c r="I466" s="2"/>
      <c r="J466" s="17"/>
      <c r="K466" s="10"/>
      <c r="L466" s="10"/>
      <c r="M466" s="10"/>
      <c r="N466" s="10"/>
      <c r="O466" s="10"/>
      <c r="P466" s="10"/>
      <c r="Q466" s="10"/>
      <c r="R466" s="2"/>
      <c r="S466" s="273"/>
      <c r="T466" s="273"/>
      <c r="U466" s="273"/>
      <c r="V466" s="9"/>
      <c r="W466" s="273"/>
      <c r="X466" s="273"/>
      <c r="Y466" s="9"/>
      <c r="Z466" s="273"/>
      <c r="AA466" s="273"/>
      <c r="AB466" s="9"/>
      <c r="AC466" s="273"/>
      <c r="AD466" s="273"/>
      <c r="AE466" s="9"/>
      <c r="AF466" s="273"/>
      <c r="AG466" s="273"/>
      <c r="AH466" s="9"/>
      <c r="AI466" s="273"/>
      <c r="AJ466" s="273"/>
      <c r="AK466" s="9"/>
      <c r="AL466" s="273"/>
      <c r="AM466" s="273"/>
      <c r="AN466" s="9"/>
      <c r="AO466" s="273"/>
      <c r="AP466" s="273"/>
      <c r="AQ466" s="9"/>
      <c r="AR466" s="273"/>
      <c r="AS466" s="39"/>
    </row>
    <row r="467" spans="1:45" ht="12.75">
      <c r="A467" s="160"/>
      <c r="B467" s="273"/>
      <c r="C467" s="273"/>
      <c r="D467" s="273"/>
      <c r="E467" s="273"/>
      <c r="F467" s="273"/>
      <c r="G467" s="273"/>
      <c r="H467" s="273"/>
      <c r="I467" s="2"/>
      <c r="J467" s="17"/>
      <c r="K467" s="10"/>
      <c r="L467" s="10"/>
      <c r="M467" s="10"/>
      <c r="N467" s="10"/>
      <c r="O467" s="10"/>
      <c r="P467" s="10"/>
      <c r="Q467" s="10"/>
      <c r="R467" s="2"/>
      <c r="S467" s="273"/>
      <c r="T467" s="273"/>
      <c r="U467" s="273"/>
      <c r="V467" s="9"/>
      <c r="W467" s="273"/>
      <c r="X467" s="273"/>
      <c r="Y467" s="9"/>
      <c r="Z467" s="273"/>
      <c r="AA467" s="273"/>
      <c r="AB467" s="9"/>
      <c r="AC467" s="273"/>
      <c r="AD467" s="273"/>
      <c r="AE467" s="9"/>
      <c r="AF467" s="273"/>
      <c r="AG467" s="273"/>
      <c r="AH467" s="9"/>
      <c r="AI467" s="273"/>
      <c r="AJ467" s="273"/>
      <c r="AK467" s="9"/>
      <c r="AL467" s="273"/>
      <c r="AM467" s="273"/>
      <c r="AN467" s="9"/>
      <c r="AO467" s="273"/>
      <c r="AP467" s="273"/>
      <c r="AQ467" s="9"/>
      <c r="AR467" s="273"/>
      <c r="AS467" s="39"/>
    </row>
    <row r="468" spans="1:45" ht="12.75">
      <c r="A468" s="160"/>
      <c r="B468" s="273"/>
      <c r="C468" s="273"/>
      <c r="D468" s="273"/>
      <c r="E468" s="273"/>
      <c r="F468" s="273"/>
      <c r="G468" s="273"/>
      <c r="H468" s="273"/>
      <c r="I468" s="2"/>
      <c r="J468" s="17"/>
      <c r="K468" s="10"/>
      <c r="L468" s="10"/>
      <c r="M468" s="10"/>
      <c r="N468" s="10"/>
      <c r="O468" s="10"/>
      <c r="P468" s="10"/>
      <c r="Q468" s="10"/>
      <c r="R468" s="2"/>
      <c r="S468" s="273"/>
      <c r="T468" s="273"/>
      <c r="U468" s="273"/>
      <c r="V468" s="9"/>
      <c r="W468" s="273"/>
      <c r="X468" s="273"/>
      <c r="Y468" s="9"/>
      <c r="Z468" s="273"/>
      <c r="AA468" s="273"/>
      <c r="AB468" s="9"/>
      <c r="AC468" s="273"/>
      <c r="AD468" s="273"/>
      <c r="AE468" s="9"/>
      <c r="AF468" s="273"/>
      <c r="AG468" s="273"/>
      <c r="AH468" s="9"/>
      <c r="AI468" s="273"/>
      <c r="AJ468" s="273"/>
      <c r="AK468" s="9"/>
      <c r="AL468" s="273"/>
      <c r="AM468" s="273"/>
      <c r="AN468" s="9"/>
      <c r="AO468" s="273"/>
      <c r="AP468" s="273"/>
      <c r="AQ468" s="9"/>
      <c r="AR468" s="273"/>
      <c r="AS468" s="39"/>
    </row>
    <row r="469" spans="1:45" ht="12.75">
      <c r="A469" s="160"/>
      <c r="B469" s="273"/>
      <c r="C469" s="273"/>
      <c r="D469" s="273"/>
      <c r="E469" s="273"/>
      <c r="F469" s="273"/>
      <c r="G469" s="273"/>
      <c r="H469" s="273"/>
      <c r="I469" s="2"/>
      <c r="J469" s="17"/>
      <c r="K469" s="10"/>
      <c r="L469" s="10"/>
      <c r="M469" s="10"/>
      <c r="N469" s="10"/>
      <c r="O469" s="10"/>
      <c r="P469" s="10"/>
      <c r="Q469" s="10"/>
      <c r="R469" s="2"/>
      <c r="S469" s="273"/>
      <c r="T469" s="273"/>
      <c r="U469" s="273"/>
      <c r="V469" s="9"/>
      <c r="W469" s="273"/>
      <c r="X469" s="273"/>
      <c r="Y469" s="9"/>
      <c r="Z469" s="273"/>
      <c r="AA469" s="273"/>
      <c r="AB469" s="9"/>
      <c r="AC469" s="273"/>
      <c r="AD469" s="273"/>
      <c r="AE469" s="9"/>
      <c r="AF469" s="273"/>
      <c r="AG469" s="273"/>
      <c r="AH469" s="9"/>
      <c r="AI469" s="273"/>
      <c r="AJ469" s="273"/>
      <c r="AK469" s="9"/>
      <c r="AL469" s="273"/>
      <c r="AM469" s="273"/>
      <c r="AN469" s="9"/>
      <c r="AO469" s="273"/>
      <c r="AP469" s="273"/>
      <c r="AQ469" s="9"/>
      <c r="AR469" s="273"/>
      <c r="AS469" s="39"/>
    </row>
    <row r="470" spans="1:45" ht="12.75">
      <c r="A470" s="160"/>
      <c r="B470" s="273"/>
      <c r="C470" s="273"/>
      <c r="D470" s="273"/>
      <c r="E470" s="273"/>
      <c r="F470" s="273"/>
      <c r="G470" s="273"/>
      <c r="H470" s="273"/>
      <c r="I470" s="2"/>
      <c r="J470" s="17"/>
      <c r="K470" s="10"/>
      <c r="L470" s="10"/>
      <c r="M470" s="10"/>
      <c r="N470" s="10"/>
      <c r="O470" s="10"/>
      <c r="P470" s="10"/>
      <c r="Q470" s="10"/>
      <c r="R470" s="2"/>
      <c r="S470" s="273"/>
      <c r="T470" s="273"/>
      <c r="U470" s="273"/>
      <c r="V470" s="9"/>
      <c r="W470" s="273"/>
      <c r="X470" s="273"/>
      <c r="Y470" s="9"/>
      <c r="Z470" s="273"/>
      <c r="AA470" s="273"/>
      <c r="AB470" s="9"/>
      <c r="AC470" s="273"/>
      <c r="AD470" s="273"/>
      <c r="AE470" s="9"/>
      <c r="AF470" s="273"/>
      <c r="AG470" s="273"/>
      <c r="AH470" s="9"/>
      <c r="AI470" s="273"/>
      <c r="AJ470" s="273"/>
      <c r="AK470" s="9"/>
      <c r="AL470" s="273"/>
      <c r="AM470" s="273"/>
      <c r="AN470" s="9"/>
      <c r="AO470" s="273"/>
      <c r="AP470" s="273"/>
      <c r="AQ470" s="9"/>
      <c r="AR470" s="273"/>
      <c r="AS470" s="39"/>
    </row>
    <row r="471" spans="1:45" ht="12.75">
      <c r="A471" s="160"/>
      <c r="B471" s="273"/>
      <c r="C471" s="273"/>
      <c r="D471" s="273"/>
      <c r="E471" s="273"/>
      <c r="F471" s="273"/>
      <c r="G471" s="273"/>
      <c r="H471" s="273"/>
      <c r="I471" s="2"/>
      <c r="J471" s="17"/>
      <c r="K471" s="10"/>
      <c r="L471" s="10"/>
      <c r="M471" s="10"/>
      <c r="N471" s="10"/>
      <c r="O471" s="10"/>
      <c r="P471" s="10"/>
      <c r="Q471" s="10"/>
      <c r="R471" s="2"/>
      <c r="S471" s="273"/>
      <c r="T471" s="273"/>
      <c r="U471" s="273"/>
      <c r="V471" s="9"/>
      <c r="W471" s="273"/>
      <c r="X471" s="273"/>
      <c r="Y471" s="9"/>
      <c r="Z471" s="273"/>
      <c r="AA471" s="273"/>
      <c r="AB471" s="9"/>
      <c r="AC471" s="273"/>
      <c r="AD471" s="273"/>
      <c r="AE471" s="9"/>
      <c r="AF471" s="273"/>
      <c r="AG471" s="273"/>
      <c r="AH471" s="9"/>
      <c r="AI471" s="273"/>
      <c r="AJ471" s="273"/>
      <c r="AK471" s="9"/>
      <c r="AL471" s="273"/>
      <c r="AM471" s="273"/>
      <c r="AN471" s="9"/>
      <c r="AO471" s="273"/>
      <c r="AP471" s="273"/>
      <c r="AQ471" s="9"/>
      <c r="AR471" s="273"/>
      <c r="AS471" s="39"/>
    </row>
    <row r="472" spans="1:45" ht="12.75">
      <c r="A472" s="160"/>
      <c r="B472" s="273"/>
      <c r="C472" s="273"/>
      <c r="D472" s="273"/>
      <c r="E472" s="273"/>
      <c r="F472" s="273"/>
      <c r="G472" s="273"/>
      <c r="H472" s="273"/>
      <c r="I472" s="2"/>
      <c r="J472" s="17"/>
      <c r="K472" s="10"/>
      <c r="L472" s="10"/>
      <c r="M472" s="10"/>
      <c r="N472" s="10"/>
      <c r="O472" s="10"/>
      <c r="P472" s="10"/>
      <c r="Q472" s="10"/>
      <c r="R472" s="2"/>
      <c r="S472" s="273"/>
      <c r="T472" s="273"/>
      <c r="U472" s="273"/>
      <c r="V472" s="9"/>
      <c r="W472" s="273"/>
      <c r="X472" s="273"/>
      <c r="Y472" s="9"/>
      <c r="Z472" s="273"/>
      <c r="AA472" s="273"/>
      <c r="AB472" s="9"/>
      <c r="AC472" s="273"/>
      <c r="AD472" s="273"/>
      <c r="AE472" s="9"/>
      <c r="AF472" s="273"/>
      <c r="AG472" s="273"/>
      <c r="AH472" s="9"/>
      <c r="AI472" s="273"/>
      <c r="AJ472" s="273"/>
      <c r="AK472" s="9"/>
      <c r="AL472" s="273"/>
      <c r="AM472" s="273"/>
      <c r="AN472" s="9"/>
      <c r="AO472" s="273"/>
      <c r="AP472" s="273"/>
      <c r="AQ472" s="9"/>
      <c r="AR472" s="273"/>
      <c r="AS472" s="39"/>
    </row>
    <row r="473" spans="1:45" ht="12.75">
      <c r="A473" s="160"/>
      <c r="B473" s="273"/>
      <c r="C473" s="273"/>
      <c r="D473" s="273"/>
      <c r="E473" s="273"/>
      <c r="F473" s="273"/>
      <c r="G473" s="273"/>
      <c r="H473" s="273"/>
      <c r="I473" s="2"/>
      <c r="J473" s="17"/>
      <c r="K473" s="10"/>
      <c r="L473" s="10"/>
      <c r="M473" s="10"/>
      <c r="N473" s="10"/>
      <c r="O473" s="10"/>
      <c r="P473" s="10"/>
      <c r="Q473" s="10"/>
      <c r="R473" s="2"/>
      <c r="S473" s="273"/>
      <c r="T473" s="273"/>
      <c r="U473" s="273"/>
      <c r="V473" s="9"/>
      <c r="W473" s="273"/>
      <c r="X473" s="273"/>
      <c r="Y473" s="9"/>
      <c r="Z473" s="273"/>
      <c r="AA473" s="273"/>
      <c r="AB473" s="9"/>
      <c r="AC473" s="273"/>
      <c r="AD473" s="273"/>
      <c r="AE473" s="9"/>
      <c r="AF473" s="273"/>
      <c r="AG473" s="273"/>
      <c r="AH473" s="9"/>
      <c r="AI473" s="273"/>
      <c r="AJ473" s="273"/>
      <c r="AK473" s="9"/>
      <c r="AL473" s="273"/>
      <c r="AM473" s="273"/>
      <c r="AN473" s="9"/>
      <c r="AO473" s="273"/>
      <c r="AP473" s="273"/>
      <c r="AQ473" s="9"/>
      <c r="AR473" s="273"/>
      <c r="AS473" s="39"/>
    </row>
    <row r="474" spans="1:45" ht="12.75">
      <c r="A474" s="160"/>
      <c r="B474" s="273"/>
      <c r="C474" s="273"/>
      <c r="D474" s="273"/>
      <c r="E474" s="273"/>
      <c r="F474" s="273"/>
      <c r="G474" s="273"/>
      <c r="H474" s="273"/>
      <c r="I474" s="2"/>
      <c r="J474" s="17"/>
      <c r="K474" s="10"/>
      <c r="L474" s="10"/>
      <c r="M474" s="10"/>
      <c r="N474" s="10"/>
      <c r="O474" s="10"/>
      <c r="P474" s="10"/>
      <c r="Q474" s="10"/>
      <c r="R474" s="2"/>
      <c r="S474" s="273"/>
      <c r="T474" s="273"/>
      <c r="U474" s="273"/>
      <c r="V474" s="9"/>
      <c r="W474" s="273"/>
      <c r="X474" s="273"/>
      <c r="Y474" s="9"/>
      <c r="Z474" s="273"/>
      <c r="AA474" s="273"/>
      <c r="AB474" s="9"/>
      <c r="AC474" s="273"/>
      <c r="AD474" s="273"/>
      <c r="AE474" s="9"/>
      <c r="AF474" s="273"/>
      <c r="AG474" s="273"/>
      <c r="AH474" s="9"/>
      <c r="AI474" s="273"/>
      <c r="AJ474" s="273"/>
      <c r="AK474" s="9"/>
      <c r="AL474" s="273"/>
      <c r="AM474" s="273"/>
      <c r="AN474" s="9"/>
      <c r="AO474" s="273"/>
      <c r="AP474" s="273"/>
      <c r="AQ474" s="9"/>
      <c r="AR474" s="273"/>
      <c r="AS474" s="39"/>
    </row>
    <row r="475" spans="1:45" ht="12.75">
      <c r="A475" s="160"/>
      <c r="B475" s="273"/>
      <c r="C475" s="273"/>
      <c r="D475" s="273"/>
      <c r="E475" s="273"/>
      <c r="F475" s="273"/>
      <c r="G475" s="273"/>
      <c r="H475" s="273"/>
      <c r="I475" s="2"/>
      <c r="J475" s="17"/>
      <c r="K475" s="10"/>
      <c r="L475" s="10"/>
      <c r="M475" s="10"/>
      <c r="N475" s="10"/>
      <c r="O475" s="10"/>
      <c r="P475" s="10"/>
      <c r="Q475" s="10"/>
      <c r="R475" s="2"/>
      <c r="S475" s="273"/>
      <c r="T475" s="273"/>
      <c r="U475" s="273"/>
      <c r="V475" s="9"/>
      <c r="W475" s="273"/>
      <c r="X475" s="273"/>
      <c r="Y475" s="9"/>
      <c r="Z475" s="273"/>
      <c r="AA475" s="273"/>
      <c r="AB475" s="9"/>
      <c r="AC475" s="273"/>
      <c r="AD475" s="273"/>
      <c r="AE475" s="9"/>
      <c r="AF475" s="273"/>
      <c r="AG475" s="273"/>
      <c r="AH475" s="9"/>
      <c r="AI475" s="273"/>
      <c r="AJ475" s="273"/>
      <c r="AK475" s="9"/>
      <c r="AL475" s="273"/>
      <c r="AM475" s="273"/>
      <c r="AN475" s="9"/>
      <c r="AO475" s="273"/>
      <c r="AP475" s="273"/>
      <c r="AQ475" s="9"/>
      <c r="AR475" s="273"/>
      <c r="AS475" s="39"/>
    </row>
    <row r="476" spans="1:45" ht="12.75">
      <c r="A476" s="160"/>
      <c r="B476" s="273"/>
      <c r="C476" s="273"/>
      <c r="D476" s="273"/>
      <c r="E476" s="273"/>
      <c r="F476" s="273"/>
      <c r="G476" s="273"/>
      <c r="H476" s="273"/>
      <c r="I476" s="2"/>
      <c r="J476" s="17"/>
      <c r="K476" s="10"/>
      <c r="L476" s="10"/>
      <c r="M476" s="10"/>
      <c r="N476" s="10"/>
      <c r="O476" s="10"/>
      <c r="P476" s="10"/>
      <c r="Q476" s="10"/>
      <c r="R476" s="2"/>
      <c r="S476" s="273"/>
      <c r="T476" s="273"/>
      <c r="U476" s="273"/>
      <c r="V476" s="9"/>
      <c r="W476" s="273"/>
      <c r="X476" s="273"/>
      <c r="Y476" s="9"/>
      <c r="Z476" s="273"/>
      <c r="AA476" s="273"/>
      <c r="AB476" s="9"/>
      <c r="AC476" s="273"/>
      <c r="AD476" s="273"/>
      <c r="AE476" s="9"/>
      <c r="AF476" s="273"/>
      <c r="AG476" s="273"/>
      <c r="AH476" s="9"/>
      <c r="AI476" s="273"/>
      <c r="AJ476" s="273"/>
      <c r="AK476" s="9"/>
      <c r="AL476" s="273"/>
      <c r="AM476" s="273"/>
      <c r="AN476" s="9"/>
      <c r="AO476" s="273"/>
      <c r="AP476" s="273"/>
      <c r="AQ476" s="9"/>
      <c r="AR476" s="273"/>
      <c r="AS476" s="39"/>
    </row>
    <row r="477" spans="1:45" ht="12.75">
      <c r="A477" s="160"/>
      <c r="B477" s="273"/>
      <c r="C477" s="273"/>
      <c r="D477" s="273"/>
      <c r="E477" s="273"/>
      <c r="F477" s="273"/>
      <c r="G477" s="273"/>
      <c r="H477" s="273"/>
      <c r="I477" s="2"/>
      <c r="J477" s="17"/>
      <c r="K477" s="10"/>
      <c r="L477" s="10"/>
      <c r="M477" s="10"/>
      <c r="N477" s="10"/>
      <c r="O477" s="10"/>
      <c r="P477" s="10"/>
      <c r="Q477" s="10"/>
      <c r="R477" s="2"/>
      <c r="S477" s="273"/>
      <c r="T477" s="273"/>
      <c r="U477" s="273"/>
      <c r="V477" s="9"/>
      <c r="W477" s="273"/>
      <c r="X477" s="273"/>
      <c r="Y477" s="9"/>
      <c r="Z477" s="273"/>
      <c r="AA477" s="273"/>
      <c r="AB477" s="9"/>
      <c r="AC477" s="273"/>
      <c r="AD477" s="273"/>
      <c r="AE477" s="9"/>
      <c r="AF477" s="273"/>
      <c r="AG477" s="273"/>
      <c r="AH477" s="9"/>
      <c r="AI477" s="273"/>
      <c r="AJ477" s="273"/>
      <c r="AK477" s="9"/>
      <c r="AL477" s="273"/>
      <c r="AM477" s="273"/>
      <c r="AN477" s="9"/>
      <c r="AO477" s="273"/>
      <c r="AP477" s="273"/>
      <c r="AQ477" s="9"/>
      <c r="AR477" s="273"/>
      <c r="AS477" s="39"/>
    </row>
    <row r="478" spans="1:45" ht="12.75">
      <c r="A478" s="160"/>
      <c r="B478" s="273"/>
      <c r="C478" s="273"/>
      <c r="D478" s="273"/>
      <c r="E478" s="273"/>
      <c r="F478" s="273"/>
      <c r="G478" s="273"/>
      <c r="H478" s="273"/>
      <c r="I478" s="2"/>
      <c r="J478" s="17"/>
      <c r="K478" s="10"/>
      <c r="L478" s="10"/>
      <c r="M478" s="10"/>
      <c r="N478" s="10"/>
      <c r="O478" s="10"/>
      <c r="P478" s="10"/>
      <c r="Q478" s="10"/>
      <c r="R478" s="2"/>
      <c r="S478" s="273"/>
      <c r="T478" s="273"/>
      <c r="U478" s="273"/>
      <c r="V478" s="9"/>
      <c r="W478" s="273"/>
      <c r="X478" s="273"/>
      <c r="Y478" s="9"/>
      <c r="Z478" s="273"/>
      <c r="AA478" s="273"/>
      <c r="AB478" s="9"/>
      <c r="AC478" s="273"/>
      <c r="AD478" s="273"/>
      <c r="AE478" s="9"/>
      <c r="AF478" s="273"/>
      <c r="AG478" s="273"/>
      <c r="AH478" s="9"/>
      <c r="AI478" s="273"/>
      <c r="AJ478" s="273"/>
      <c r="AK478" s="9"/>
      <c r="AL478" s="273"/>
      <c r="AM478" s="273"/>
      <c r="AN478" s="9"/>
      <c r="AO478" s="273"/>
      <c r="AP478" s="273"/>
      <c r="AQ478" s="9"/>
      <c r="AR478" s="273"/>
      <c r="AS478" s="39"/>
    </row>
    <row r="479" spans="1:45" ht="12.75">
      <c r="A479" s="160"/>
      <c r="B479" s="273"/>
      <c r="C479" s="273"/>
      <c r="D479" s="273"/>
      <c r="E479" s="273"/>
      <c r="F479" s="273"/>
      <c r="G479" s="273"/>
      <c r="H479" s="273"/>
      <c r="I479" s="2"/>
      <c r="J479" s="17"/>
      <c r="K479" s="10"/>
      <c r="L479" s="10"/>
      <c r="M479" s="10"/>
      <c r="N479" s="10"/>
      <c r="O479" s="10"/>
      <c r="P479" s="10"/>
      <c r="Q479" s="10"/>
      <c r="R479" s="2"/>
      <c r="S479" s="273"/>
      <c r="T479" s="273"/>
      <c r="U479" s="273"/>
      <c r="V479" s="9"/>
      <c r="W479" s="273"/>
      <c r="X479" s="273"/>
      <c r="Y479" s="9"/>
      <c r="Z479" s="273"/>
      <c r="AA479" s="273"/>
      <c r="AB479" s="9"/>
      <c r="AC479" s="273"/>
      <c r="AD479" s="273"/>
      <c r="AE479" s="9"/>
      <c r="AF479" s="273"/>
      <c r="AG479" s="273"/>
      <c r="AH479" s="9"/>
      <c r="AI479" s="273"/>
      <c r="AJ479" s="273"/>
      <c r="AK479" s="9"/>
      <c r="AL479" s="273"/>
      <c r="AM479" s="273"/>
      <c r="AN479" s="9"/>
      <c r="AO479" s="273"/>
      <c r="AP479" s="273"/>
      <c r="AQ479" s="9"/>
      <c r="AR479" s="273"/>
      <c r="AS479" s="39"/>
    </row>
    <row r="480" spans="1:45" ht="12.75">
      <c r="A480" s="160"/>
      <c r="B480" s="273"/>
      <c r="C480" s="273"/>
      <c r="D480" s="273"/>
      <c r="E480" s="273"/>
      <c r="F480" s="273"/>
      <c r="G480" s="273"/>
      <c r="H480" s="273"/>
      <c r="I480" s="2"/>
      <c r="J480" s="17"/>
      <c r="K480" s="10"/>
      <c r="L480" s="10"/>
      <c r="M480" s="10"/>
      <c r="N480" s="10"/>
      <c r="O480" s="10"/>
      <c r="P480" s="10"/>
      <c r="Q480" s="10"/>
      <c r="R480" s="2"/>
      <c r="S480" s="273"/>
      <c r="T480" s="273"/>
      <c r="U480" s="273"/>
      <c r="V480" s="9"/>
      <c r="W480" s="273"/>
      <c r="X480" s="273"/>
      <c r="Y480" s="9"/>
      <c r="Z480" s="273"/>
      <c r="AA480" s="273"/>
      <c r="AB480" s="9"/>
      <c r="AC480" s="273"/>
      <c r="AD480" s="273"/>
      <c r="AE480" s="9"/>
      <c r="AF480" s="273"/>
      <c r="AG480" s="273"/>
      <c r="AH480" s="9"/>
      <c r="AI480" s="273"/>
      <c r="AJ480" s="273"/>
      <c r="AK480" s="9"/>
      <c r="AL480" s="273"/>
      <c r="AM480" s="273"/>
      <c r="AN480" s="9"/>
      <c r="AO480" s="273"/>
      <c r="AP480" s="273"/>
      <c r="AQ480" s="9"/>
      <c r="AR480" s="273"/>
      <c r="AS480" s="39"/>
    </row>
    <row r="481" spans="1:45" ht="12.75">
      <c r="A481" s="160"/>
      <c r="B481" s="273"/>
      <c r="C481" s="273"/>
      <c r="D481" s="273"/>
      <c r="E481" s="273"/>
      <c r="F481" s="273"/>
      <c r="G481" s="273"/>
      <c r="H481" s="273"/>
      <c r="I481" s="2"/>
      <c r="J481" s="17"/>
      <c r="K481" s="10"/>
      <c r="L481" s="10"/>
      <c r="M481" s="10"/>
      <c r="N481" s="10"/>
      <c r="O481" s="10"/>
      <c r="P481" s="10"/>
      <c r="Q481" s="10"/>
      <c r="R481" s="2"/>
      <c r="S481" s="273"/>
      <c r="T481" s="273"/>
      <c r="U481" s="273"/>
      <c r="V481" s="9"/>
      <c r="W481" s="273"/>
      <c r="X481" s="273"/>
      <c r="Y481" s="9"/>
      <c r="Z481" s="273"/>
      <c r="AA481" s="273"/>
      <c r="AB481" s="9"/>
      <c r="AC481" s="273"/>
      <c r="AD481" s="273"/>
      <c r="AE481" s="9"/>
      <c r="AF481" s="273"/>
      <c r="AG481" s="273"/>
      <c r="AH481" s="9"/>
      <c r="AI481" s="273"/>
      <c r="AJ481" s="273"/>
      <c r="AK481" s="9"/>
      <c r="AL481" s="273"/>
      <c r="AM481" s="273"/>
      <c r="AN481" s="9"/>
      <c r="AO481" s="273"/>
      <c r="AP481" s="273"/>
      <c r="AQ481" s="9"/>
      <c r="AR481" s="273"/>
      <c r="AS481" s="39"/>
    </row>
    <row r="482" spans="1:45" ht="12.75">
      <c r="A482" s="160"/>
      <c r="B482" s="273"/>
      <c r="C482" s="273"/>
      <c r="D482" s="273"/>
      <c r="E482" s="273"/>
      <c r="F482" s="273"/>
      <c r="G482" s="273"/>
      <c r="H482" s="273"/>
      <c r="I482" s="2"/>
      <c r="J482" s="17"/>
      <c r="K482" s="10"/>
      <c r="L482" s="10"/>
      <c r="M482" s="10"/>
      <c r="N482" s="10"/>
      <c r="O482" s="10"/>
      <c r="P482" s="10"/>
      <c r="Q482" s="10"/>
      <c r="R482" s="2"/>
      <c r="S482" s="273"/>
      <c r="T482" s="273"/>
      <c r="U482" s="273"/>
      <c r="V482" s="9"/>
      <c r="W482" s="273"/>
      <c r="X482" s="273"/>
      <c r="Y482" s="9"/>
      <c r="Z482" s="273"/>
      <c r="AA482" s="273"/>
      <c r="AB482" s="9"/>
      <c r="AC482" s="273"/>
      <c r="AD482" s="273"/>
      <c r="AE482" s="9"/>
      <c r="AF482" s="273"/>
      <c r="AG482" s="273"/>
      <c r="AH482" s="9"/>
      <c r="AI482" s="273"/>
      <c r="AJ482" s="273"/>
      <c r="AK482" s="9"/>
      <c r="AL482" s="273"/>
      <c r="AM482" s="273"/>
      <c r="AN482" s="9"/>
      <c r="AO482" s="273"/>
      <c r="AP482" s="273"/>
      <c r="AQ482" s="9"/>
      <c r="AR482" s="273"/>
      <c r="AS482" s="39"/>
    </row>
    <row r="483" spans="1:45" ht="12.75">
      <c r="A483" s="160"/>
      <c r="B483" s="273"/>
      <c r="C483" s="273"/>
      <c r="D483" s="273"/>
      <c r="E483" s="273"/>
      <c r="F483" s="273"/>
      <c r="G483" s="273"/>
      <c r="H483" s="273"/>
      <c r="I483" s="2"/>
      <c r="J483" s="17"/>
      <c r="K483" s="10"/>
      <c r="L483" s="10"/>
      <c r="M483" s="10"/>
      <c r="N483" s="10"/>
      <c r="O483" s="10"/>
      <c r="P483" s="10"/>
      <c r="Q483" s="10"/>
      <c r="R483" s="2"/>
      <c r="S483" s="273"/>
      <c r="T483" s="273"/>
      <c r="U483" s="273"/>
      <c r="V483" s="9"/>
      <c r="W483" s="273"/>
      <c r="X483" s="273"/>
      <c r="Y483" s="9"/>
      <c r="Z483" s="273"/>
      <c r="AA483" s="273"/>
      <c r="AB483" s="9"/>
      <c r="AC483" s="273"/>
      <c r="AD483" s="273"/>
      <c r="AE483" s="9"/>
      <c r="AF483" s="273"/>
      <c r="AG483" s="273"/>
      <c r="AH483" s="9"/>
      <c r="AI483" s="273"/>
      <c r="AJ483" s="273"/>
      <c r="AK483" s="9"/>
      <c r="AL483" s="273"/>
      <c r="AM483" s="273"/>
      <c r="AN483" s="9"/>
      <c r="AO483" s="273"/>
      <c r="AP483" s="273"/>
      <c r="AQ483" s="9"/>
      <c r="AR483" s="273"/>
      <c r="AS483" s="39"/>
    </row>
    <row r="484" spans="1:45" ht="12.75">
      <c r="A484" s="160"/>
      <c r="B484" s="273"/>
      <c r="C484" s="273"/>
      <c r="D484" s="273"/>
      <c r="E484" s="273"/>
      <c r="F484" s="273"/>
      <c r="G484" s="273"/>
      <c r="H484" s="273"/>
      <c r="I484" s="2"/>
      <c r="J484" s="17"/>
      <c r="K484" s="10"/>
      <c r="L484" s="10"/>
      <c r="M484" s="10"/>
      <c r="N484" s="10"/>
      <c r="O484" s="10"/>
      <c r="P484" s="10"/>
      <c r="Q484" s="10"/>
      <c r="R484" s="2"/>
      <c r="S484" s="273"/>
      <c r="T484" s="273"/>
      <c r="U484" s="273"/>
      <c r="V484" s="9"/>
      <c r="W484" s="273"/>
      <c r="X484" s="273"/>
      <c r="Y484" s="9"/>
      <c r="Z484" s="273"/>
      <c r="AA484" s="273"/>
      <c r="AB484" s="9"/>
      <c r="AC484" s="273"/>
      <c r="AD484" s="273"/>
      <c r="AE484" s="9"/>
      <c r="AF484" s="273"/>
      <c r="AG484" s="273"/>
      <c r="AH484" s="9"/>
      <c r="AI484" s="273"/>
      <c r="AJ484" s="273"/>
      <c r="AK484" s="9"/>
      <c r="AL484" s="273"/>
      <c r="AM484" s="273"/>
      <c r="AN484" s="9"/>
      <c r="AO484" s="273"/>
      <c r="AP484" s="273"/>
      <c r="AQ484" s="9"/>
      <c r="AR484" s="273"/>
      <c r="AS484" s="39"/>
    </row>
    <row r="485" spans="1:45" ht="12.75">
      <c r="A485" s="160"/>
      <c r="B485" s="273"/>
      <c r="C485" s="273"/>
      <c r="D485" s="273"/>
      <c r="E485" s="273"/>
      <c r="F485" s="273"/>
      <c r="G485" s="273"/>
      <c r="H485" s="273"/>
      <c r="I485" s="2"/>
      <c r="J485" s="17"/>
      <c r="K485" s="10"/>
      <c r="L485" s="10"/>
      <c r="M485" s="10"/>
      <c r="N485" s="10"/>
      <c r="O485" s="10"/>
      <c r="P485" s="10"/>
      <c r="Q485" s="10"/>
      <c r="R485" s="2"/>
      <c r="S485" s="273"/>
      <c r="T485" s="273"/>
      <c r="U485" s="273"/>
      <c r="V485" s="9"/>
      <c r="W485" s="273"/>
      <c r="X485" s="273"/>
      <c r="Y485" s="9"/>
      <c r="Z485" s="273"/>
      <c r="AA485" s="273"/>
      <c r="AB485" s="9"/>
      <c r="AC485" s="273"/>
      <c r="AD485" s="273"/>
      <c r="AE485" s="9"/>
      <c r="AF485" s="273"/>
      <c r="AG485" s="273"/>
      <c r="AH485" s="9"/>
      <c r="AI485" s="273"/>
      <c r="AJ485" s="273"/>
      <c r="AK485" s="9"/>
      <c r="AL485" s="273"/>
      <c r="AM485" s="273"/>
      <c r="AN485" s="9"/>
      <c r="AO485" s="273"/>
      <c r="AP485" s="273"/>
      <c r="AQ485" s="9"/>
      <c r="AR485" s="273"/>
      <c r="AS485" s="39"/>
    </row>
    <row r="486" spans="1:45" ht="12.75">
      <c r="A486" s="160"/>
      <c r="B486" s="273"/>
      <c r="C486" s="273"/>
      <c r="D486" s="273"/>
      <c r="E486" s="273"/>
      <c r="F486" s="273"/>
      <c r="G486" s="273"/>
      <c r="H486" s="273"/>
      <c r="I486" s="2"/>
      <c r="J486" s="17"/>
      <c r="K486" s="10"/>
      <c r="L486" s="10"/>
      <c r="M486" s="10"/>
      <c r="N486" s="10"/>
      <c r="O486" s="10"/>
      <c r="P486" s="10"/>
      <c r="Q486" s="10"/>
      <c r="R486" s="2"/>
      <c r="S486" s="273"/>
      <c r="T486" s="273"/>
      <c r="U486" s="273"/>
      <c r="V486" s="9"/>
      <c r="W486" s="273"/>
      <c r="X486" s="273"/>
      <c r="Y486" s="9"/>
      <c r="Z486" s="273"/>
      <c r="AA486" s="273"/>
      <c r="AB486" s="9"/>
      <c r="AC486" s="273"/>
      <c r="AD486" s="273"/>
      <c r="AE486" s="9"/>
      <c r="AF486" s="273"/>
      <c r="AG486" s="273"/>
      <c r="AH486" s="9"/>
      <c r="AI486" s="273"/>
      <c r="AJ486" s="273"/>
      <c r="AK486" s="9"/>
      <c r="AL486" s="273"/>
      <c r="AM486" s="273"/>
      <c r="AN486" s="9"/>
      <c r="AO486" s="273"/>
      <c r="AP486" s="273"/>
      <c r="AQ486" s="9"/>
      <c r="AR486" s="273"/>
      <c r="AS486" s="39"/>
    </row>
    <row r="487" spans="1:45" ht="12.75">
      <c r="A487" s="160"/>
      <c r="B487" s="273"/>
      <c r="C487" s="273"/>
      <c r="D487" s="273"/>
      <c r="E487" s="273"/>
      <c r="F487" s="273"/>
      <c r="G487" s="273"/>
      <c r="H487" s="273"/>
      <c r="I487" s="2"/>
      <c r="J487" s="17"/>
      <c r="K487" s="10"/>
      <c r="L487" s="10"/>
      <c r="M487" s="10"/>
      <c r="N487" s="10"/>
      <c r="O487" s="10"/>
      <c r="P487" s="10"/>
      <c r="Q487" s="10"/>
      <c r="R487" s="2"/>
      <c r="S487" s="273"/>
      <c r="T487" s="273"/>
      <c r="U487" s="273"/>
      <c r="V487" s="9"/>
      <c r="W487" s="273"/>
      <c r="X487" s="273"/>
      <c r="Y487" s="9"/>
      <c r="Z487" s="273"/>
      <c r="AA487" s="273"/>
      <c r="AB487" s="9"/>
      <c r="AC487" s="273"/>
      <c r="AD487" s="273"/>
      <c r="AE487" s="9"/>
      <c r="AF487" s="273"/>
      <c r="AG487" s="273"/>
      <c r="AH487" s="9"/>
      <c r="AI487" s="273"/>
      <c r="AJ487" s="273"/>
      <c r="AK487" s="9"/>
      <c r="AL487" s="273"/>
      <c r="AM487" s="273"/>
      <c r="AN487" s="9"/>
      <c r="AO487" s="273"/>
      <c r="AP487" s="273"/>
      <c r="AQ487" s="9"/>
      <c r="AR487" s="273"/>
      <c r="AS487" s="39"/>
    </row>
    <row r="488" spans="1:45" ht="12.75">
      <c r="A488" s="160"/>
      <c r="B488" s="273"/>
      <c r="C488" s="273"/>
      <c r="D488" s="273"/>
      <c r="E488" s="273"/>
      <c r="F488" s="273"/>
      <c r="G488" s="273"/>
      <c r="H488" s="273"/>
      <c r="I488" s="2"/>
      <c r="J488" s="17"/>
      <c r="K488" s="10"/>
      <c r="L488" s="10"/>
      <c r="M488" s="10"/>
      <c r="N488" s="10"/>
      <c r="O488" s="10"/>
      <c r="P488" s="10"/>
      <c r="Q488" s="10"/>
      <c r="R488" s="2"/>
      <c r="S488" s="273"/>
      <c r="T488" s="273"/>
      <c r="U488" s="273"/>
      <c r="V488" s="9"/>
      <c r="W488" s="273"/>
      <c r="X488" s="273"/>
      <c r="Y488" s="9"/>
      <c r="Z488" s="273"/>
      <c r="AA488" s="273"/>
      <c r="AB488" s="9"/>
      <c r="AC488" s="273"/>
      <c r="AD488" s="273"/>
      <c r="AE488" s="9"/>
      <c r="AF488" s="273"/>
      <c r="AG488" s="273"/>
      <c r="AH488" s="9"/>
      <c r="AI488" s="273"/>
      <c r="AJ488" s="273"/>
      <c r="AK488" s="9"/>
      <c r="AL488" s="273"/>
      <c r="AM488" s="273"/>
      <c r="AN488" s="9"/>
      <c r="AO488" s="273"/>
      <c r="AP488" s="273"/>
      <c r="AQ488" s="9"/>
      <c r="AR488" s="273"/>
      <c r="AS488" s="39"/>
    </row>
    <row r="489" spans="1:45" ht="12.75">
      <c r="A489" s="160"/>
      <c r="B489" s="273"/>
      <c r="C489" s="273"/>
      <c r="D489" s="273"/>
      <c r="E489" s="273"/>
      <c r="F489" s="273"/>
      <c r="G489" s="273"/>
      <c r="H489" s="273"/>
      <c r="I489" s="2"/>
      <c r="J489" s="17"/>
      <c r="K489" s="10"/>
      <c r="L489" s="10"/>
      <c r="M489" s="10"/>
      <c r="N489" s="10"/>
      <c r="O489" s="10"/>
      <c r="P489" s="10"/>
      <c r="Q489" s="10"/>
      <c r="R489" s="2"/>
      <c r="S489" s="273"/>
      <c r="T489" s="273"/>
      <c r="U489" s="273"/>
      <c r="V489" s="9"/>
      <c r="W489" s="273"/>
      <c r="X489" s="273"/>
      <c r="Y489" s="9"/>
      <c r="Z489" s="273"/>
      <c r="AA489" s="273"/>
      <c r="AB489" s="9"/>
      <c r="AC489" s="273"/>
      <c r="AD489" s="273"/>
      <c r="AE489" s="9"/>
      <c r="AF489" s="273"/>
      <c r="AG489" s="273"/>
      <c r="AH489" s="9"/>
      <c r="AI489" s="273"/>
      <c r="AJ489" s="273"/>
      <c r="AK489" s="9"/>
      <c r="AL489" s="273"/>
      <c r="AM489" s="273"/>
      <c r="AN489" s="9"/>
      <c r="AO489" s="273"/>
      <c r="AP489" s="273"/>
      <c r="AQ489" s="9"/>
      <c r="AR489" s="273"/>
      <c r="AS489" s="39"/>
    </row>
    <row r="490" spans="1:45" ht="12.75">
      <c r="A490" s="160"/>
      <c r="B490" s="273"/>
      <c r="C490" s="273"/>
      <c r="D490" s="273"/>
      <c r="E490" s="273"/>
      <c r="F490" s="273"/>
      <c r="G490" s="273"/>
      <c r="H490" s="273"/>
      <c r="I490" s="2"/>
      <c r="J490" s="17"/>
      <c r="K490" s="10"/>
      <c r="L490" s="10"/>
      <c r="M490" s="10"/>
      <c r="N490" s="10"/>
      <c r="O490" s="10"/>
      <c r="P490" s="10"/>
      <c r="Q490" s="10"/>
      <c r="R490" s="2"/>
      <c r="S490" s="273"/>
      <c r="T490" s="273"/>
      <c r="U490" s="273"/>
      <c r="V490" s="9"/>
      <c r="W490" s="273"/>
      <c r="X490" s="273"/>
      <c r="Y490" s="9"/>
      <c r="Z490" s="273"/>
      <c r="AA490" s="273"/>
      <c r="AB490" s="9"/>
      <c r="AC490" s="273"/>
      <c r="AD490" s="273"/>
      <c r="AE490" s="9"/>
      <c r="AF490" s="273"/>
      <c r="AG490" s="273"/>
      <c r="AH490" s="9"/>
      <c r="AI490" s="273"/>
      <c r="AJ490" s="273"/>
      <c r="AK490" s="9"/>
      <c r="AL490" s="273"/>
      <c r="AM490" s="273"/>
      <c r="AN490" s="9"/>
      <c r="AO490" s="273"/>
      <c r="AP490" s="273"/>
      <c r="AQ490" s="9"/>
      <c r="AR490" s="273"/>
      <c r="AS490" s="39"/>
    </row>
    <row r="491" spans="1:45" ht="12.75">
      <c r="A491" s="160"/>
      <c r="B491" s="273"/>
      <c r="C491" s="273"/>
      <c r="D491" s="273"/>
      <c r="E491" s="273"/>
      <c r="F491" s="273"/>
      <c r="G491" s="273"/>
      <c r="H491" s="273"/>
      <c r="I491" s="2"/>
      <c r="J491" s="17"/>
      <c r="K491" s="10"/>
      <c r="L491" s="10"/>
      <c r="M491" s="10"/>
      <c r="N491" s="10"/>
      <c r="O491" s="10"/>
      <c r="P491" s="10"/>
      <c r="Q491" s="10"/>
      <c r="R491" s="2"/>
      <c r="S491" s="273"/>
      <c r="T491" s="273"/>
      <c r="U491" s="273"/>
      <c r="V491" s="9"/>
      <c r="W491" s="273"/>
      <c r="X491" s="273"/>
      <c r="Y491" s="9"/>
      <c r="Z491" s="273"/>
      <c r="AA491" s="273"/>
      <c r="AB491" s="9"/>
      <c r="AC491" s="273"/>
      <c r="AD491" s="273"/>
      <c r="AE491" s="9"/>
      <c r="AF491" s="273"/>
      <c r="AG491" s="273"/>
      <c r="AH491" s="9"/>
      <c r="AI491" s="273"/>
      <c r="AJ491" s="273"/>
      <c r="AK491" s="9"/>
      <c r="AL491" s="273"/>
      <c r="AM491" s="273"/>
      <c r="AN491" s="9"/>
      <c r="AO491" s="273"/>
      <c r="AP491" s="273"/>
      <c r="AQ491" s="9"/>
      <c r="AR491" s="273"/>
      <c r="AS491" s="39"/>
    </row>
    <row r="492" spans="1:45" ht="12.75">
      <c r="A492" s="160"/>
      <c r="B492" s="273"/>
      <c r="C492" s="273"/>
      <c r="D492" s="273"/>
      <c r="E492" s="273"/>
      <c r="F492" s="273"/>
      <c r="G492" s="273"/>
      <c r="H492" s="273"/>
      <c r="I492" s="2"/>
      <c r="J492" s="17"/>
      <c r="K492" s="10"/>
      <c r="L492" s="10"/>
      <c r="M492" s="10"/>
      <c r="N492" s="10"/>
      <c r="O492" s="10"/>
      <c r="P492" s="10"/>
      <c r="Q492" s="10"/>
      <c r="R492" s="2"/>
      <c r="S492" s="273"/>
      <c r="T492" s="273"/>
      <c r="U492" s="273"/>
      <c r="V492" s="9"/>
      <c r="W492" s="273"/>
      <c r="X492" s="273"/>
      <c r="Y492" s="9"/>
      <c r="Z492" s="273"/>
      <c r="AA492" s="273"/>
      <c r="AB492" s="9"/>
      <c r="AC492" s="273"/>
      <c r="AD492" s="273"/>
      <c r="AE492" s="9"/>
      <c r="AF492" s="273"/>
      <c r="AG492" s="273"/>
      <c r="AH492" s="9"/>
      <c r="AI492" s="273"/>
      <c r="AJ492" s="273"/>
      <c r="AK492" s="9"/>
      <c r="AL492" s="273"/>
      <c r="AM492" s="273"/>
      <c r="AN492" s="9"/>
      <c r="AO492" s="273"/>
      <c r="AP492" s="273"/>
      <c r="AQ492" s="9"/>
      <c r="AR492" s="273"/>
      <c r="AS492" s="39"/>
    </row>
    <row r="493" spans="1:45" ht="12.75">
      <c r="A493" s="160"/>
      <c r="B493" s="273"/>
      <c r="C493" s="273"/>
      <c r="D493" s="273"/>
      <c r="E493" s="273"/>
      <c r="F493" s="273"/>
      <c r="G493" s="273"/>
      <c r="H493" s="273"/>
      <c r="I493" s="2"/>
      <c r="J493" s="17"/>
      <c r="K493" s="10"/>
      <c r="L493" s="10"/>
      <c r="M493" s="10"/>
      <c r="N493" s="10"/>
      <c r="O493" s="10"/>
      <c r="P493" s="10"/>
      <c r="Q493" s="10"/>
      <c r="R493" s="2"/>
      <c r="S493" s="273"/>
      <c r="T493" s="273"/>
      <c r="U493" s="273"/>
      <c r="V493" s="9"/>
      <c r="W493" s="273"/>
      <c r="X493" s="273"/>
      <c r="Y493" s="9"/>
      <c r="Z493" s="273"/>
      <c r="AA493" s="273"/>
      <c r="AB493" s="9"/>
      <c r="AC493" s="273"/>
      <c r="AD493" s="273"/>
      <c r="AE493" s="9"/>
      <c r="AF493" s="273"/>
      <c r="AG493" s="273"/>
      <c r="AH493" s="9"/>
      <c r="AI493" s="273"/>
      <c r="AJ493" s="273"/>
      <c r="AK493" s="9"/>
      <c r="AL493" s="273"/>
      <c r="AM493" s="273"/>
      <c r="AN493" s="9"/>
      <c r="AO493" s="273"/>
      <c r="AP493" s="273"/>
      <c r="AQ493" s="9"/>
      <c r="AR493" s="273"/>
      <c r="AS493" s="39"/>
    </row>
    <row r="494" spans="1:45" ht="12.75">
      <c r="A494" s="160"/>
      <c r="B494" s="273"/>
      <c r="C494" s="273"/>
      <c r="D494" s="273"/>
      <c r="E494" s="273"/>
      <c r="F494" s="273"/>
      <c r="G494" s="273"/>
      <c r="H494" s="273"/>
      <c r="I494" s="2"/>
      <c r="J494" s="17"/>
      <c r="K494" s="10"/>
      <c r="L494" s="10"/>
      <c r="M494" s="10"/>
      <c r="N494" s="10"/>
      <c r="O494" s="10"/>
      <c r="P494" s="10"/>
      <c r="Q494" s="10"/>
      <c r="R494" s="2"/>
      <c r="S494" s="273"/>
      <c r="T494" s="273"/>
      <c r="U494" s="273"/>
      <c r="V494" s="9"/>
      <c r="W494" s="273"/>
      <c r="X494" s="273"/>
      <c r="Y494" s="9"/>
      <c r="Z494" s="273"/>
      <c r="AA494" s="273"/>
      <c r="AB494" s="9"/>
      <c r="AC494" s="273"/>
      <c r="AD494" s="273"/>
      <c r="AE494" s="9"/>
      <c r="AF494" s="273"/>
      <c r="AG494" s="273"/>
      <c r="AH494" s="9"/>
      <c r="AI494" s="273"/>
      <c r="AJ494" s="273"/>
      <c r="AK494" s="9"/>
      <c r="AL494" s="273"/>
      <c r="AM494" s="273"/>
      <c r="AN494" s="9"/>
      <c r="AO494" s="273"/>
      <c r="AP494" s="273"/>
      <c r="AQ494" s="9"/>
      <c r="AR494" s="273"/>
      <c r="AS494" s="39"/>
    </row>
    <row r="495" spans="1:45" ht="12.75">
      <c r="A495" s="160"/>
      <c r="B495" s="273"/>
      <c r="C495" s="273"/>
      <c r="D495" s="273"/>
      <c r="E495" s="273"/>
      <c r="F495" s="273"/>
      <c r="G495" s="273"/>
      <c r="H495" s="273"/>
      <c r="I495" s="2"/>
      <c r="J495" s="17"/>
      <c r="K495" s="10"/>
      <c r="L495" s="10"/>
      <c r="M495" s="10"/>
      <c r="N495" s="10"/>
      <c r="O495" s="10"/>
      <c r="P495" s="10"/>
      <c r="Q495" s="10"/>
      <c r="R495" s="2"/>
      <c r="S495" s="273"/>
      <c r="T495" s="273"/>
      <c r="U495" s="273"/>
      <c r="V495" s="9"/>
      <c r="W495" s="273"/>
      <c r="X495" s="273"/>
      <c r="Y495" s="9"/>
      <c r="Z495" s="273"/>
      <c r="AA495" s="273"/>
      <c r="AB495" s="9"/>
      <c r="AC495" s="273"/>
      <c r="AD495" s="273"/>
      <c r="AE495" s="9"/>
      <c r="AF495" s="273"/>
      <c r="AG495" s="273"/>
      <c r="AH495" s="9"/>
      <c r="AI495" s="273"/>
      <c r="AJ495" s="273"/>
      <c r="AK495" s="9"/>
      <c r="AL495" s="273"/>
      <c r="AM495" s="273"/>
      <c r="AN495" s="9"/>
      <c r="AO495" s="273"/>
      <c r="AP495" s="273"/>
      <c r="AQ495" s="9"/>
      <c r="AR495" s="273"/>
      <c r="AS495" s="39"/>
    </row>
    <row r="496" spans="1:45" ht="12.75">
      <c r="A496" s="160"/>
      <c r="B496" s="273"/>
      <c r="C496" s="273"/>
      <c r="D496" s="273"/>
      <c r="E496" s="273"/>
      <c r="F496" s="273"/>
      <c r="G496" s="273"/>
      <c r="H496" s="273"/>
      <c r="I496" s="2"/>
      <c r="J496" s="17"/>
      <c r="K496" s="10"/>
      <c r="L496" s="10"/>
      <c r="M496" s="10"/>
      <c r="N496" s="10"/>
      <c r="O496" s="10"/>
      <c r="P496" s="10"/>
      <c r="Q496" s="10"/>
      <c r="R496" s="2"/>
      <c r="S496" s="273"/>
      <c r="T496" s="273"/>
      <c r="U496" s="273"/>
      <c r="V496" s="9"/>
      <c r="W496" s="273"/>
      <c r="X496" s="273"/>
      <c r="Y496" s="9"/>
      <c r="Z496" s="273"/>
      <c r="AA496" s="273"/>
      <c r="AB496" s="9"/>
      <c r="AC496" s="273"/>
      <c r="AD496" s="273"/>
      <c r="AE496" s="9"/>
      <c r="AF496" s="273"/>
      <c r="AG496" s="273"/>
      <c r="AH496" s="9"/>
      <c r="AI496" s="273"/>
      <c r="AJ496" s="273"/>
      <c r="AK496" s="9"/>
      <c r="AL496" s="273"/>
      <c r="AM496" s="273"/>
      <c r="AN496" s="9"/>
      <c r="AO496" s="273"/>
      <c r="AP496" s="273"/>
      <c r="AQ496" s="9"/>
      <c r="AR496" s="273"/>
      <c r="AS496" s="39"/>
    </row>
    <row r="497" spans="1:45" ht="12.75">
      <c r="A497" s="160"/>
      <c r="B497" s="273"/>
      <c r="C497" s="273"/>
      <c r="D497" s="273"/>
      <c r="E497" s="273"/>
      <c r="F497" s="273"/>
      <c r="G497" s="273"/>
      <c r="H497" s="273"/>
      <c r="I497" s="2"/>
      <c r="J497" s="17"/>
      <c r="K497" s="10"/>
      <c r="L497" s="10"/>
      <c r="M497" s="10"/>
      <c r="N497" s="10"/>
      <c r="O497" s="10"/>
      <c r="P497" s="10"/>
      <c r="Q497" s="10"/>
      <c r="R497" s="2"/>
      <c r="S497" s="273"/>
      <c r="T497" s="273"/>
      <c r="U497" s="273"/>
      <c r="V497" s="9"/>
      <c r="W497" s="273"/>
      <c r="X497" s="273"/>
      <c r="Y497" s="9"/>
      <c r="Z497" s="273"/>
      <c r="AA497" s="273"/>
      <c r="AB497" s="9"/>
      <c r="AC497" s="273"/>
      <c r="AD497" s="273"/>
      <c r="AE497" s="9"/>
      <c r="AF497" s="273"/>
      <c r="AG497" s="273"/>
      <c r="AH497" s="9"/>
      <c r="AI497" s="273"/>
      <c r="AJ497" s="273"/>
      <c r="AK497" s="9"/>
      <c r="AL497" s="273"/>
      <c r="AM497" s="273"/>
      <c r="AN497" s="9"/>
      <c r="AO497" s="273"/>
      <c r="AP497" s="273"/>
      <c r="AQ497" s="9"/>
      <c r="AR497" s="273"/>
      <c r="AS497" s="39"/>
    </row>
    <row r="498" spans="1:45" ht="12.75">
      <c r="A498" s="160"/>
      <c r="B498" s="273"/>
      <c r="C498" s="273"/>
      <c r="D498" s="273"/>
      <c r="E498" s="273"/>
      <c r="F498" s="273"/>
      <c r="G498" s="273"/>
      <c r="H498" s="273"/>
      <c r="I498" s="2"/>
      <c r="J498" s="17"/>
      <c r="K498" s="10"/>
      <c r="L498" s="10"/>
      <c r="M498" s="10"/>
      <c r="N498" s="10"/>
      <c r="O498" s="10"/>
      <c r="P498" s="10"/>
      <c r="Q498" s="10"/>
      <c r="R498" s="2"/>
      <c r="S498" s="273"/>
      <c r="T498" s="273"/>
      <c r="U498" s="273"/>
      <c r="V498" s="9"/>
      <c r="W498" s="273"/>
      <c r="X498" s="273"/>
      <c r="Y498" s="9"/>
      <c r="Z498" s="273"/>
      <c r="AA498" s="273"/>
      <c r="AB498" s="9"/>
      <c r="AC498" s="273"/>
      <c r="AD498" s="273"/>
      <c r="AE498" s="9"/>
      <c r="AF498" s="273"/>
      <c r="AG498" s="273"/>
      <c r="AH498" s="9"/>
      <c r="AI498" s="273"/>
      <c r="AJ498" s="273"/>
      <c r="AK498" s="9"/>
      <c r="AL498" s="273"/>
      <c r="AM498" s="273"/>
      <c r="AN498" s="9"/>
      <c r="AO498" s="273"/>
      <c r="AP498" s="273"/>
      <c r="AQ498" s="9"/>
      <c r="AR498" s="273"/>
      <c r="AS498" s="39"/>
    </row>
    <row r="499" spans="1:45" ht="12.75">
      <c r="A499" s="160"/>
      <c r="B499" s="273"/>
      <c r="C499" s="273"/>
      <c r="D499" s="273"/>
      <c r="E499" s="273"/>
      <c r="F499" s="273"/>
      <c r="G499" s="273"/>
      <c r="H499" s="273"/>
      <c r="I499" s="2"/>
      <c r="J499" s="17"/>
      <c r="K499" s="10"/>
      <c r="L499" s="10"/>
      <c r="M499" s="10"/>
      <c r="N499" s="10"/>
      <c r="O499" s="10"/>
      <c r="P499" s="10"/>
      <c r="Q499" s="10"/>
      <c r="R499" s="2"/>
      <c r="S499" s="273"/>
      <c r="T499" s="273"/>
      <c r="U499" s="273"/>
      <c r="V499" s="9"/>
      <c r="W499" s="273"/>
      <c r="X499" s="273"/>
      <c r="Y499" s="9"/>
      <c r="Z499" s="273"/>
      <c r="AA499" s="273"/>
      <c r="AB499" s="9"/>
      <c r="AC499" s="273"/>
      <c r="AD499" s="273"/>
      <c r="AE499" s="9"/>
      <c r="AF499" s="273"/>
      <c r="AG499" s="273"/>
      <c r="AH499" s="9"/>
      <c r="AI499" s="273"/>
      <c r="AJ499" s="273"/>
      <c r="AK499" s="9"/>
      <c r="AL499" s="273"/>
      <c r="AM499" s="273"/>
      <c r="AN499" s="9"/>
      <c r="AO499" s="273"/>
      <c r="AP499" s="273"/>
      <c r="AQ499" s="9"/>
      <c r="AR499" s="273"/>
      <c r="AS499" s="39"/>
    </row>
    <row r="500" spans="1:45" ht="12.75">
      <c r="A500" s="160"/>
      <c r="B500" s="273"/>
      <c r="C500" s="273"/>
      <c r="D500" s="273"/>
      <c r="E500" s="273"/>
      <c r="F500" s="273"/>
      <c r="G500" s="273"/>
      <c r="H500" s="273"/>
      <c r="I500" s="2"/>
      <c r="J500" s="17"/>
      <c r="K500" s="10"/>
      <c r="L500" s="10"/>
      <c r="M500" s="10"/>
      <c r="N500" s="10"/>
      <c r="O500" s="10"/>
      <c r="P500" s="10"/>
      <c r="Q500" s="10"/>
      <c r="R500" s="2"/>
      <c r="S500" s="273"/>
      <c r="T500" s="273"/>
      <c r="U500" s="273"/>
      <c r="V500" s="9"/>
      <c r="W500" s="273"/>
      <c r="X500" s="273"/>
      <c r="Y500" s="9"/>
      <c r="Z500" s="273"/>
      <c r="AA500" s="273"/>
      <c r="AB500" s="9"/>
      <c r="AC500" s="273"/>
      <c r="AD500" s="273"/>
      <c r="AE500" s="9"/>
      <c r="AF500" s="273"/>
      <c r="AG500" s="273"/>
      <c r="AH500" s="9"/>
      <c r="AI500" s="273"/>
      <c r="AJ500" s="273"/>
      <c r="AK500" s="9"/>
      <c r="AL500" s="273"/>
      <c r="AM500" s="273"/>
      <c r="AN500" s="9"/>
      <c r="AO500" s="273"/>
      <c r="AP500" s="273"/>
      <c r="AQ500" s="9"/>
      <c r="AR500" s="273"/>
      <c r="AS500" s="39"/>
    </row>
    <row r="501" spans="1:45" ht="12.75">
      <c r="A501" s="160"/>
      <c r="B501" s="273"/>
      <c r="C501" s="273"/>
      <c r="D501" s="273"/>
      <c r="E501" s="273"/>
      <c r="F501" s="273"/>
      <c r="G501" s="273"/>
      <c r="H501" s="273"/>
      <c r="I501" s="2"/>
      <c r="J501" s="17"/>
      <c r="K501" s="10"/>
      <c r="L501" s="10"/>
      <c r="M501" s="10"/>
      <c r="N501" s="10"/>
      <c r="O501" s="10"/>
      <c r="P501" s="10"/>
      <c r="Q501" s="10"/>
      <c r="R501" s="2"/>
      <c r="S501" s="273"/>
      <c r="T501" s="273"/>
      <c r="U501" s="273"/>
      <c r="V501" s="9"/>
      <c r="W501" s="273"/>
      <c r="X501" s="273"/>
      <c r="Y501" s="9"/>
      <c r="Z501" s="273"/>
      <c r="AA501" s="273"/>
      <c r="AB501" s="9"/>
      <c r="AC501" s="273"/>
      <c r="AD501" s="273"/>
      <c r="AE501" s="9"/>
      <c r="AF501" s="273"/>
      <c r="AG501" s="273"/>
      <c r="AH501" s="9"/>
      <c r="AI501" s="273"/>
      <c r="AJ501" s="273"/>
      <c r="AK501" s="9"/>
      <c r="AL501" s="273"/>
      <c r="AM501" s="273"/>
      <c r="AN501" s="9"/>
      <c r="AO501" s="273"/>
      <c r="AP501" s="273"/>
      <c r="AQ501" s="9"/>
      <c r="AR501" s="273"/>
      <c r="AS501" s="39"/>
    </row>
    <row r="502" spans="1:45" ht="12.75">
      <c r="A502" s="160"/>
      <c r="B502" s="273"/>
      <c r="C502" s="273"/>
      <c r="D502" s="273"/>
      <c r="E502" s="273"/>
      <c r="F502" s="273"/>
      <c r="G502" s="273"/>
      <c r="H502" s="273"/>
      <c r="I502" s="2"/>
      <c r="J502" s="17"/>
      <c r="K502" s="10"/>
      <c r="L502" s="10"/>
      <c r="M502" s="10"/>
      <c r="N502" s="10"/>
      <c r="O502" s="10"/>
      <c r="P502" s="10"/>
      <c r="Q502" s="10"/>
      <c r="R502" s="2"/>
      <c r="S502" s="273"/>
      <c r="T502" s="273"/>
      <c r="U502" s="273"/>
      <c r="V502" s="9"/>
      <c r="W502" s="273"/>
      <c r="X502" s="273"/>
      <c r="Y502" s="9"/>
      <c r="Z502" s="273"/>
      <c r="AA502" s="273"/>
      <c r="AB502" s="9"/>
      <c r="AC502" s="273"/>
      <c r="AD502" s="273"/>
      <c r="AE502" s="9"/>
      <c r="AF502" s="273"/>
      <c r="AG502" s="273"/>
      <c r="AH502" s="9"/>
      <c r="AI502" s="273"/>
      <c r="AJ502" s="273"/>
      <c r="AK502" s="9"/>
      <c r="AL502" s="273"/>
      <c r="AM502" s="273"/>
      <c r="AN502" s="9"/>
      <c r="AO502" s="273"/>
      <c r="AP502" s="273"/>
      <c r="AQ502" s="9"/>
      <c r="AR502" s="273"/>
      <c r="AS502" s="39"/>
    </row>
    <row r="503" spans="1:45" ht="12.75">
      <c r="A503" s="160"/>
      <c r="B503" s="273"/>
      <c r="C503" s="273"/>
      <c r="D503" s="273"/>
      <c r="E503" s="273"/>
      <c r="F503" s="273"/>
      <c r="G503" s="273"/>
      <c r="H503" s="273"/>
      <c r="I503" s="2"/>
      <c r="J503" s="17"/>
      <c r="K503" s="10"/>
      <c r="L503" s="10"/>
      <c r="M503" s="10"/>
      <c r="N503" s="10"/>
      <c r="O503" s="10"/>
      <c r="P503" s="10"/>
      <c r="Q503" s="10"/>
      <c r="R503" s="2"/>
      <c r="S503" s="273"/>
      <c r="T503" s="273"/>
      <c r="U503" s="273"/>
      <c r="V503" s="9"/>
      <c r="W503" s="273"/>
      <c r="X503" s="273"/>
      <c r="Y503" s="9"/>
      <c r="Z503" s="273"/>
      <c r="AA503" s="273"/>
      <c r="AB503" s="9"/>
      <c r="AC503" s="273"/>
      <c r="AD503" s="273"/>
      <c r="AE503" s="9"/>
      <c r="AF503" s="273"/>
      <c r="AG503" s="273"/>
      <c r="AH503" s="9"/>
      <c r="AI503" s="273"/>
      <c r="AJ503" s="273"/>
      <c r="AK503" s="9"/>
      <c r="AL503" s="273"/>
      <c r="AM503" s="273"/>
      <c r="AN503" s="9"/>
      <c r="AO503" s="273"/>
      <c r="AP503" s="273"/>
      <c r="AQ503" s="9"/>
      <c r="AR503" s="273"/>
      <c r="AS503" s="39"/>
    </row>
    <row r="504" spans="1:45" ht="12.75">
      <c r="A504" s="160"/>
      <c r="B504" s="273"/>
      <c r="C504" s="273"/>
      <c r="D504" s="273"/>
      <c r="E504" s="273"/>
      <c r="F504" s="273"/>
      <c r="G504" s="273"/>
      <c r="H504" s="273"/>
      <c r="I504" s="2"/>
      <c r="J504" s="17"/>
      <c r="K504" s="10"/>
      <c r="L504" s="10"/>
      <c r="M504" s="10"/>
      <c r="N504" s="10"/>
      <c r="O504" s="10"/>
      <c r="P504" s="10"/>
      <c r="Q504" s="10"/>
      <c r="R504" s="2"/>
      <c r="S504" s="273"/>
      <c r="T504" s="273"/>
      <c r="U504" s="273"/>
      <c r="V504" s="9"/>
      <c r="W504" s="273"/>
      <c r="X504" s="273"/>
      <c r="Y504" s="9"/>
      <c r="Z504" s="273"/>
      <c r="AA504" s="273"/>
      <c r="AB504" s="9"/>
      <c r="AC504" s="273"/>
      <c r="AD504" s="273"/>
      <c r="AE504" s="9"/>
      <c r="AF504" s="273"/>
      <c r="AG504" s="273"/>
      <c r="AH504" s="9"/>
      <c r="AI504" s="273"/>
      <c r="AJ504" s="273"/>
      <c r="AK504" s="9"/>
      <c r="AL504" s="273"/>
      <c r="AM504" s="273"/>
      <c r="AN504" s="9"/>
      <c r="AO504" s="273"/>
      <c r="AP504" s="273"/>
      <c r="AQ504" s="9"/>
      <c r="AR504" s="273"/>
      <c r="AS504" s="39"/>
    </row>
    <row r="505" spans="1:45" ht="12.75">
      <c r="A505" s="160"/>
      <c r="B505" s="273"/>
      <c r="C505" s="273"/>
      <c r="D505" s="273"/>
      <c r="E505" s="273"/>
      <c r="F505" s="273"/>
      <c r="G505" s="273"/>
      <c r="H505" s="273"/>
      <c r="I505" s="2"/>
      <c r="J505" s="17"/>
      <c r="K505" s="10"/>
      <c r="L505" s="10"/>
      <c r="M505" s="10"/>
      <c r="N505" s="10"/>
      <c r="O505" s="10"/>
      <c r="P505" s="10"/>
      <c r="Q505" s="10"/>
      <c r="R505" s="2"/>
      <c r="S505" s="273"/>
      <c r="T505" s="273"/>
      <c r="U505" s="273"/>
      <c r="V505" s="9"/>
      <c r="W505" s="273"/>
      <c r="X505" s="273"/>
      <c r="Y505" s="9"/>
      <c r="Z505" s="273"/>
      <c r="AA505" s="273"/>
      <c r="AB505" s="9"/>
      <c r="AC505" s="273"/>
      <c r="AD505" s="273"/>
      <c r="AE505" s="9"/>
      <c r="AF505" s="273"/>
      <c r="AG505" s="273"/>
      <c r="AH505" s="9"/>
      <c r="AI505" s="273"/>
      <c r="AJ505" s="273"/>
      <c r="AK505" s="9"/>
      <c r="AL505" s="273"/>
      <c r="AM505" s="273"/>
      <c r="AN505" s="9"/>
      <c r="AO505" s="273"/>
      <c r="AP505" s="273"/>
      <c r="AQ505" s="9"/>
      <c r="AR505" s="273"/>
      <c r="AS505" s="39"/>
    </row>
    <row r="506" spans="1:45" ht="12.75">
      <c r="A506" s="160"/>
      <c r="B506" s="273"/>
      <c r="C506" s="273"/>
      <c r="D506" s="273"/>
      <c r="E506" s="273"/>
      <c r="F506" s="273"/>
      <c r="G506" s="273"/>
      <c r="H506" s="273"/>
      <c r="I506" s="2"/>
      <c r="J506" s="17"/>
      <c r="K506" s="10"/>
      <c r="L506" s="10"/>
      <c r="M506" s="10"/>
      <c r="N506" s="10"/>
      <c r="O506" s="10"/>
      <c r="P506" s="10"/>
      <c r="Q506" s="10"/>
      <c r="R506" s="2"/>
      <c r="S506" s="273"/>
      <c r="T506" s="273"/>
      <c r="U506" s="273"/>
      <c r="V506" s="9"/>
      <c r="W506" s="273"/>
      <c r="X506" s="273"/>
      <c r="Y506" s="9"/>
      <c r="Z506" s="273"/>
      <c r="AA506" s="273"/>
      <c r="AB506" s="9"/>
      <c r="AC506" s="273"/>
      <c r="AD506" s="273"/>
      <c r="AE506" s="9"/>
      <c r="AF506" s="273"/>
      <c r="AG506" s="273"/>
      <c r="AH506" s="9"/>
      <c r="AI506" s="273"/>
      <c r="AJ506" s="273"/>
      <c r="AK506" s="9"/>
      <c r="AL506" s="273"/>
      <c r="AM506" s="273"/>
      <c r="AN506" s="9"/>
      <c r="AO506" s="273"/>
      <c r="AP506" s="273"/>
      <c r="AQ506" s="9"/>
      <c r="AR506" s="273"/>
      <c r="AS506" s="39"/>
    </row>
    <row r="507" spans="1:45" ht="12.75">
      <c r="A507" s="160"/>
      <c r="B507" s="273"/>
      <c r="C507" s="273"/>
      <c r="D507" s="273"/>
      <c r="E507" s="273"/>
      <c r="F507" s="273"/>
      <c r="G507" s="273"/>
      <c r="H507" s="273"/>
      <c r="I507" s="2"/>
      <c r="J507" s="17"/>
      <c r="K507" s="10"/>
      <c r="L507" s="10"/>
      <c r="M507" s="10"/>
      <c r="N507" s="10"/>
      <c r="O507" s="10"/>
      <c r="P507" s="10"/>
      <c r="Q507" s="10"/>
      <c r="R507" s="2"/>
      <c r="S507" s="273"/>
      <c r="T507" s="273"/>
      <c r="U507" s="273"/>
      <c r="V507" s="9"/>
      <c r="W507" s="273"/>
      <c r="X507" s="273"/>
      <c r="Y507" s="9"/>
      <c r="Z507" s="273"/>
      <c r="AA507" s="273"/>
      <c r="AB507" s="9"/>
      <c r="AC507" s="273"/>
      <c r="AD507" s="273"/>
      <c r="AE507" s="9"/>
      <c r="AF507" s="273"/>
      <c r="AG507" s="273"/>
      <c r="AH507" s="9"/>
      <c r="AI507" s="273"/>
      <c r="AJ507" s="273"/>
      <c r="AK507" s="9"/>
      <c r="AL507" s="273"/>
      <c r="AM507" s="273"/>
      <c r="AN507" s="9"/>
      <c r="AO507" s="273"/>
      <c r="AP507" s="273"/>
      <c r="AQ507" s="9"/>
      <c r="AR507" s="273"/>
      <c r="AS507" s="39"/>
    </row>
    <row r="508" spans="1:45" ht="12.75">
      <c r="A508" s="160"/>
      <c r="B508" s="273"/>
      <c r="C508" s="273"/>
      <c r="D508" s="273"/>
      <c r="E508" s="273"/>
      <c r="F508" s="273"/>
      <c r="G508" s="273"/>
      <c r="H508" s="273"/>
      <c r="I508" s="2"/>
      <c r="J508" s="17"/>
      <c r="K508" s="10"/>
      <c r="L508" s="10"/>
      <c r="M508" s="10"/>
      <c r="N508" s="10"/>
      <c r="O508" s="10"/>
      <c r="P508" s="10"/>
      <c r="Q508" s="10"/>
      <c r="R508" s="2"/>
      <c r="S508" s="273"/>
      <c r="T508" s="273"/>
      <c r="U508" s="273"/>
      <c r="V508" s="9"/>
      <c r="W508" s="273"/>
      <c r="X508" s="273"/>
      <c r="Y508" s="9"/>
      <c r="Z508" s="273"/>
      <c r="AA508" s="273"/>
      <c r="AB508" s="9"/>
      <c r="AC508" s="273"/>
      <c r="AD508" s="273"/>
      <c r="AE508" s="9"/>
      <c r="AF508" s="273"/>
      <c r="AG508" s="273"/>
      <c r="AH508" s="9"/>
      <c r="AI508" s="273"/>
      <c r="AJ508" s="273"/>
      <c r="AK508" s="9"/>
      <c r="AL508" s="273"/>
      <c r="AM508" s="273"/>
      <c r="AN508" s="9"/>
      <c r="AO508" s="273"/>
      <c r="AP508" s="273"/>
      <c r="AQ508" s="9"/>
      <c r="AR508" s="273"/>
      <c r="AS508" s="39"/>
    </row>
    <row r="509" spans="1:45" ht="12.75">
      <c r="A509" s="160"/>
      <c r="B509" s="273"/>
      <c r="C509" s="273"/>
      <c r="D509" s="273"/>
      <c r="E509" s="273"/>
      <c r="F509" s="273"/>
      <c r="G509" s="273"/>
      <c r="H509" s="273"/>
      <c r="I509" s="2"/>
      <c r="J509" s="17"/>
      <c r="K509" s="10"/>
      <c r="L509" s="10"/>
      <c r="M509" s="10"/>
      <c r="N509" s="10"/>
      <c r="O509" s="10"/>
      <c r="P509" s="10"/>
      <c r="Q509" s="10"/>
      <c r="R509" s="2"/>
      <c r="S509" s="273"/>
      <c r="T509" s="273"/>
      <c r="U509" s="273"/>
      <c r="V509" s="9"/>
      <c r="W509" s="273"/>
      <c r="X509" s="273"/>
      <c r="Y509" s="9"/>
      <c r="Z509" s="273"/>
      <c r="AA509" s="273"/>
      <c r="AB509" s="9"/>
      <c r="AC509" s="273"/>
      <c r="AD509" s="273"/>
      <c r="AE509" s="9"/>
      <c r="AF509" s="273"/>
      <c r="AG509" s="273"/>
      <c r="AH509" s="9"/>
      <c r="AI509" s="273"/>
      <c r="AJ509" s="273"/>
      <c r="AK509" s="9"/>
      <c r="AL509" s="273"/>
      <c r="AM509" s="273"/>
      <c r="AN509" s="9"/>
      <c r="AO509" s="273"/>
      <c r="AP509" s="273"/>
      <c r="AQ509" s="9"/>
      <c r="AR509" s="273"/>
      <c r="AS509" s="39"/>
    </row>
    <row r="510" spans="1:45" ht="12.75">
      <c r="A510" s="160"/>
      <c r="B510" s="273"/>
      <c r="C510" s="273"/>
      <c r="D510" s="273"/>
      <c r="E510" s="273"/>
      <c r="F510" s="273"/>
      <c r="G510" s="273"/>
      <c r="H510" s="273"/>
      <c r="I510" s="2"/>
      <c r="J510" s="17"/>
      <c r="K510" s="10"/>
      <c r="L510" s="10"/>
      <c r="M510" s="10"/>
      <c r="N510" s="10"/>
      <c r="O510" s="10"/>
      <c r="P510" s="10"/>
      <c r="Q510" s="10"/>
      <c r="R510" s="2"/>
      <c r="S510" s="273"/>
      <c r="T510" s="273"/>
      <c r="U510" s="273"/>
      <c r="V510" s="9"/>
      <c r="W510" s="273"/>
      <c r="X510" s="273"/>
      <c r="Y510" s="9"/>
      <c r="Z510" s="273"/>
      <c r="AA510" s="273"/>
      <c r="AB510" s="9"/>
      <c r="AC510" s="273"/>
      <c r="AD510" s="273"/>
      <c r="AE510" s="9"/>
      <c r="AF510" s="273"/>
      <c r="AG510" s="273"/>
      <c r="AH510" s="9"/>
      <c r="AI510" s="273"/>
      <c r="AJ510" s="273"/>
      <c r="AK510" s="9"/>
      <c r="AL510" s="273"/>
      <c r="AM510" s="273"/>
      <c r="AN510" s="9"/>
      <c r="AO510" s="273"/>
      <c r="AP510" s="273"/>
      <c r="AQ510" s="9"/>
      <c r="AR510" s="273"/>
      <c r="AS510" s="39"/>
    </row>
    <row r="511" spans="1:45" ht="12.75">
      <c r="A511" s="160"/>
      <c r="B511" s="273"/>
      <c r="C511" s="273"/>
      <c r="D511" s="273"/>
      <c r="E511" s="273"/>
      <c r="F511" s="273"/>
      <c r="G511" s="273"/>
      <c r="H511" s="273"/>
      <c r="I511" s="2"/>
      <c r="J511" s="17"/>
      <c r="K511" s="10"/>
      <c r="L511" s="10"/>
      <c r="M511" s="10"/>
      <c r="N511" s="10"/>
      <c r="O511" s="10"/>
      <c r="P511" s="10"/>
      <c r="Q511" s="10"/>
      <c r="R511" s="2"/>
      <c r="S511" s="273"/>
      <c r="T511" s="273"/>
      <c r="U511" s="273"/>
      <c r="V511" s="9"/>
      <c r="W511" s="273"/>
      <c r="X511" s="273"/>
      <c r="Y511" s="9"/>
      <c r="Z511" s="273"/>
      <c r="AA511" s="273"/>
      <c r="AB511" s="9"/>
      <c r="AC511" s="273"/>
      <c r="AD511" s="273"/>
      <c r="AE511" s="9"/>
      <c r="AF511" s="273"/>
      <c r="AG511" s="273"/>
      <c r="AH511" s="9"/>
      <c r="AI511" s="273"/>
      <c r="AJ511" s="273"/>
      <c r="AK511" s="9"/>
      <c r="AL511" s="273"/>
      <c r="AM511" s="273"/>
      <c r="AN511" s="9"/>
      <c r="AO511" s="273"/>
      <c r="AP511" s="273"/>
      <c r="AQ511" s="9"/>
      <c r="AR511" s="273"/>
      <c r="AS511" s="39"/>
    </row>
    <row r="512" spans="1:45" ht="12.75">
      <c r="A512" s="160"/>
      <c r="B512" s="273"/>
      <c r="C512" s="273"/>
      <c r="D512" s="273"/>
      <c r="E512" s="273"/>
      <c r="F512" s="273"/>
      <c r="G512" s="273"/>
      <c r="H512" s="273"/>
      <c r="I512" s="2"/>
      <c r="J512" s="17"/>
      <c r="K512" s="10"/>
      <c r="L512" s="10"/>
      <c r="M512" s="10"/>
      <c r="N512" s="10"/>
      <c r="O512" s="10"/>
      <c r="P512" s="10"/>
      <c r="Q512" s="10"/>
      <c r="R512" s="2"/>
      <c r="S512" s="273"/>
      <c r="T512" s="273"/>
      <c r="U512" s="273"/>
      <c r="V512" s="9"/>
      <c r="W512" s="273"/>
      <c r="X512" s="273"/>
      <c r="Y512" s="9"/>
      <c r="Z512" s="273"/>
      <c r="AA512" s="273"/>
      <c r="AB512" s="9"/>
      <c r="AC512" s="273"/>
      <c r="AD512" s="273"/>
      <c r="AE512" s="9"/>
      <c r="AF512" s="273"/>
      <c r="AG512" s="273"/>
      <c r="AH512" s="9"/>
      <c r="AI512" s="273"/>
      <c r="AJ512" s="273"/>
      <c r="AK512" s="9"/>
      <c r="AL512" s="273"/>
      <c r="AM512" s="273"/>
      <c r="AN512" s="9"/>
      <c r="AO512" s="273"/>
      <c r="AP512" s="273"/>
      <c r="AQ512" s="9"/>
      <c r="AR512" s="273"/>
      <c r="AS512" s="39"/>
    </row>
    <row r="513" spans="1:45" ht="12.75">
      <c r="A513" s="160"/>
      <c r="B513" s="273"/>
      <c r="C513" s="273"/>
      <c r="D513" s="273"/>
      <c r="E513" s="273"/>
      <c r="F513" s="273"/>
      <c r="G513" s="273"/>
      <c r="H513" s="273"/>
      <c r="I513" s="2"/>
      <c r="J513" s="17"/>
      <c r="K513" s="10"/>
      <c r="L513" s="10"/>
      <c r="M513" s="10"/>
      <c r="N513" s="10"/>
      <c r="O513" s="10"/>
      <c r="P513" s="10"/>
      <c r="Q513" s="10"/>
      <c r="R513" s="2"/>
      <c r="S513" s="273"/>
      <c r="T513" s="273"/>
      <c r="U513" s="273"/>
      <c r="V513" s="9"/>
      <c r="W513" s="273"/>
      <c r="X513" s="273"/>
      <c r="Y513" s="9"/>
      <c r="Z513" s="273"/>
      <c r="AA513" s="273"/>
      <c r="AB513" s="9"/>
      <c r="AC513" s="273"/>
      <c r="AD513" s="273"/>
      <c r="AE513" s="9"/>
      <c r="AF513" s="273"/>
      <c r="AG513" s="273"/>
      <c r="AH513" s="9"/>
      <c r="AI513" s="273"/>
      <c r="AJ513" s="273"/>
      <c r="AK513" s="9"/>
      <c r="AL513" s="273"/>
      <c r="AM513" s="273"/>
      <c r="AN513" s="9"/>
      <c r="AO513" s="273"/>
      <c r="AP513" s="273"/>
      <c r="AQ513" s="9"/>
      <c r="AR513" s="273"/>
      <c r="AS513" s="39"/>
    </row>
    <row r="514" spans="1:45" ht="12.75">
      <c r="A514" s="160"/>
      <c r="B514" s="273"/>
      <c r="C514" s="273"/>
      <c r="D514" s="273"/>
      <c r="E514" s="273"/>
      <c r="F514" s="273"/>
      <c r="G514" s="273"/>
      <c r="H514" s="273"/>
      <c r="I514" s="2"/>
      <c r="J514" s="17"/>
      <c r="K514" s="10"/>
      <c r="L514" s="10"/>
      <c r="M514" s="10"/>
      <c r="N514" s="10"/>
      <c r="O514" s="10"/>
      <c r="P514" s="10"/>
      <c r="Q514" s="10"/>
      <c r="R514" s="2"/>
      <c r="S514" s="273"/>
      <c r="T514" s="273"/>
      <c r="U514" s="273"/>
      <c r="V514" s="9"/>
      <c r="W514" s="273"/>
      <c r="X514" s="273"/>
      <c r="Y514" s="9"/>
      <c r="Z514" s="273"/>
      <c r="AA514" s="273"/>
      <c r="AB514" s="9"/>
      <c r="AC514" s="273"/>
      <c r="AD514" s="273"/>
      <c r="AE514" s="9"/>
      <c r="AF514" s="273"/>
      <c r="AG514" s="273"/>
      <c r="AH514" s="9"/>
      <c r="AI514" s="273"/>
      <c r="AJ514" s="273"/>
      <c r="AK514" s="9"/>
      <c r="AL514" s="273"/>
      <c r="AM514" s="273"/>
      <c r="AN514" s="9"/>
      <c r="AO514" s="273"/>
      <c r="AP514" s="273"/>
      <c r="AQ514" s="9"/>
      <c r="AR514" s="273"/>
      <c r="AS514" s="39"/>
    </row>
    <row r="515" spans="1:45" ht="12.75">
      <c r="A515" s="160"/>
      <c r="B515" s="273"/>
      <c r="C515" s="273"/>
      <c r="D515" s="273"/>
      <c r="E515" s="273"/>
      <c r="F515" s="273"/>
      <c r="G515" s="273"/>
      <c r="H515" s="273"/>
      <c r="I515" s="2"/>
      <c r="J515" s="17"/>
      <c r="K515" s="10"/>
      <c r="L515" s="10"/>
      <c r="M515" s="10"/>
      <c r="N515" s="10"/>
      <c r="O515" s="10"/>
      <c r="P515" s="10"/>
      <c r="Q515" s="10"/>
      <c r="R515" s="2"/>
      <c r="S515" s="273"/>
      <c r="T515" s="273"/>
      <c r="U515" s="273"/>
      <c r="V515" s="9"/>
      <c r="W515" s="273"/>
      <c r="X515" s="273"/>
      <c r="Y515" s="9"/>
      <c r="Z515" s="273"/>
      <c r="AA515" s="273"/>
      <c r="AB515" s="9"/>
      <c r="AC515" s="273"/>
      <c r="AD515" s="273"/>
      <c r="AE515" s="9"/>
      <c r="AF515" s="273"/>
      <c r="AG515" s="273"/>
      <c r="AH515" s="9"/>
      <c r="AI515" s="273"/>
      <c r="AJ515" s="273"/>
      <c r="AK515" s="9"/>
      <c r="AL515" s="273"/>
      <c r="AM515" s="273"/>
      <c r="AN515" s="9"/>
      <c r="AO515" s="273"/>
      <c r="AP515" s="273"/>
      <c r="AQ515" s="9"/>
      <c r="AR515" s="273"/>
      <c r="AS515" s="39"/>
    </row>
    <row r="516" spans="1:45" ht="12.75">
      <c r="A516" s="160"/>
      <c r="B516" s="273"/>
      <c r="C516" s="273"/>
      <c r="D516" s="273"/>
      <c r="E516" s="273"/>
      <c r="F516" s="273"/>
      <c r="G516" s="273"/>
      <c r="H516" s="273"/>
      <c r="I516" s="2"/>
      <c r="J516" s="17"/>
      <c r="K516" s="10"/>
      <c r="L516" s="10"/>
      <c r="M516" s="10"/>
      <c r="N516" s="10"/>
      <c r="O516" s="10"/>
      <c r="P516" s="10"/>
      <c r="Q516" s="10"/>
      <c r="R516" s="2"/>
      <c r="S516" s="273"/>
      <c r="T516" s="273"/>
      <c r="U516" s="273"/>
      <c r="V516" s="9"/>
      <c r="W516" s="273"/>
      <c r="X516" s="273"/>
      <c r="Y516" s="9"/>
      <c r="Z516" s="273"/>
      <c r="AA516" s="273"/>
      <c r="AB516" s="9"/>
      <c r="AC516" s="273"/>
      <c r="AD516" s="273"/>
      <c r="AE516" s="9"/>
      <c r="AF516" s="273"/>
      <c r="AG516" s="273"/>
      <c r="AH516" s="9"/>
      <c r="AI516" s="273"/>
      <c r="AJ516" s="273"/>
      <c r="AK516" s="9"/>
      <c r="AL516" s="273"/>
      <c r="AM516" s="273"/>
      <c r="AN516" s="9"/>
      <c r="AO516" s="273"/>
      <c r="AP516" s="273"/>
      <c r="AQ516" s="9"/>
      <c r="AR516" s="273"/>
      <c r="AS516" s="39"/>
    </row>
    <row r="517" spans="1:45" ht="12.75">
      <c r="A517" s="160"/>
      <c r="B517" s="273"/>
      <c r="C517" s="273"/>
      <c r="D517" s="273"/>
      <c r="E517" s="273"/>
      <c r="F517" s="273"/>
      <c r="G517" s="273"/>
      <c r="H517" s="273"/>
      <c r="I517" s="2"/>
      <c r="J517" s="17"/>
      <c r="K517" s="10"/>
      <c r="L517" s="10"/>
      <c r="M517" s="10"/>
      <c r="N517" s="10"/>
      <c r="O517" s="10"/>
      <c r="P517" s="10"/>
      <c r="Q517" s="10"/>
      <c r="R517" s="2"/>
      <c r="S517" s="273"/>
      <c r="T517" s="273"/>
      <c r="U517" s="273"/>
      <c r="V517" s="9"/>
      <c r="W517" s="273"/>
      <c r="X517" s="273"/>
      <c r="Y517" s="9"/>
      <c r="Z517" s="273"/>
      <c r="AA517" s="273"/>
      <c r="AB517" s="9"/>
      <c r="AC517" s="273"/>
      <c r="AD517" s="273"/>
      <c r="AE517" s="9"/>
      <c r="AF517" s="273"/>
      <c r="AG517" s="273"/>
      <c r="AH517" s="9"/>
      <c r="AI517" s="273"/>
      <c r="AJ517" s="273"/>
      <c r="AK517" s="9"/>
      <c r="AL517" s="273"/>
      <c r="AM517" s="273"/>
      <c r="AN517" s="9"/>
      <c r="AO517" s="273"/>
      <c r="AP517" s="273"/>
      <c r="AQ517" s="9"/>
      <c r="AR517" s="273"/>
      <c r="AS517" s="39"/>
    </row>
    <row r="518" spans="1:45" ht="12.75">
      <c r="A518" s="160"/>
      <c r="B518" s="273"/>
      <c r="C518" s="273"/>
      <c r="D518" s="273"/>
      <c r="E518" s="273"/>
      <c r="F518" s="273"/>
      <c r="G518" s="273"/>
      <c r="H518" s="273"/>
      <c r="I518" s="2"/>
      <c r="J518" s="17"/>
      <c r="K518" s="10"/>
      <c r="L518" s="10"/>
      <c r="M518" s="10"/>
      <c r="N518" s="10"/>
      <c r="O518" s="10"/>
      <c r="P518" s="10"/>
      <c r="Q518" s="10"/>
      <c r="R518" s="2"/>
      <c r="S518" s="273"/>
      <c r="T518" s="273"/>
      <c r="U518" s="273"/>
      <c r="V518" s="9"/>
      <c r="W518" s="273"/>
      <c r="X518" s="273"/>
      <c r="Y518" s="9"/>
      <c r="Z518" s="273"/>
      <c r="AA518" s="273"/>
      <c r="AB518" s="9"/>
      <c r="AC518" s="273"/>
      <c r="AD518" s="273"/>
      <c r="AE518" s="9"/>
      <c r="AF518" s="273"/>
      <c r="AG518" s="273"/>
      <c r="AH518" s="9"/>
      <c r="AI518" s="273"/>
      <c r="AJ518" s="273"/>
      <c r="AK518" s="9"/>
      <c r="AL518" s="273"/>
      <c r="AM518" s="273"/>
      <c r="AN518" s="9"/>
      <c r="AO518" s="273"/>
      <c r="AP518" s="273"/>
      <c r="AQ518" s="9"/>
      <c r="AR518" s="273"/>
      <c r="AS518" s="39"/>
    </row>
    <row r="519" spans="1:45" ht="12.75">
      <c r="A519" s="160"/>
      <c r="B519" s="273"/>
      <c r="C519" s="273"/>
      <c r="D519" s="273"/>
      <c r="E519" s="273"/>
      <c r="F519" s="273"/>
      <c r="G519" s="273"/>
      <c r="H519" s="273"/>
      <c r="I519" s="2"/>
      <c r="J519" s="17"/>
      <c r="K519" s="10"/>
      <c r="L519" s="10"/>
      <c r="M519" s="10"/>
      <c r="N519" s="10"/>
      <c r="O519" s="10"/>
      <c r="P519" s="10"/>
      <c r="Q519" s="10"/>
      <c r="R519" s="2"/>
      <c r="S519" s="273"/>
      <c r="T519" s="273"/>
      <c r="U519" s="273"/>
      <c r="V519" s="9"/>
      <c r="W519" s="273"/>
      <c r="X519" s="273"/>
      <c r="Y519" s="9"/>
      <c r="Z519" s="273"/>
      <c r="AA519" s="273"/>
      <c r="AB519" s="9"/>
      <c r="AC519" s="273"/>
      <c r="AD519" s="273"/>
      <c r="AE519" s="9"/>
      <c r="AF519" s="273"/>
      <c r="AG519" s="273"/>
      <c r="AH519" s="9"/>
      <c r="AI519" s="273"/>
      <c r="AJ519" s="273"/>
      <c r="AK519" s="9"/>
      <c r="AL519" s="273"/>
      <c r="AM519" s="273"/>
      <c r="AN519" s="9"/>
      <c r="AO519" s="273"/>
      <c r="AP519" s="273"/>
      <c r="AQ519" s="9"/>
      <c r="AR519" s="273"/>
      <c r="AS519" s="39"/>
    </row>
    <row r="520" spans="1:45" ht="12.75">
      <c r="A520" s="160"/>
      <c r="B520" s="273"/>
      <c r="C520" s="273"/>
      <c r="D520" s="273"/>
      <c r="E520" s="273"/>
      <c r="F520" s="273"/>
      <c r="G520" s="273"/>
      <c r="H520" s="273"/>
      <c r="I520" s="2"/>
      <c r="J520" s="17"/>
      <c r="K520" s="10"/>
      <c r="L520" s="10"/>
      <c r="M520" s="10"/>
      <c r="N520" s="10"/>
      <c r="O520" s="10"/>
      <c r="P520" s="10"/>
      <c r="Q520" s="10"/>
      <c r="R520" s="2"/>
      <c r="S520" s="273"/>
      <c r="T520" s="273"/>
      <c r="U520" s="273"/>
      <c r="V520" s="9"/>
      <c r="W520" s="273"/>
      <c r="X520" s="273"/>
      <c r="Y520" s="9"/>
      <c r="Z520" s="273"/>
      <c r="AA520" s="273"/>
      <c r="AB520" s="9"/>
      <c r="AC520" s="273"/>
      <c r="AD520" s="273"/>
      <c r="AE520" s="9"/>
      <c r="AF520" s="273"/>
      <c r="AG520" s="273"/>
      <c r="AH520" s="9"/>
      <c r="AI520" s="273"/>
      <c r="AJ520" s="273"/>
      <c r="AK520" s="9"/>
      <c r="AL520" s="273"/>
      <c r="AM520" s="273"/>
      <c r="AN520" s="9"/>
      <c r="AO520" s="273"/>
      <c r="AP520" s="273"/>
      <c r="AQ520" s="9"/>
      <c r="AR520" s="273"/>
      <c r="AS520" s="39"/>
    </row>
    <row r="521" spans="1:45" ht="12.75">
      <c r="A521" s="160"/>
      <c r="B521" s="273"/>
      <c r="C521" s="273"/>
      <c r="D521" s="273"/>
      <c r="E521" s="273"/>
      <c r="F521" s="273"/>
      <c r="G521" s="273"/>
      <c r="H521" s="273"/>
      <c r="I521" s="2"/>
      <c r="J521" s="17"/>
      <c r="K521" s="10"/>
      <c r="L521" s="10"/>
      <c r="M521" s="10"/>
      <c r="N521" s="10"/>
      <c r="O521" s="10"/>
      <c r="P521" s="10"/>
      <c r="Q521" s="10"/>
      <c r="R521" s="2"/>
      <c r="S521" s="273"/>
      <c r="T521" s="273"/>
      <c r="U521" s="273"/>
      <c r="V521" s="9"/>
      <c r="W521" s="273"/>
      <c r="X521" s="273"/>
      <c r="Y521" s="9"/>
      <c r="Z521" s="273"/>
      <c r="AA521" s="273"/>
      <c r="AB521" s="9"/>
      <c r="AC521" s="273"/>
      <c r="AD521" s="273"/>
      <c r="AE521" s="9"/>
      <c r="AF521" s="273"/>
      <c r="AG521" s="273"/>
      <c r="AH521" s="9"/>
      <c r="AI521" s="273"/>
      <c r="AJ521" s="273"/>
      <c r="AK521" s="9"/>
      <c r="AL521" s="273"/>
      <c r="AM521" s="273"/>
      <c r="AN521" s="9"/>
      <c r="AO521" s="273"/>
      <c r="AP521" s="273"/>
      <c r="AQ521" s="9"/>
      <c r="AR521" s="273"/>
      <c r="AS521" s="39"/>
    </row>
    <row r="522" spans="1:45" ht="12.75">
      <c r="A522" s="160"/>
      <c r="B522" s="273"/>
      <c r="C522" s="273"/>
      <c r="D522" s="273"/>
      <c r="E522" s="273"/>
      <c r="F522" s="273"/>
      <c r="G522" s="273"/>
      <c r="H522" s="273"/>
      <c r="I522" s="2"/>
      <c r="J522" s="17"/>
      <c r="K522" s="10"/>
      <c r="L522" s="10"/>
      <c r="M522" s="10"/>
      <c r="N522" s="10"/>
      <c r="O522" s="10"/>
      <c r="P522" s="10"/>
      <c r="Q522" s="10"/>
      <c r="R522" s="2"/>
      <c r="S522" s="273"/>
      <c r="T522" s="273"/>
      <c r="U522" s="273"/>
      <c r="V522" s="9"/>
      <c r="W522" s="273"/>
      <c r="X522" s="273"/>
      <c r="Y522" s="9"/>
      <c r="Z522" s="273"/>
      <c r="AA522" s="273"/>
      <c r="AB522" s="9"/>
      <c r="AC522" s="273"/>
      <c r="AD522" s="273"/>
      <c r="AE522" s="9"/>
      <c r="AF522" s="273"/>
      <c r="AG522" s="273"/>
      <c r="AH522" s="9"/>
      <c r="AI522" s="273"/>
      <c r="AJ522" s="273"/>
      <c r="AK522" s="9"/>
      <c r="AL522" s="273"/>
      <c r="AM522" s="273"/>
      <c r="AN522" s="9"/>
      <c r="AO522" s="273"/>
      <c r="AP522" s="273"/>
      <c r="AQ522" s="9"/>
      <c r="AR522" s="273"/>
      <c r="AS522" s="39"/>
    </row>
    <row r="523" spans="1:45" ht="12.75">
      <c r="A523" s="160"/>
      <c r="B523" s="273"/>
      <c r="C523" s="273"/>
      <c r="D523" s="273"/>
      <c r="E523" s="273"/>
      <c r="F523" s="273"/>
      <c r="G523" s="273"/>
      <c r="H523" s="273"/>
      <c r="I523" s="2"/>
      <c r="J523" s="17"/>
      <c r="K523" s="10"/>
      <c r="L523" s="10"/>
      <c r="M523" s="10"/>
      <c r="N523" s="10"/>
      <c r="O523" s="10"/>
      <c r="P523" s="10"/>
      <c r="Q523" s="10"/>
      <c r="R523" s="2"/>
      <c r="S523" s="273"/>
      <c r="T523" s="273"/>
      <c r="U523" s="273"/>
      <c r="V523" s="9"/>
      <c r="W523" s="273"/>
      <c r="X523" s="273"/>
      <c r="Y523" s="9"/>
      <c r="Z523" s="273"/>
      <c r="AA523" s="273"/>
      <c r="AB523" s="9"/>
      <c r="AC523" s="273"/>
      <c r="AD523" s="273"/>
      <c r="AE523" s="9"/>
      <c r="AF523" s="273"/>
      <c r="AG523" s="273"/>
      <c r="AH523" s="9"/>
      <c r="AI523" s="273"/>
      <c r="AJ523" s="273"/>
      <c r="AK523" s="9"/>
      <c r="AL523" s="273"/>
      <c r="AM523" s="273"/>
      <c r="AN523" s="9"/>
      <c r="AO523" s="273"/>
      <c r="AP523" s="273"/>
      <c r="AQ523" s="9"/>
      <c r="AR523" s="273"/>
      <c r="AS523" s="39"/>
    </row>
    <row r="524" spans="1:45" ht="12.75">
      <c r="A524" s="160"/>
      <c r="B524" s="273"/>
      <c r="C524" s="273"/>
      <c r="D524" s="273"/>
      <c r="E524" s="273"/>
      <c r="F524" s="273"/>
      <c r="G524" s="273"/>
      <c r="H524" s="273"/>
      <c r="I524" s="2"/>
      <c r="J524" s="17"/>
      <c r="K524" s="10"/>
      <c r="L524" s="10"/>
      <c r="M524" s="10"/>
      <c r="N524" s="10"/>
      <c r="O524" s="10"/>
      <c r="P524" s="10"/>
      <c r="Q524" s="10"/>
      <c r="R524" s="2"/>
      <c r="S524" s="273"/>
      <c r="T524" s="273"/>
      <c r="U524" s="273"/>
      <c r="V524" s="9"/>
      <c r="W524" s="273"/>
      <c r="X524" s="273"/>
      <c r="Y524" s="9"/>
      <c r="Z524" s="273"/>
      <c r="AA524" s="273"/>
      <c r="AB524" s="9"/>
      <c r="AC524" s="273"/>
      <c r="AD524" s="273"/>
      <c r="AE524" s="9"/>
      <c r="AF524" s="273"/>
      <c r="AG524" s="273"/>
      <c r="AH524" s="9"/>
      <c r="AI524" s="273"/>
      <c r="AJ524" s="273"/>
      <c r="AK524" s="9"/>
      <c r="AL524" s="273"/>
      <c r="AM524" s="273"/>
      <c r="AN524" s="9"/>
      <c r="AO524" s="273"/>
      <c r="AP524" s="273"/>
      <c r="AQ524" s="9"/>
      <c r="AR524" s="273"/>
      <c r="AS524" s="39"/>
    </row>
    <row r="525" spans="1:45" ht="12.75">
      <c r="A525" s="160"/>
      <c r="B525" s="273"/>
      <c r="C525" s="273"/>
      <c r="D525" s="273"/>
      <c r="E525" s="273"/>
      <c r="F525" s="273"/>
      <c r="G525" s="273"/>
      <c r="H525" s="273"/>
      <c r="I525" s="2"/>
      <c r="J525" s="17"/>
      <c r="K525" s="10"/>
      <c r="L525" s="10"/>
      <c r="M525" s="10"/>
      <c r="N525" s="10"/>
      <c r="O525" s="10"/>
      <c r="P525" s="10"/>
      <c r="Q525" s="10"/>
      <c r="R525" s="2"/>
      <c r="S525" s="273"/>
      <c r="T525" s="273"/>
      <c r="U525" s="273"/>
      <c r="V525" s="9"/>
      <c r="W525" s="273"/>
      <c r="X525" s="273"/>
      <c r="Y525" s="9"/>
      <c r="Z525" s="273"/>
      <c r="AA525" s="273"/>
      <c r="AB525" s="9"/>
      <c r="AC525" s="273"/>
      <c r="AD525" s="273"/>
      <c r="AE525" s="9"/>
      <c r="AF525" s="273"/>
      <c r="AG525" s="273"/>
      <c r="AH525" s="9"/>
      <c r="AI525" s="273"/>
      <c r="AJ525" s="273"/>
      <c r="AK525" s="9"/>
      <c r="AL525" s="273"/>
      <c r="AM525" s="273"/>
      <c r="AN525" s="9"/>
      <c r="AO525" s="273"/>
      <c r="AP525" s="273"/>
      <c r="AQ525" s="9"/>
      <c r="AR525" s="273"/>
      <c r="AS525" s="39"/>
    </row>
    <row r="526" spans="1:45" ht="12.75">
      <c r="A526" s="160"/>
      <c r="B526" s="273"/>
      <c r="C526" s="273"/>
      <c r="D526" s="273"/>
      <c r="E526" s="273"/>
      <c r="F526" s="273"/>
      <c r="G526" s="273"/>
      <c r="H526" s="273"/>
      <c r="I526" s="2"/>
      <c r="J526" s="17"/>
      <c r="K526" s="10"/>
      <c r="L526" s="10"/>
      <c r="M526" s="10"/>
      <c r="N526" s="10"/>
      <c r="O526" s="10"/>
      <c r="P526" s="10"/>
      <c r="Q526" s="10"/>
      <c r="R526" s="2"/>
      <c r="S526" s="273"/>
      <c r="T526" s="273"/>
      <c r="U526" s="273"/>
      <c r="V526" s="9"/>
      <c r="W526" s="273"/>
      <c r="X526" s="273"/>
      <c r="Y526" s="9"/>
      <c r="Z526" s="273"/>
      <c r="AA526" s="273"/>
      <c r="AB526" s="9"/>
      <c r="AC526" s="273"/>
      <c r="AD526" s="273"/>
      <c r="AE526" s="9"/>
      <c r="AF526" s="273"/>
      <c r="AG526" s="273"/>
      <c r="AH526" s="9"/>
      <c r="AI526" s="273"/>
      <c r="AJ526" s="273"/>
      <c r="AK526" s="9"/>
      <c r="AL526" s="273"/>
      <c r="AM526" s="273"/>
      <c r="AN526" s="9"/>
      <c r="AO526" s="273"/>
      <c r="AP526" s="273"/>
      <c r="AQ526" s="9"/>
      <c r="AR526" s="273"/>
      <c r="AS526" s="39"/>
    </row>
    <row r="527" spans="1:45" ht="12.75">
      <c r="A527" s="160"/>
      <c r="B527" s="273"/>
      <c r="C527" s="273"/>
      <c r="D527" s="273"/>
      <c r="E527" s="273"/>
      <c r="F527" s="273"/>
      <c r="G527" s="273"/>
      <c r="H527" s="273"/>
      <c r="I527" s="2"/>
      <c r="J527" s="17"/>
      <c r="K527" s="10"/>
      <c r="L527" s="10"/>
      <c r="M527" s="10"/>
      <c r="N527" s="10"/>
      <c r="O527" s="10"/>
      <c r="P527" s="10"/>
      <c r="Q527" s="10"/>
      <c r="R527" s="2"/>
      <c r="S527" s="273"/>
      <c r="T527" s="273"/>
      <c r="U527" s="273"/>
      <c r="V527" s="9"/>
      <c r="W527" s="273"/>
      <c r="X527" s="273"/>
      <c r="Y527" s="9"/>
      <c r="Z527" s="273"/>
      <c r="AA527" s="273"/>
      <c r="AB527" s="9"/>
      <c r="AC527" s="273"/>
      <c r="AD527" s="273"/>
      <c r="AE527" s="9"/>
      <c r="AF527" s="273"/>
      <c r="AG527" s="273"/>
      <c r="AH527" s="9"/>
      <c r="AI527" s="273"/>
      <c r="AJ527" s="273"/>
      <c r="AK527" s="9"/>
      <c r="AL527" s="273"/>
      <c r="AM527" s="273"/>
      <c r="AN527" s="9"/>
      <c r="AO527" s="273"/>
      <c r="AP527" s="273"/>
      <c r="AQ527" s="9"/>
      <c r="AR527" s="273"/>
      <c r="AS527" s="39"/>
    </row>
    <row r="528" spans="1:45" ht="12.75">
      <c r="A528" s="160"/>
      <c r="B528" s="273"/>
      <c r="C528" s="273"/>
      <c r="D528" s="273"/>
      <c r="E528" s="273"/>
      <c r="F528" s="273"/>
      <c r="G528" s="273"/>
      <c r="H528" s="273"/>
      <c r="I528" s="2"/>
      <c r="J528" s="17"/>
      <c r="K528" s="10"/>
      <c r="L528" s="10"/>
      <c r="M528" s="10"/>
      <c r="N528" s="10"/>
      <c r="O528" s="10"/>
      <c r="P528" s="10"/>
      <c r="Q528" s="10"/>
      <c r="R528" s="2"/>
      <c r="S528" s="273"/>
      <c r="T528" s="273"/>
      <c r="U528" s="273"/>
      <c r="V528" s="9"/>
      <c r="W528" s="273"/>
      <c r="X528" s="273"/>
      <c r="Y528" s="9"/>
      <c r="Z528" s="273"/>
      <c r="AA528" s="273"/>
      <c r="AB528" s="9"/>
      <c r="AC528" s="273"/>
      <c r="AD528" s="273"/>
      <c r="AE528" s="9"/>
      <c r="AF528" s="273"/>
      <c r="AG528" s="273"/>
      <c r="AH528" s="9"/>
      <c r="AI528" s="273"/>
      <c r="AJ528" s="273"/>
      <c r="AK528" s="9"/>
      <c r="AL528" s="273"/>
      <c r="AM528" s="273"/>
      <c r="AN528" s="9"/>
      <c r="AO528" s="273"/>
      <c r="AP528" s="273"/>
      <c r="AQ528" s="9"/>
      <c r="AR528" s="273"/>
      <c r="AS528" s="39"/>
    </row>
    <row r="529" spans="1:45" ht="12.75">
      <c r="A529" s="160"/>
      <c r="B529" s="273"/>
      <c r="C529" s="273"/>
      <c r="D529" s="273"/>
      <c r="E529" s="273"/>
      <c r="F529" s="273"/>
      <c r="G529" s="273"/>
      <c r="H529" s="273"/>
      <c r="I529" s="2"/>
      <c r="J529" s="17"/>
      <c r="K529" s="10"/>
      <c r="L529" s="10"/>
      <c r="M529" s="10"/>
      <c r="N529" s="10"/>
      <c r="O529" s="10"/>
      <c r="P529" s="10"/>
      <c r="Q529" s="10"/>
      <c r="R529" s="2"/>
      <c r="S529" s="273"/>
      <c r="T529" s="273"/>
      <c r="U529" s="273"/>
      <c r="V529" s="9"/>
      <c r="W529" s="273"/>
      <c r="X529" s="273"/>
      <c r="Y529" s="9"/>
      <c r="Z529" s="273"/>
      <c r="AA529" s="273"/>
      <c r="AB529" s="9"/>
      <c r="AC529" s="273"/>
      <c r="AD529" s="273"/>
      <c r="AE529" s="9"/>
      <c r="AF529" s="273"/>
      <c r="AG529" s="273"/>
      <c r="AH529" s="9"/>
      <c r="AI529" s="273"/>
      <c r="AJ529" s="273"/>
      <c r="AK529" s="9"/>
      <c r="AL529" s="273"/>
      <c r="AM529" s="273"/>
      <c r="AN529" s="9"/>
      <c r="AO529" s="273"/>
      <c r="AP529" s="273"/>
      <c r="AQ529" s="9"/>
      <c r="AR529" s="273"/>
      <c r="AS529" s="39"/>
    </row>
    <row r="530" spans="1:45" ht="12.75">
      <c r="A530" s="160"/>
      <c r="B530" s="273"/>
      <c r="C530" s="273"/>
      <c r="D530" s="273"/>
      <c r="E530" s="273"/>
      <c r="F530" s="273"/>
      <c r="G530" s="273"/>
      <c r="H530" s="273"/>
      <c r="I530" s="2"/>
      <c r="J530" s="17"/>
      <c r="K530" s="10"/>
      <c r="L530" s="10"/>
      <c r="M530" s="10"/>
      <c r="N530" s="10"/>
      <c r="O530" s="10"/>
      <c r="P530" s="10"/>
      <c r="Q530" s="10"/>
      <c r="R530" s="2"/>
      <c r="S530" s="273"/>
      <c r="T530" s="273"/>
      <c r="U530" s="273"/>
      <c r="V530" s="9"/>
      <c r="W530" s="273"/>
      <c r="X530" s="273"/>
      <c r="Y530" s="9"/>
      <c r="Z530" s="273"/>
      <c r="AA530" s="273"/>
      <c r="AB530" s="9"/>
      <c r="AC530" s="273"/>
      <c r="AD530" s="273"/>
      <c r="AE530" s="9"/>
      <c r="AF530" s="273"/>
      <c r="AG530" s="273"/>
      <c r="AH530" s="9"/>
      <c r="AI530" s="273"/>
      <c r="AJ530" s="273"/>
      <c r="AK530" s="9"/>
      <c r="AL530" s="273"/>
      <c r="AM530" s="273"/>
      <c r="AN530" s="9"/>
      <c r="AO530" s="273"/>
      <c r="AP530" s="273"/>
      <c r="AQ530" s="9"/>
      <c r="AR530" s="273"/>
      <c r="AS530" s="39"/>
    </row>
    <row r="531" spans="1:45" ht="12.75">
      <c r="A531" s="160"/>
      <c r="B531" s="273"/>
      <c r="C531" s="273"/>
      <c r="D531" s="273"/>
      <c r="E531" s="273"/>
      <c r="F531" s="273"/>
      <c r="G531" s="273"/>
      <c r="H531" s="273"/>
      <c r="I531" s="2"/>
      <c r="J531" s="17"/>
      <c r="K531" s="10"/>
      <c r="L531" s="10"/>
      <c r="M531" s="10"/>
      <c r="N531" s="10"/>
      <c r="O531" s="10"/>
      <c r="P531" s="10"/>
      <c r="Q531" s="10"/>
      <c r="R531" s="2"/>
      <c r="S531" s="273"/>
      <c r="T531" s="273"/>
      <c r="U531" s="273"/>
      <c r="V531" s="9"/>
      <c r="W531" s="273"/>
      <c r="X531" s="273"/>
      <c r="Y531" s="9"/>
      <c r="Z531" s="273"/>
      <c r="AA531" s="273"/>
      <c r="AB531" s="9"/>
      <c r="AC531" s="273"/>
      <c r="AD531" s="273"/>
      <c r="AE531" s="9"/>
      <c r="AF531" s="273"/>
      <c r="AG531" s="273"/>
      <c r="AH531" s="9"/>
      <c r="AI531" s="273"/>
      <c r="AJ531" s="273"/>
      <c r="AK531" s="9"/>
      <c r="AL531" s="273"/>
      <c r="AM531" s="273"/>
      <c r="AN531" s="9"/>
      <c r="AO531" s="273"/>
      <c r="AP531" s="273"/>
      <c r="AQ531" s="9"/>
      <c r="AR531" s="273"/>
      <c r="AS531" s="39"/>
    </row>
    <row r="532" spans="1:45" ht="12.75">
      <c r="A532" s="160"/>
      <c r="B532" s="273"/>
      <c r="C532" s="273"/>
      <c r="D532" s="273"/>
      <c r="E532" s="273"/>
      <c r="F532" s="273"/>
      <c r="G532" s="273"/>
      <c r="H532" s="273"/>
      <c r="I532" s="2"/>
      <c r="J532" s="17"/>
      <c r="K532" s="10"/>
      <c r="L532" s="10"/>
      <c r="M532" s="10"/>
      <c r="N532" s="10"/>
      <c r="O532" s="10"/>
      <c r="P532" s="10"/>
      <c r="Q532" s="10"/>
      <c r="R532" s="2"/>
      <c r="S532" s="273"/>
      <c r="T532" s="273"/>
      <c r="U532" s="273"/>
      <c r="V532" s="9"/>
      <c r="W532" s="273"/>
      <c r="X532" s="273"/>
      <c r="Y532" s="9"/>
      <c r="Z532" s="273"/>
      <c r="AA532" s="273"/>
      <c r="AB532" s="9"/>
      <c r="AC532" s="273"/>
      <c r="AD532" s="273"/>
      <c r="AE532" s="9"/>
      <c r="AF532" s="273"/>
      <c r="AG532" s="273"/>
      <c r="AH532" s="9"/>
      <c r="AI532" s="273"/>
      <c r="AJ532" s="273"/>
      <c r="AK532" s="9"/>
      <c r="AL532" s="273"/>
      <c r="AM532" s="273"/>
      <c r="AN532" s="9"/>
      <c r="AO532" s="273"/>
      <c r="AP532" s="273"/>
      <c r="AQ532" s="9"/>
      <c r="AR532" s="273"/>
      <c r="AS532" s="39"/>
    </row>
    <row r="533" spans="1:45" ht="12.75">
      <c r="A533" s="160"/>
      <c r="B533" s="273"/>
      <c r="C533" s="273"/>
      <c r="D533" s="273"/>
      <c r="E533" s="273"/>
      <c r="F533" s="273"/>
      <c r="G533" s="273"/>
      <c r="H533" s="273"/>
      <c r="I533" s="2"/>
      <c r="J533" s="17"/>
      <c r="K533" s="10"/>
      <c r="L533" s="10"/>
      <c r="M533" s="10"/>
      <c r="N533" s="10"/>
      <c r="O533" s="10"/>
      <c r="P533" s="10"/>
      <c r="Q533" s="10"/>
      <c r="R533" s="2"/>
      <c r="S533" s="273"/>
      <c r="T533" s="273"/>
      <c r="U533" s="273"/>
      <c r="V533" s="9"/>
      <c r="W533" s="273"/>
      <c r="X533" s="273"/>
      <c r="Y533" s="9"/>
      <c r="Z533" s="273"/>
      <c r="AA533" s="273"/>
      <c r="AB533" s="9"/>
      <c r="AC533" s="273"/>
      <c r="AD533" s="273"/>
      <c r="AE533" s="9"/>
      <c r="AF533" s="273"/>
      <c r="AG533" s="273"/>
      <c r="AH533" s="9"/>
      <c r="AI533" s="273"/>
      <c r="AJ533" s="273"/>
      <c r="AK533" s="9"/>
      <c r="AL533" s="273"/>
      <c r="AM533" s="273"/>
      <c r="AN533" s="9"/>
      <c r="AO533" s="273"/>
      <c r="AP533" s="273"/>
      <c r="AQ533" s="9"/>
      <c r="AR533" s="273"/>
      <c r="AS533" s="39"/>
    </row>
    <row r="534" spans="1:45" ht="12.75">
      <c r="A534" s="160"/>
      <c r="B534" s="273"/>
      <c r="C534" s="273"/>
      <c r="D534" s="273"/>
      <c r="E534" s="273"/>
      <c r="F534" s="273"/>
      <c r="G534" s="273"/>
      <c r="H534" s="273"/>
      <c r="I534" s="2"/>
      <c r="J534" s="17"/>
      <c r="K534" s="10"/>
      <c r="L534" s="10"/>
      <c r="M534" s="10"/>
      <c r="N534" s="10"/>
      <c r="O534" s="10"/>
      <c r="P534" s="10"/>
      <c r="Q534" s="10"/>
      <c r="R534" s="2"/>
      <c r="S534" s="273"/>
      <c r="T534" s="273"/>
      <c r="U534" s="273"/>
      <c r="V534" s="9"/>
      <c r="W534" s="273"/>
      <c r="X534" s="273"/>
      <c r="Y534" s="9"/>
      <c r="Z534" s="273"/>
      <c r="AA534" s="273"/>
      <c r="AB534" s="9"/>
      <c r="AC534" s="273"/>
      <c r="AD534" s="273"/>
      <c r="AE534" s="9"/>
      <c r="AF534" s="273"/>
      <c r="AG534" s="273"/>
      <c r="AH534" s="9"/>
      <c r="AI534" s="273"/>
      <c r="AJ534" s="273"/>
      <c r="AK534" s="9"/>
      <c r="AL534" s="273"/>
      <c r="AM534" s="273"/>
      <c r="AN534" s="9"/>
      <c r="AO534" s="273"/>
      <c r="AP534" s="273"/>
      <c r="AQ534" s="9"/>
      <c r="AR534" s="273"/>
      <c r="AS534" s="39"/>
    </row>
    <row r="535" spans="1:45" ht="12.75">
      <c r="A535" s="160"/>
      <c r="B535" s="273"/>
      <c r="C535" s="273"/>
      <c r="D535" s="273"/>
      <c r="E535" s="273"/>
      <c r="F535" s="273"/>
      <c r="G535" s="273"/>
      <c r="H535" s="273"/>
      <c r="I535" s="2"/>
      <c r="J535" s="17"/>
      <c r="K535" s="10"/>
      <c r="L535" s="10"/>
      <c r="M535" s="10"/>
      <c r="N535" s="10"/>
      <c r="O535" s="10"/>
      <c r="P535" s="10"/>
      <c r="Q535" s="10"/>
      <c r="R535" s="2"/>
      <c r="S535" s="273"/>
      <c r="T535" s="273"/>
      <c r="U535" s="273"/>
      <c r="V535" s="9"/>
      <c r="W535" s="273"/>
      <c r="X535" s="273"/>
      <c r="Y535" s="9"/>
      <c r="Z535" s="273"/>
      <c r="AA535" s="273"/>
      <c r="AB535" s="9"/>
      <c r="AC535" s="273"/>
      <c r="AD535" s="273"/>
      <c r="AE535" s="9"/>
      <c r="AF535" s="273"/>
      <c r="AG535" s="273"/>
      <c r="AH535" s="9"/>
      <c r="AI535" s="273"/>
      <c r="AJ535" s="273"/>
      <c r="AK535" s="9"/>
      <c r="AL535" s="273"/>
      <c r="AM535" s="273"/>
      <c r="AN535" s="9"/>
      <c r="AO535" s="273"/>
      <c r="AP535" s="273"/>
      <c r="AQ535" s="9"/>
      <c r="AR535" s="273"/>
      <c r="AS535" s="39"/>
    </row>
    <row r="536" spans="1:45" ht="12.75">
      <c r="A536" s="160"/>
      <c r="B536" s="273"/>
      <c r="C536" s="273"/>
      <c r="D536" s="273"/>
      <c r="E536" s="273"/>
      <c r="F536" s="273"/>
      <c r="G536" s="273"/>
      <c r="H536" s="273"/>
      <c r="I536" s="2"/>
      <c r="J536" s="17"/>
      <c r="K536" s="10"/>
      <c r="L536" s="10"/>
      <c r="M536" s="10"/>
      <c r="N536" s="10"/>
      <c r="O536" s="10"/>
      <c r="P536" s="10"/>
      <c r="Q536" s="10"/>
      <c r="R536" s="2"/>
      <c r="S536" s="273"/>
      <c r="T536" s="273"/>
      <c r="U536" s="273"/>
      <c r="V536" s="9"/>
      <c r="W536" s="273"/>
      <c r="X536" s="273"/>
      <c r="Y536" s="9"/>
      <c r="Z536" s="273"/>
      <c r="AA536" s="273"/>
      <c r="AB536" s="9"/>
      <c r="AC536" s="273"/>
      <c r="AD536" s="273"/>
      <c r="AE536" s="9"/>
      <c r="AF536" s="273"/>
      <c r="AG536" s="273"/>
      <c r="AH536" s="9"/>
      <c r="AI536" s="273"/>
      <c r="AJ536" s="273"/>
      <c r="AK536" s="9"/>
      <c r="AL536" s="273"/>
      <c r="AM536" s="273"/>
      <c r="AN536" s="9"/>
      <c r="AO536" s="273"/>
      <c r="AP536" s="273"/>
      <c r="AQ536" s="9"/>
      <c r="AR536" s="273"/>
      <c r="AS536" s="39"/>
    </row>
    <row r="537" spans="1:45" ht="12.75">
      <c r="A537" s="160"/>
      <c r="B537" s="273"/>
      <c r="C537" s="273"/>
      <c r="D537" s="273"/>
      <c r="E537" s="273"/>
      <c r="F537" s="273"/>
      <c r="G537" s="273"/>
      <c r="H537" s="273"/>
      <c r="I537" s="2"/>
      <c r="J537" s="17"/>
      <c r="K537" s="10"/>
      <c r="L537" s="10"/>
      <c r="M537" s="10"/>
      <c r="N537" s="10"/>
      <c r="O537" s="10"/>
      <c r="P537" s="10"/>
      <c r="Q537" s="10"/>
      <c r="R537" s="2"/>
      <c r="S537" s="273"/>
      <c r="T537" s="273"/>
      <c r="U537" s="273"/>
      <c r="V537" s="9"/>
      <c r="W537" s="273"/>
      <c r="X537" s="273"/>
      <c r="Y537" s="9"/>
      <c r="Z537" s="273"/>
      <c r="AA537" s="273"/>
      <c r="AB537" s="9"/>
      <c r="AC537" s="273"/>
      <c r="AD537" s="273"/>
      <c r="AE537" s="9"/>
      <c r="AF537" s="273"/>
      <c r="AG537" s="273"/>
      <c r="AH537" s="9"/>
      <c r="AI537" s="273"/>
      <c r="AJ537" s="273"/>
      <c r="AK537" s="9"/>
      <c r="AL537" s="273"/>
      <c r="AM537" s="273"/>
      <c r="AN537" s="9"/>
      <c r="AO537" s="273"/>
      <c r="AP537" s="273"/>
      <c r="AQ537" s="9"/>
      <c r="AR537" s="273"/>
      <c r="AS537" s="39"/>
    </row>
    <row r="538" spans="1:45" ht="12.75">
      <c r="A538" s="160"/>
      <c r="B538" s="273"/>
      <c r="C538" s="273"/>
      <c r="D538" s="273"/>
      <c r="E538" s="273"/>
      <c r="F538" s="273"/>
      <c r="G538" s="273"/>
      <c r="H538" s="273"/>
      <c r="I538" s="2"/>
      <c r="J538" s="17"/>
      <c r="K538" s="10"/>
      <c r="L538" s="10"/>
      <c r="M538" s="10"/>
      <c r="N538" s="10"/>
      <c r="O538" s="10"/>
      <c r="P538" s="10"/>
      <c r="Q538" s="10"/>
      <c r="R538" s="2"/>
      <c r="S538" s="273"/>
      <c r="T538" s="273"/>
      <c r="U538" s="273"/>
      <c r="V538" s="9"/>
      <c r="W538" s="273"/>
      <c r="X538" s="273"/>
      <c r="Y538" s="9"/>
      <c r="Z538" s="273"/>
      <c r="AA538" s="273"/>
      <c r="AB538" s="9"/>
      <c r="AC538" s="273"/>
      <c r="AD538" s="273"/>
      <c r="AE538" s="9"/>
      <c r="AF538" s="273"/>
      <c r="AG538" s="273"/>
      <c r="AH538" s="9"/>
      <c r="AI538" s="273"/>
      <c r="AJ538" s="273"/>
      <c r="AK538" s="9"/>
      <c r="AL538" s="273"/>
      <c r="AM538" s="273"/>
      <c r="AN538" s="9"/>
      <c r="AO538" s="273"/>
      <c r="AP538" s="273"/>
      <c r="AQ538" s="9"/>
      <c r="AR538" s="273"/>
      <c r="AS538" s="39"/>
    </row>
    <row r="539" spans="1:45" ht="12.75">
      <c r="A539" s="160"/>
      <c r="B539" s="273"/>
      <c r="C539" s="273"/>
      <c r="D539" s="273"/>
      <c r="E539" s="273"/>
      <c r="F539" s="273"/>
      <c r="G539" s="273"/>
      <c r="H539" s="273"/>
      <c r="I539" s="2"/>
      <c r="J539" s="17"/>
      <c r="K539" s="10"/>
      <c r="L539" s="10"/>
      <c r="M539" s="10"/>
      <c r="N539" s="10"/>
      <c r="O539" s="10"/>
      <c r="P539" s="10"/>
      <c r="Q539" s="10"/>
      <c r="R539" s="2"/>
      <c r="S539" s="273"/>
      <c r="T539" s="273"/>
      <c r="U539" s="273"/>
      <c r="V539" s="9"/>
      <c r="W539" s="273"/>
      <c r="X539" s="273"/>
      <c r="Y539" s="9"/>
      <c r="Z539" s="273"/>
      <c r="AA539" s="273"/>
      <c r="AB539" s="9"/>
      <c r="AC539" s="273"/>
      <c r="AD539" s="273"/>
      <c r="AE539" s="9"/>
      <c r="AF539" s="273"/>
      <c r="AG539" s="273"/>
      <c r="AH539" s="9"/>
      <c r="AI539" s="273"/>
      <c r="AJ539" s="273"/>
      <c r="AK539" s="9"/>
      <c r="AL539" s="273"/>
      <c r="AM539" s="273"/>
      <c r="AN539" s="9"/>
      <c r="AO539" s="273"/>
      <c r="AP539" s="273"/>
      <c r="AQ539" s="9"/>
      <c r="AR539" s="273"/>
      <c r="AS539" s="39"/>
    </row>
    <row r="540" spans="1:45" ht="12.75">
      <c r="A540" s="160"/>
      <c r="B540" s="273"/>
      <c r="C540" s="273"/>
      <c r="D540" s="273"/>
      <c r="E540" s="273"/>
      <c r="F540" s="273"/>
      <c r="G540" s="273"/>
      <c r="H540" s="273"/>
      <c r="I540" s="2"/>
      <c r="J540" s="17"/>
      <c r="K540" s="10"/>
      <c r="L540" s="10"/>
      <c r="M540" s="10"/>
      <c r="N540" s="10"/>
      <c r="O540" s="10"/>
      <c r="P540" s="10"/>
      <c r="Q540" s="10"/>
      <c r="R540" s="2"/>
      <c r="S540" s="273"/>
      <c r="T540" s="273"/>
      <c r="U540" s="273"/>
      <c r="V540" s="9"/>
      <c r="W540" s="273"/>
      <c r="X540" s="273"/>
      <c r="Y540" s="9"/>
      <c r="Z540" s="273"/>
      <c r="AA540" s="273"/>
      <c r="AB540" s="9"/>
      <c r="AC540" s="273"/>
      <c r="AD540" s="273"/>
      <c r="AE540" s="9"/>
      <c r="AF540" s="273"/>
      <c r="AG540" s="273"/>
      <c r="AH540" s="9"/>
      <c r="AI540" s="273"/>
      <c r="AJ540" s="273"/>
      <c r="AK540" s="9"/>
      <c r="AL540" s="273"/>
      <c r="AM540" s="273"/>
      <c r="AN540" s="9"/>
      <c r="AO540" s="273"/>
      <c r="AP540" s="273"/>
      <c r="AQ540" s="9"/>
      <c r="AR540" s="273"/>
      <c r="AS540" s="39"/>
    </row>
    <row r="541" spans="1:45" ht="12.75">
      <c r="A541" s="160"/>
      <c r="B541" s="273"/>
      <c r="C541" s="273"/>
      <c r="D541" s="273"/>
      <c r="E541" s="273"/>
      <c r="F541" s="273"/>
      <c r="G541" s="273"/>
      <c r="H541" s="273"/>
      <c r="I541" s="2"/>
      <c r="J541" s="17"/>
      <c r="K541" s="10"/>
      <c r="L541" s="10"/>
      <c r="M541" s="10"/>
      <c r="N541" s="10"/>
      <c r="O541" s="10"/>
      <c r="P541" s="10"/>
      <c r="Q541" s="10"/>
      <c r="R541" s="2"/>
      <c r="S541" s="273"/>
      <c r="T541" s="273"/>
      <c r="U541" s="273"/>
      <c r="V541" s="9"/>
      <c r="W541" s="273"/>
      <c r="X541" s="273"/>
      <c r="Y541" s="9"/>
      <c r="Z541" s="273"/>
      <c r="AA541" s="273"/>
      <c r="AB541" s="9"/>
      <c r="AC541" s="273"/>
      <c r="AD541" s="273"/>
      <c r="AE541" s="9"/>
      <c r="AF541" s="273"/>
      <c r="AG541" s="273"/>
      <c r="AH541" s="9"/>
      <c r="AI541" s="273"/>
      <c r="AJ541" s="273"/>
      <c r="AK541" s="9"/>
      <c r="AL541" s="273"/>
      <c r="AM541" s="273"/>
      <c r="AN541" s="9"/>
      <c r="AO541" s="273"/>
      <c r="AP541" s="273"/>
      <c r="AQ541" s="9"/>
      <c r="AR541" s="273"/>
      <c r="AS541" s="39"/>
    </row>
    <row r="542" spans="1:45" ht="12.75">
      <c r="A542" s="160"/>
      <c r="B542" s="273"/>
      <c r="C542" s="273"/>
      <c r="D542" s="273"/>
      <c r="E542" s="273"/>
      <c r="F542" s="273"/>
      <c r="G542" s="273"/>
      <c r="H542" s="273"/>
      <c r="I542" s="2"/>
      <c r="J542" s="17"/>
      <c r="K542" s="10"/>
      <c r="L542" s="10"/>
      <c r="M542" s="10"/>
      <c r="N542" s="10"/>
      <c r="O542" s="10"/>
      <c r="P542" s="10"/>
      <c r="Q542" s="10"/>
      <c r="R542" s="2"/>
      <c r="S542" s="273"/>
      <c r="T542" s="273"/>
      <c r="U542" s="273"/>
      <c r="V542" s="9"/>
      <c r="W542" s="273"/>
      <c r="X542" s="273"/>
      <c r="Y542" s="9"/>
      <c r="Z542" s="273"/>
      <c r="AA542" s="273"/>
      <c r="AB542" s="9"/>
      <c r="AC542" s="273"/>
      <c r="AD542" s="273"/>
      <c r="AE542" s="9"/>
      <c r="AF542" s="273"/>
      <c r="AG542" s="273"/>
      <c r="AH542" s="9"/>
      <c r="AI542" s="273"/>
      <c r="AJ542" s="273"/>
      <c r="AK542" s="9"/>
      <c r="AL542" s="273"/>
      <c r="AM542" s="273"/>
      <c r="AN542" s="9"/>
      <c r="AO542" s="273"/>
      <c r="AP542" s="273"/>
      <c r="AQ542" s="9"/>
      <c r="AR542" s="273"/>
      <c r="AS542" s="39"/>
    </row>
    <row r="543" spans="1:45" ht="12.75">
      <c r="A543" s="160"/>
      <c r="B543" s="273"/>
      <c r="C543" s="273"/>
      <c r="D543" s="273"/>
      <c r="E543" s="273"/>
      <c r="F543" s="273"/>
      <c r="G543" s="273"/>
      <c r="H543" s="273"/>
      <c r="I543" s="2"/>
      <c r="J543" s="17"/>
      <c r="K543" s="10"/>
      <c r="L543" s="10"/>
      <c r="M543" s="10"/>
      <c r="N543" s="10"/>
      <c r="O543" s="10"/>
      <c r="P543" s="10"/>
      <c r="Q543" s="10"/>
      <c r="R543" s="2"/>
      <c r="S543" s="273"/>
      <c r="T543" s="273"/>
      <c r="U543" s="273"/>
      <c r="V543" s="9"/>
      <c r="W543" s="273"/>
      <c r="X543" s="273"/>
      <c r="Y543" s="9"/>
      <c r="Z543" s="273"/>
      <c r="AA543" s="273"/>
      <c r="AB543" s="9"/>
      <c r="AC543" s="273"/>
      <c r="AD543" s="273"/>
      <c r="AE543" s="9"/>
      <c r="AF543" s="273"/>
      <c r="AG543" s="273"/>
      <c r="AH543" s="9"/>
      <c r="AI543" s="273"/>
      <c r="AJ543" s="273"/>
      <c r="AK543" s="9"/>
      <c r="AL543" s="273"/>
      <c r="AM543" s="273"/>
      <c r="AN543" s="9"/>
      <c r="AO543" s="273"/>
      <c r="AP543" s="273"/>
      <c r="AQ543" s="9"/>
      <c r="AR543" s="273"/>
      <c r="AS543" s="39"/>
    </row>
    <row r="544" spans="1:45" ht="12.75">
      <c r="A544" s="160"/>
      <c r="B544" s="273"/>
      <c r="C544" s="273"/>
      <c r="D544" s="273"/>
      <c r="E544" s="273"/>
      <c r="F544" s="273"/>
      <c r="G544" s="273"/>
      <c r="H544" s="273"/>
      <c r="I544" s="2"/>
      <c r="J544" s="17"/>
      <c r="K544" s="10"/>
      <c r="L544" s="10"/>
      <c r="M544" s="10"/>
      <c r="N544" s="10"/>
      <c r="O544" s="10"/>
      <c r="P544" s="10"/>
      <c r="Q544" s="10"/>
      <c r="R544" s="2"/>
      <c r="S544" s="273"/>
      <c r="T544" s="273"/>
      <c r="U544" s="273"/>
      <c r="V544" s="9"/>
      <c r="W544" s="273"/>
      <c r="X544" s="273"/>
      <c r="Y544" s="9"/>
      <c r="Z544" s="273"/>
      <c r="AA544" s="273"/>
      <c r="AB544" s="9"/>
      <c r="AC544" s="273"/>
      <c r="AD544" s="273"/>
      <c r="AE544" s="9"/>
      <c r="AF544" s="273"/>
      <c r="AG544" s="273"/>
      <c r="AH544" s="9"/>
      <c r="AI544" s="273"/>
      <c r="AJ544" s="273"/>
      <c r="AK544" s="9"/>
      <c r="AL544" s="273"/>
      <c r="AM544" s="273"/>
      <c r="AN544" s="9"/>
      <c r="AO544" s="273"/>
      <c r="AP544" s="273"/>
      <c r="AQ544" s="9"/>
      <c r="AR544" s="273"/>
      <c r="AS544" s="39"/>
    </row>
    <row r="545" spans="1:45" ht="12.75">
      <c r="A545" s="160"/>
      <c r="B545" s="273"/>
      <c r="C545" s="273"/>
      <c r="D545" s="273"/>
      <c r="E545" s="273"/>
      <c r="F545" s="273"/>
      <c r="G545" s="273"/>
      <c r="H545" s="273"/>
      <c r="I545" s="2"/>
      <c r="J545" s="17"/>
      <c r="K545" s="10"/>
      <c r="L545" s="10"/>
      <c r="M545" s="10"/>
      <c r="N545" s="10"/>
      <c r="O545" s="10"/>
      <c r="P545" s="10"/>
      <c r="Q545" s="10"/>
      <c r="R545" s="2"/>
      <c r="S545" s="273"/>
      <c r="T545" s="273"/>
      <c r="U545" s="273"/>
      <c r="V545" s="9"/>
      <c r="W545" s="273"/>
      <c r="X545" s="273"/>
      <c r="Y545" s="9"/>
      <c r="Z545" s="273"/>
      <c r="AA545" s="273"/>
      <c r="AB545" s="9"/>
      <c r="AC545" s="273"/>
      <c r="AD545" s="273"/>
      <c r="AE545" s="9"/>
      <c r="AF545" s="273"/>
      <c r="AG545" s="273"/>
      <c r="AH545" s="9"/>
      <c r="AI545" s="273"/>
      <c r="AJ545" s="273"/>
      <c r="AK545" s="9"/>
      <c r="AL545" s="273"/>
      <c r="AM545" s="273"/>
      <c r="AN545" s="9"/>
      <c r="AO545" s="273"/>
      <c r="AP545" s="273"/>
      <c r="AQ545" s="9"/>
      <c r="AR545" s="273"/>
      <c r="AS545" s="39"/>
    </row>
    <row r="546" spans="1:45" ht="12.75">
      <c r="A546" s="160"/>
      <c r="B546" s="273"/>
      <c r="C546" s="273"/>
      <c r="D546" s="273"/>
      <c r="E546" s="273"/>
      <c r="F546" s="273"/>
      <c r="G546" s="273"/>
      <c r="H546" s="273"/>
      <c r="I546" s="2"/>
      <c r="J546" s="17"/>
      <c r="K546" s="10"/>
      <c r="L546" s="10"/>
      <c r="M546" s="10"/>
      <c r="N546" s="10"/>
      <c r="O546" s="10"/>
      <c r="P546" s="10"/>
      <c r="Q546" s="10"/>
      <c r="R546" s="2"/>
      <c r="S546" s="273"/>
      <c r="T546" s="273"/>
      <c r="U546" s="273"/>
      <c r="V546" s="9"/>
      <c r="W546" s="273"/>
      <c r="X546" s="273"/>
      <c r="Y546" s="9"/>
      <c r="Z546" s="273"/>
      <c r="AA546" s="273"/>
      <c r="AB546" s="9"/>
      <c r="AC546" s="273"/>
      <c r="AD546" s="273"/>
      <c r="AE546" s="9"/>
      <c r="AF546" s="273"/>
      <c r="AG546" s="273"/>
      <c r="AH546" s="9"/>
      <c r="AI546" s="273"/>
      <c r="AJ546" s="273"/>
      <c r="AK546" s="9"/>
      <c r="AL546" s="273"/>
      <c r="AM546" s="273"/>
      <c r="AN546" s="9"/>
      <c r="AO546" s="273"/>
      <c r="AP546" s="273"/>
      <c r="AQ546" s="9"/>
      <c r="AR546" s="273"/>
      <c r="AS546" s="39"/>
    </row>
    <row r="547" spans="1:45" ht="12.75">
      <c r="A547" s="160"/>
      <c r="B547" s="273"/>
      <c r="C547" s="273"/>
      <c r="D547" s="273"/>
      <c r="E547" s="273"/>
      <c r="F547" s="273"/>
      <c r="G547" s="273"/>
      <c r="H547" s="273"/>
      <c r="I547" s="2"/>
      <c r="J547" s="17"/>
      <c r="K547" s="10"/>
      <c r="L547" s="10"/>
      <c r="M547" s="10"/>
      <c r="N547" s="10"/>
      <c r="O547" s="10"/>
      <c r="P547" s="10"/>
      <c r="Q547" s="10"/>
      <c r="R547" s="2"/>
      <c r="S547" s="273"/>
      <c r="T547" s="273"/>
      <c r="U547" s="273"/>
      <c r="V547" s="9"/>
      <c r="W547" s="273"/>
      <c r="X547" s="273"/>
      <c r="Y547" s="9"/>
      <c r="Z547" s="273"/>
      <c r="AA547" s="273"/>
      <c r="AB547" s="9"/>
      <c r="AC547" s="273"/>
      <c r="AD547" s="273"/>
      <c r="AE547" s="9"/>
      <c r="AF547" s="273"/>
      <c r="AG547" s="273"/>
      <c r="AH547" s="9"/>
      <c r="AI547" s="273"/>
      <c r="AJ547" s="273"/>
      <c r="AK547" s="9"/>
      <c r="AL547" s="273"/>
      <c r="AM547" s="273"/>
      <c r="AN547" s="9"/>
      <c r="AO547" s="273"/>
      <c r="AP547" s="273"/>
      <c r="AQ547" s="9"/>
      <c r="AR547" s="273"/>
      <c r="AS547" s="39"/>
    </row>
    <row r="548" spans="1:45" ht="12.75">
      <c r="A548" s="160"/>
      <c r="B548" s="273"/>
      <c r="C548" s="273"/>
      <c r="D548" s="273"/>
      <c r="E548" s="273"/>
      <c r="F548" s="273"/>
      <c r="G548" s="273"/>
      <c r="H548" s="273"/>
      <c r="I548" s="2"/>
      <c r="J548" s="17"/>
      <c r="K548" s="10"/>
      <c r="L548" s="10"/>
      <c r="M548" s="10"/>
      <c r="N548" s="10"/>
      <c r="O548" s="10"/>
      <c r="P548" s="10"/>
      <c r="Q548" s="10"/>
      <c r="R548" s="2"/>
      <c r="S548" s="273"/>
      <c r="T548" s="273"/>
      <c r="U548" s="273"/>
      <c r="V548" s="9"/>
      <c r="W548" s="273"/>
      <c r="X548" s="273"/>
      <c r="Y548" s="9"/>
      <c r="Z548" s="273"/>
      <c r="AA548" s="273"/>
      <c r="AB548" s="9"/>
      <c r="AC548" s="273"/>
      <c r="AD548" s="273"/>
      <c r="AE548" s="9"/>
      <c r="AF548" s="273"/>
      <c r="AG548" s="273"/>
      <c r="AH548" s="9"/>
      <c r="AI548" s="273"/>
      <c r="AJ548" s="273"/>
      <c r="AK548" s="9"/>
      <c r="AL548" s="273"/>
      <c r="AM548" s="273"/>
      <c r="AN548" s="9"/>
      <c r="AO548" s="273"/>
      <c r="AP548" s="273"/>
      <c r="AQ548" s="9"/>
      <c r="AR548" s="273"/>
      <c r="AS548" s="39"/>
    </row>
    <row r="549" spans="1:45" ht="12.75">
      <c r="A549" s="160"/>
      <c r="B549" s="273"/>
      <c r="C549" s="273"/>
      <c r="D549" s="273"/>
      <c r="E549" s="273"/>
      <c r="F549" s="273"/>
      <c r="G549" s="273"/>
      <c r="H549" s="273"/>
      <c r="I549" s="2"/>
      <c r="J549" s="17"/>
      <c r="K549" s="10"/>
      <c r="L549" s="10"/>
      <c r="M549" s="10"/>
      <c r="N549" s="10"/>
      <c r="O549" s="10"/>
      <c r="P549" s="10"/>
      <c r="Q549" s="10"/>
      <c r="R549" s="2"/>
      <c r="S549" s="273"/>
      <c r="T549" s="273"/>
      <c r="U549" s="273"/>
      <c r="V549" s="9"/>
      <c r="W549" s="273"/>
      <c r="X549" s="273"/>
      <c r="Y549" s="9"/>
      <c r="Z549" s="273"/>
      <c r="AA549" s="273"/>
      <c r="AB549" s="9"/>
      <c r="AC549" s="273"/>
      <c r="AD549" s="273"/>
      <c r="AE549" s="9"/>
      <c r="AF549" s="273"/>
      <c r="AG549" s="273"/>
      <c r="AH549" s="9"/>
      <c r="AI549" s="273"/>
      <c r="AJ549" s="273"/>
      <c r="AK549" s="9"/>
      <c r="AL549" s="273"/>
      <c r="AM549" s="273"/>
      <c r="AN549" s="9"/>
      <c r="AO549" s="273"/>
      <c r="AP549" s="273"/>
      <c r="AQ549" s="9"/>
      <c r="AR549" s="273"/>
      <c r="AS549" s="39"/>
    </row>
    <row r="550" spans="1:45" ht="12.75">
      <c r="A550" s="160"/>
      <c r="B550" s="273"/>
      <c r="C550" s="273"/>
      <c r="D550" s="273"/>
      <c r="E550" s="273"/>
      <c r="F550" s="273"/>
      <c r="G550" s="273"/>
      <c r="H550" s="273"/>
      <c r="I550" s="2"/>
      <c r="J550" s="17"/>
      <c r="K550" s="10"/>
      <c r="L550" s="10"/>
      <c r="M550" s="10"/>
      <c r="N550" s="10"/>
      <c r="O550" s="10"/>
      <c r="P550" s="10"/>
      <c r="Q550" s="10"/>
      <c r="R550" s="2"/>
      <c r="S550" s="273"/>
      <c r="T550" s="273"/>
      <c r="U550" s="273"/>
      <c r="V550" s="9"/>
      <c r="W550" s="273"/>
      <c r="X550" s="273"/>
      <c r="Y550" s="9"/>
      <c r="Z550" s="273"/>
      <c r="AA550" s="273"/>
      <c r="AB550" s="9"/>
      <c r="AC550" s="273"/>
      <c r="AD550" s="273"/>
      <c r="AE550" s="9"/>
      <c r="AF550" s="273"/>
      <c r="AG550" s="273"/>
      <c r="AH550" s="9"/>
      <c r="AI550" s="273"/>
      <c r="AJ550" s="273"/>
      <c r="AK550" s="9"/>
      <c r="AL550" s="273"/>
      <c r="AM550" s="273"/>
      <c r="AN550" s="9"/>
      <c r="AO550" s="273"/>
      <c r="AP550" s="273"/>
      <c r="AQ550" s="9"/>
      <c r="AR550" s="273"/>
      <c r="AS550" s="39"/>
    </row>
    <row r="551" spans="1:45" ht="12.75">
      <c r="A551" s="160"/>
      <c r="B551" s="273"/>
      <c r="C551" s="273"/>
      <c r="D551" s="273"/>
      <c r="E551" s="273"/>
      <c r="F551" s="273"/>
      <c r="G551" s="273"/>
      <c r="H551" s="273"/>
      <c r="I551" s="2"/>
      <c r="J551" s="17"/>
      <c r="K551" s="10"/>
      <c r="L551" s="10"/>
      <c r="M551" s="10"/>
      <c r="N551" s="10"/>
      <c r="O551" s="10"/>
      <c r="P551" s="10"/>
      <c r="Q551" s="10"/>
      <c r="R551" s="2"/>
      <c r="S551" s="273"/>
      <c r="T551" s="273"/>
      <c r="U551" s="273"/>
      <c r="V551" s="9"/>
      <c r="W551" s="273"/>
      <c r="X551" s="273"/>
      <c r="Y551" s="9"/>
      <c r="Z551" s="273"/>
      <c r="AA551" s="273"/>
      <c r="AB551" s="9"/>
      <c r="AC551" s="273"/>
      <c r="AD551" s="273"/>
      <c r="AE551" s="9"/>
      <c r="AF551" s="273"/>
      <c r="AG551" s="273"/>
      <c r="AH551" s="9"/>
      <c r="AI551" s="273"/>
      <c r="AJ551" s="273"/>
      <c r="AK551" s="9"/>
      <c r="AL551" s="273"/>
      <c r="AM551" s="273"/>
      <c r="AN551" s="9"/>
      <c r="AO551" s="273"/>
      <c r="AP551" s="273"/>
      <c r="AQ551" s="9"/>
      <c r="AR551" s="273"/>
      <c r="AS551" s="39"/>
    </row>
    <row r="552" spans="1:45" ht="12.75">
      <c r="A552" s="160"/>
      <c r="B552" s="273"/>
      <c r="C552" s="273"/>
      <c r="D552" s="273"/>
      <c r="E552" s="273"/>
      <c r="F552" s="273"/>
      <c r="G552" s="273"/>
      <c r="H552" s="273"/>
      <c r="I552" s="2"/>
      <c r="J552" s="17"/>
      <c r="K552" s="10"/>
      <c r="L552" s="10"/>
      <c r="M552" s="10"/>
      <c r="N552" s="10"/>
      <c r="O552" s="10"/>
      <c r="P552" s="10"/>
      <c r="Q552" s="10"/>
      <c r="R552" s="2"/>
      <c r="S552" s="273"/>
      <c r="T552" s="273"/>
      <c r="U552" s="273"/>
      <c r="V552" s="9"/>
      <c r="W552" s="273"/>
      <c r="X552" s="273"/>
      <c r="Y552" s="9"/>
      <c r="Z552" s="273"/>
      <c r="AA552" s="273"/>
      <c r="AB552" s="9"/>
      <c r="AC552" s="273"/>
      <c r="AD552" s="273"/>
      <c r="AE552" s="9"/>
      <c r="AF552" s="273"/>
      <c r="AG552" s="273"/>
      <c r="AH552" s="9"/>
      <c r="AI552" s="273"/>
      <c r="AJ552" s="273"/>
      <c r="AK552" s="9"/>
      <c r="AL552" s="273"/>
      <c r="AM552" s="273"/>
      <c r="AN552" s="9"/>
      <c r="AO552" s="273"/>
      <c r="AP552" s="273"/>
      <c r="AQ552" s="9"/>
      <c r="AR552" s="273"/>
      <c r="AS552" s="39"/>
    </row>
    <row r="553" spans="1:45" ht="12.75">
      <c r="A553" s="160"/>
      <c r="B553" s="273"/>
      <c r="C553" s="273"/>
      <c r="D553" s="273"/>
      <c r="E553" s="273"/>
      <c r="F553" s="273"/>
      <c r="G553" s="273"/>
      <c r="H553" s="273"/>
      <c r="I553" s="2"/>
      <c r="J553" s="17"/>
      <c r="K553" s="10"/>
      <c r="L553" s="10"/>
      <c r="M553" s="10"/>
      <c r="N553" s="10"/>
      <c r="O553" s="10"/>
      <c r="P553" s="10"/>
      <c r="Q553" s="10"/>
      <c r="R553" s="2"/>
      <c r="S553" s="273"/>
      <c r="T553" s="273"/>
      <c r="U553" s="273"/>
      <c r="V553" s="9"/>
      <c r="W553" s="273"/>
      <c r="X553" s="273"/>
      <c r="Y553" s="9"/>
      <c r="Z553" s="273"/>
      <c r="AA553" s="273"/>
      <c r="AB553" s="9"/>
      <c r="AC553" s="273"/>
      <c r="AD553" s="273"/>
      <c r="AE553" s="9"/>
      <c r="AF553" s="273"/>
      <c r="AG553" s="273"/>
      <c r="AH553" s="9"/>
      <c r="AI553" s="273"/>
      <c r="AJ553" s="273"/>
      <c r="AK553" s="9"/>
      <c r="AL553" s="273"/>
      <c r="AM553" s="273"/>
      <c r="AN553" s="9"/>
      <c r="AO553" s="273"/>
      <c r="AP553" s="273"/>
      <c r="AQ553" s="9"/>
      <c r="AR553" s="273"/>
      <c r="AS553" s="39"/>
    </row>
    <row r="554" spans="1:45" ht="12.75">
      <c r="A554" s="160"/>
      <c r="B554" s="273"/>
      <c r="C554" s="273"/>
      <c r="D554" s="273"/>
      <c r="E554" s="273"/>
      <c r="F554" s="273"/>
      <c r="G554" s="273"/>
      <c r="H554" s="273"/>
      <c r="I554" s="2"/>
      <c r="J554" s="17"/>
      <c r="K554" s="10"/>
      <c r="L554" s="10"/>
      <c r="M554" s="10"/>
      <c r="N554" s="10"/>
      <c r="O554" s="10"/>
      <c r="P554" s="10"/>
      <c r="Q554" s="10"/>
      <c r="R554" s="2"/>
      <c r="S554" s="273"/>
      <c r="T554" s="273"/>
      <c r="U554" s="273"/>
      <c r="V554" s="9"/>
      <c r="W554" s="273"/>
      <c r="X554" s="273"/>
      <c r="Y554" s="9"/>
      <c r="Z554" s="273"/>
      <c r="AA554" s="273"/>
      <c r="AB554" s="9"/>
      <c r="AC554" s="273"/>
      <c r="AD554" s="273"/>
      <c r="AE554" s="9"/>
      <c r="AF554" s="273"/>
      <c r="AG554" s="273"/>
      <c r="AH554" s="9"/>
      <c r="AI554" s="273"/>
      <c r="AJ554" s="273"/>
      <c r="AK554" s="9"/>
      <c r="AL554" s="273"/>
      <c r="AM554" s="273"/>
      <c r="AN554" s="9"/>
      <c r="AO554" s="273"/>
      <c r="AP554" s="273"/>
      <c r="AQ554" s="9"/>
      <c r="AR554" s="273"/>
      <c r="AS554" s="39"/>
    </row>
    <row r="555" spans="1:45" ht="12.75">
      <c r="A555" s="160"/>
      <c r="B555" s="273"/>
      <c r="C555" s="273"/>
      <c r="D555" s="273"/>
      <c r="E555" s="273"/>
      <c r="F555" s="273"/>
      <c r="G555" s="273"/>
      <c r="H555" s="273"/>
      <c r="I555" s="2"/>
      <c r="J555" s="17"/>
      <c r="K555" s="10"/>
      <c r="L555" s="10"/>
      <c r="M555" s="10"/>
      <c r="N555" s="10"/>
      <c r="O555" s="10"/>
      <c r="P555" s="10"/>
      <c r="Q555" s="10"/>
      <c r="R555" s="2"/>
      <c r="S555" s="273"/>
      <c r="T555" s="273"/>
      <c r="U555" s="273"/>
      <c r="V555" s="9"/>
      <c r="W555" s="273"/>
      <c r="X555" s="273"/>
      <c r="Y555" s="9"/>
      <c r="Z555" s="273"/>
      <c r="AA555" s="273"/>
      <c r="AB555" s="9"/>
      <c r="AC555" s="273"/>
      <c r="AD555" s="273"/>
      <c r="AE555" s="9"/>
      <c r="AF555" s="273"/>
      <c r="AG555" s="273"/>
      <c r="AH555" s="9"/>
      <c r="AI555" s="273"/>
      <c r="AJ555" s="273"/>
      <c r="AK555" s="9"/>
      <c r="AL555" s="273"/>
      <c r="AM555" s="273"/>
      <c r="AN555" s="9"/>
      <c r="AO555" s="273"/>
      <c r="AP555" s="273"/>
      <c r="AQ555" s="9"/>
      <c r="AR555" s="273"/>
      <c r="AS555" s="39"/>
    </row>
    <row r="556" spans="1:45" ht="12.75">
      <c r="A556" s="160"/>
      <c r="B556" s="273"/>
      <c r="C556" s="273"/>
      <c r="D556" s="273"/>
      <c r="E556" s="273"/>
      <c r="F556" s="273"/>
      <c r="G556" s="273"/>
      <c r="H556" s="273"/>
      <c r="I556" s="2"/>
      <c r="J556" s="17"/>
      <c r="K556" s="10"/>
      <c r="L556" s="10"/>
      <c r="M556" s="10"/>
      <c r="N556" s="10"/>
      <c r="O556" s="10"/>
      <c r="P556" s="10"/>
      <c r="Q556" s="10"/>
      <c r="R556" s="2"/>
      <c r="S556" s="273"/>
      <c r="T556" s="273"/>
      <c r="U556" s="273"/>
      <c r="V556" s="9"/>
      <c r="W556" s="273"/>
      <c r="X556" s="273"/>
      <c r="Y556" s="9"/>
      <c r="Z556" s="273"/>
      <c r="AA556" s="273"/>
      <c r="AB556" s="9"/>
      <c r="AC556" s="273"/>
      <c r="AD556" s="273"/>
      <c r="AE556" s="9"/>
      <c r="AF556" s="273"/>
      <c r="AG556" s="273"/>
      <c r="AH556" s="9"/>
      <c r="AI556" s="273"/>
      <c r="AJ556" s="273"/>
      <c r="AK556" s="9"/>
      <c r="AL556" s="273"/>
      <c r="AM556" s="273"/>
      <c r="AN556" s="9"/>
      <c r="AO556" s="273"/>
      <c r="AP556" s="273"/>
      <c r="AQ556" s="9"/>
      <c r="AR556" s="273"/>
      <c r="AS556" s="39"/>
    </row>
    <row r="557" spans="1:45" ht="12.75">
      <c r="A557" s="160"/>
      <c r="B557" s="273"/>
      <c r="C557" s="273"/>
      <c r="D557" s="273"/>
      <c r="E557" s="273"/>
      <c r="F557" s="273"/>
      <c r="G557" s="273"/>
      <c r="H557" s="273"/>
      <c r="I557" s="2"/>
      <c r="J557" s="17"/>
      <c r="K557" s="10"/>
      <c r="L557" s="10"/>
      <c r="M557" s="10"/>
      <c r="N557" s="10"/>
      <c r="O557" s="10"/>
      <c r="P557" s="10"/>
      <c r="Q557" s="10"/>
      <c r="R557" s="2"/>
      <c r="S557" s="273"/>
      <c r="T557" s="273"/>
      <c r="U557" s="273"/>
      <c r="V557" s="9"/>
      <c r="W557" s="273"/>
      <c r="X557" s="273"/>
      <c r="Y557" s="9"/>
      <c r="Z557" s="273"/>
      <c r="AA557" s="273"/>
      <c r="AB557" s="9"/>
      <c r="AC557" s="273"/>
      <c r="AD557" s="273"/>
      <c r="AE557" s="9"/>
      <c r="AF557" s="273"/>
      <c r="AG557" s="273"/>
      <c r="AH557" s="9"/>
      <c r="AI557" s="273"/>
      <c r="AJ557" s="273"/>
      <c r="AK557" s="9"/>
      <c r="AL557" s="273"/>
      <c r="AM557" s="273"/>
      <c r="AN557" s="9"/>
      <c r="AO557" s="273"/>
      <c r="AP557" s="273"/>
      <c r="AQ557" s="9"/>
      <c r="AR557" s="273"/>
      <c r="AS557" s="39"/>
    </row>
    <row r="558" spans="1:45" ht="12.75">
      <c r="A558" s="160"/>
      <c r="B558" s="273"/>
      <c r="C558" s="273"/>
      <c r="D558" s="273"/>
      <c r="E558" s="273"/>
      <c r="F558" s="273"/>
      <c r="G558" s="273"/>
      <c r="H558" s="273"/>
      <c r="I558" s="2"/>
      <c r="J558" s="17"/>
      <c r="K558" s="10"/>
      <c r="L558" s="10"/>
      <c r="M558" s="10"/>
      <c r="N558" s="10"/>
      <c r="O558" s="10"/>
      <c r="P558" s="10"/>
      <c r="Q558" s="10"/>
      <c r="R558" s="2"/>
      <c r="S558" s="273"/>
      <c r="T558" s="273"/>
      <c r="U558" s="273"/>
      <c r="V558" s="9"/>
      <c r="W558" s="273"/>
      <c r="X558" s="273"/>
      <c r="Y558" s="9"/>
      <c r="Z558" s="273"/>
      <c r="AA558" s="273"/>
      <c r="AB558" s="9"/>
      <c r="AC558" s="273"/>
      <c r="AD558" s="273"/>
      <c r="AE558" s="9"/>
      <c r="AF558" s="273"/>
      <c r="AG558" s="273"/>
      <c r="AH558" s="9"/>
      <c r="AI558" s="273"/>
      <c r="AJ558" s="273"/>
      <c r="AK558" s="9"/>
      <c r="AL558" s="273"/>
      <c r="AM558" s="273"/>
      <c r="AN558" s="9"/>
      <c r="AO558" s="273"/>
      <c r="AP558" s="273"/>
      <c r="AQ558" s="9"/>
      <c r="AR558" s="273"/>
      <c r="AS558" s="39"/>
    </row>
    <row r="559" spans="1:45" ht="12.75">
      <c r="A559" s="160"/>
      <c r="B559" s="273"/>
      <c r="C559" s="273"/>
      <c r="D559" s="273"/>
      <c r="E559" s="273"/>
      <c r="F559" s="273"/>
      <c r="G559" s="273"/>
      <c r="H559" s="273"/>
      <c r="I559" s="2"/>
      <c r="J559" s="17"/>
      <c r="K559" s="10"/>
      <c r="L559" s="10"/>
      <c r="M559" s="10"/>
      <c r="N559" s="10"/>
      <c r="O559" s="10"/>
      <c r="P559" s="10"/>
      <c r="Q559" s="10"/>
      <c r="R559" s="2"/>
      <c r="S559" s="273"/>
      <c r="T559" s="273"/>
      <c r="U559" s="273"/>
      <c r="V559" s="9"/>
      <c r="W559" s="273"/>
      <c r="X559" s="273"/>
      <c r="Y559" s="9"/>
      <c r="Z559" s="273"/>
      <c r="AA559" s="273"/>
      <c r="AB559" s="9"/>
      <c r="AC559" s="273"/>
      <c r="AD559" s="273"/>
      <c r="AE559" s="9"/>
      <c r="AF559" s="273"/>
      <c r="AG559" s="273"/>
      <c r="AH559" s="9"/>
      <c r="AI559" s="273"/>
      <c r="AJ559" s="273"/>
      <c r="AK559" s="9"/>
      <c r="AL559" s="273"/>
      <c r="AM559" s="273"/>
      <c r="AN559" s="9"/>
      <c r="AO559" s="273"/>
      <c r="AP559" s="273"/>
      <c r="AQ559" s="9"/>
      <c r="AR559" s="273"/>
      <c r="AS559" s="39"/>
    </row>
    <row r="560" spans="1:45" ht="12.75">
      <c r="A560" s="160"/>
      <c r="B560" s="273"/>
      <c r="C560" s="273"/>
      <c r="D560" s="273"/>
      <c r="E560" s="273"/>
      <c r="F560" s="273"/>
      <c r="G560" s="273"/>
      <c r="H560" s="273"/>
      <c r="I560" s="2"/>
      <c r="J560" s="17"/>
      <c r="K560" s="10"/>
      <c r="L560" s="10"/>
      <c r="M560" s="10"/>
      <c r="N560" s="10"/>
      <c r="O560" s="10"/>
      <c r="P560" s="10"/>
      <c r="Q560" s="10"/>
      <c r="R560" s="2"/>
      <c r="S560" s="273"/>
      <c r="T560" s="273"/>
      <c r="U560" s="273"/>
      <c r="V560" s="9"/>
      <c r="W560" s="273"/>
      <c r="X560" s="273"/>
      <c r="Y560" s="9"/>
      <c r="Z560" s="273"/>
      <c r="AA560" s="273"/>
      <c r="AB560" s="9"/>
      <c r="AC560" s="273"/>
      <c r="AD560" s="273"/>
      <c r="AE560" s="9"/>
      <c r="AF560" s="273"/>
      <c r="AG560" s="273"/>
      <c r="AH560" s="9"/>
      <c r="AI560" s="273"/>
      <c r="AJ560" s="273"/>
      <c r="AK560" s="9"/>
      <c r="AL560" s="273"/>
      <c r="AM560" s="273"/>
      <c r="AN560" s="9"/>
      <c r="AO560" s="273"/>
      <c r="AP560" s="273"/>
      <c r="AQ560" s="9"/>
      <c r="AR560" s="273"/>
      <c r="AS560" s="39"/>
    </row>
    <row r="561" spans="1:45" ht="12.75">
      <c r="A561" s="160"/>
      <c r="B561" s="273"/>
      <c r="C561" s="273"/>
      <c r="D561" s="273"/>
      <c r="E561" s="273"/>
      <c r="F561" s="273"/>
      <c r="G561" s="273"/>
      <c r="H561" s="273"/>
      <c r="I561" s="2"/>
      <c r="J561" s="17"/>
      <c r="K561" s="10"/>
      <c r="L561" s="10"/>
      <c r="M561" s="10"/>
      <c r="N561" s="10"/>
      <c r="O561" s="10"/>
      <c r="P561" s="10"/>
      <c r="Q561" s="10"/>
      <c r="R561" s="2"/>
      <c r="S561" s="273"/>
      <c r="T561" s="273"/>
      <c r="U561" s="273"/>
      <c r="V561" s="9"/>
      <c r="W561" s="273"/>
      <c r="X561" s="273"/>
      <c r="Y561" s="9"/>
      <c r="Z561" s="273"/>
      <c r="AA561" s="273"/>
      <c r="AB561" s="9"/>
      <c r="AC561" s="273"/>
      <c r="AD561" s="273"/>
      <c r="AE561" s="9"/>
      <c r="AF561" s="273"/>
      <c r="AG561" s="273"/>
      <c r="AH561" s="9"/>
      <c r="AI561" s="273"/>
      <c r="AJ561" s="273"/>
      <c r="AK561" s="9"/>
      <c r="AL561" s="273"/>
      <c r="AM561" s="273"/>
      <c r="AN561" s="9"/>
      <c r="AO561" s="273"/>
      <c r="AP561" s="273"/>
      <c r="AQ561" s="9"/>
      <c r="AR561" s="273"/>
      <c r="AS561" s="39"/>
    </row>
    <row r="562" spans="1:45" ht="12.75">
      <c r="A562" s="160"/>
      <c r="B562" s="273"/>
      <c r="C562" s="273"/>
      <c r="D562" s="273"/>
      <c r="E562" s="273"/>
      <c r="F562" s="273"/>
      <c r="G562" s="273"/>
      <c r="H562" s="273"/>
      <c r="I562" s="2"/>
      <c r="J562" s="17"/>
      <c r="K562" s="10"/>
      <c r="L562" s="10"/>
      <c r="M562" s="10"/>
      <c r="N562" s="10"/>
      <c r="O562" s="10"/>
      <c r="P562" s="10"/>
      <c r="Q562" s="10"/>
      <c r="R562" s="2"/>
      <c r="S562" s="273"/>
      <c r="T562" s="273"/>
      <c r="U562" s="273"/>
      <c r="V562" s="9"/>
      <c r="W562" s="273"/>
      <c r="X562" s="273"/>
      <c r="Y562" s="9"/>
      <c r="Z562" s="273"/>
      <c r="AA562" s="273"/>
      <c r="AB562" s="9"/>
      <c r="AC562" s="273"/>
      <c r="AD562" s="273"/>
      <c r="AE562" s="9"/>
      <c r="AF562" s="273"/>
      <c r="AG562" s="273"/>
      <c r="AH562" s="9"/>
      <c r="AI562" s="273"/>
      <c r="AJ562" s="273"/>
      <c r="AK562" s="9"/>
      <c r="AL562" s="273"/>
      <c r="AM562" s="273"/>
      <c r="AN562" s="9"/>
      <c r="AO562" s="273"/>
      <c r="AP562" s="273"/>
      <c r="AQ562" s="9"/>
      <c r="AR562" s="273"/>
      <c r="AS562" s="39"/>
    </row>
    <row r="563" spans="1:45" ht="12.75">
      <c r="A563" s="160"/>
      <c r="B563" s="273"/>
      <c r="C563" s="273"/>
      <c r="D563" s="273"/>
      <c r="E563" s="273"/>
      <c r="F563" s="273"/>
      <c r="G563" s="273"/>
      <c r="H563" s="273"/>
      <c r="I563" s="2"/>
      <c r="J563" s="17"/>
      <c r="K563" s="10"/>
      <c r="L563" s="10"/>
      <c r="M563" s="10"/>
      <c r="N563" s="10"/>
      <c r="O563" s="10"/>
      <c r="P563" s="10"/>
      <c r="Q563" s="10"/>
      <c r="R563" s="2"/>
      <c r="S563" s="273"/>
      <c r="T563" s="273"/>
      <c r="U563" s="273"/>
      <c r="V563" s="9"/>
      <c r="W563" s="273"/>
      <c r="X563" s="273"/>
      <c r="Y563" s="9"/>
      <c r="Z563" s="273"/>
      <c r="AA563" s="273"/>
      <c r="AB563" s="9"/>
      <c r="AC563" s="273"/>
      <c r="AD563" s="273"/>
      <c r="AE563" s="9"/>
      <c r="AF563" s="273"/>
      <c r="AG563" s="273"/>
      <c r="AH563" s="9"/>
      <c r="AI563" s="273"/>
      <c r="AJ563" s="273"/>
      <c r="AK563" s="9"/>
      <c r="AL563" s="273"/>
      <c r="AM563" s="273"/>
      <c r="AN563" s="9"/>
      <c r="AO563" s="273"/>
      <c r="AP563" s="273"/>
      <c r="AQ563" s="9"/>
      <c r="AR563" s="273"/>
      <c r="AS563" s="39"/>
    </row>
    <row r="564" spans="1:45" ht="12.75">
      <c r="A564" s="160"/>
      <c r="B564" s="273"/>
      <c r="C564" s="273"/>
      <c r="D564" s="273"/>
      <c r="E564" s="273"/>
      <c r="F564" s="273"/>
      <c r="G564" s="273"/>
      <c r="H564" s="273"/>
      <c r="I564" s="2"/>
      <c r="J564" s="17"/>
      <c r="K564" s="10"/>
      <c r="L564" s="10"/>
      <c r="M564" s="10"/>
      <c r="N564" s="10"/>
      <c r="O564" s="10"/>
      <c r="P564" s="10"/>
      <c r="Q564" s="10"/>
      <c r="R564" s="2"/>
      <c r="S564" s="273"/>
      <c r="T564" s="273"/>
      <c r="U564" s="273"/>
      <c r="V564" s="9"/>
      <c r="W564" s="273"/>
      <c r="X564" s="273"/>
      <c r="Y564" s="9"/>
      <c r="Z564" s="273"/>
      <c r="AA564" s="273"/>
      <c r="AB564" s="9"/>
      <c r="AC564" s="273"/>
      <c r="AD564" s="273"/>
      <c r="AE564" s="9"/>
      <c r="AF564" s="273"/>
      <c r="AG564" s="273"/>
      <c r="AH564" s="9"/>
      <c r="AI564" s="273"/>
      <c r="AJ564" s="273"/>
      <c r="AK564" s="9"/>
      <c r="AL564" s="273"/>
      <c r="AM564" s="273"/>
      <c r="AN564" s="9"/>
      <c r="AO564" s="273"/>
      <c r="AP564" s="273"/>
      <c r="AQ564" s="9"/>
      <c r="AR564" s="273"/>
      <c r="AS564" s="39"/>
    </row>
    <row r="565" spans="1:45" ht="12.75">
      <c r="A565" s="160"/>
      <c r="B565" s="273"/>
      <c r="C565" s="273"/>
      <c r="D565" s="273"/>
      <c r="E565" s="273"/>
      <c r="F565" s="273"/>
      <c r="G565" s="273"/>
      <c r="H565" s="273"/>
      <c r="I565" s="2"/>
      <c r="J565" s="17"/>
      <c r="K565" s="10"/>
      <c r="L565" s="10"/>
      <c r="M565" s="10"/>
      <c r="N565" s="10"/>
      <c r="O565" s="10"/>
      <c r="P565" s="10"/>
      <c r="Q565" s="10"/>
      <c r="R565" s="2"/>
      <c r="S565" s="273"/>
      <c r="T565" s="273"/>
      <c r="U565" s="273"/>
      <c r="V565" s="9"/>
      <c r="W565" s="273"/>
      <c r="X565" s="273"/>
      <c r="Y565" s="9"/>
      <c r="Z565" s="273"/>
      <c r="AA565" s="273"/>
      <c r="AB565" s="9"/>
      <c r="AC565" s="273"/>
      <c r="AD565" s="273"/>
      <c r="AE565" s="9"/>
      <c r="AF565" s="273"/>
      <c r="AG565" s="273"/>
      <c r="AH565" s="9"/>
      <c r="AI565" s="273"/>
      <c r="AJ565" s="273"/>
      <c r="AK565" s="9"/>
      <c r="AL565" s="273"/>
      <c r="AM565" s="273"/>
      <c r="AN565" s="9"/>
      <c r="AO565" s="273"/>
      <c r="AP565" s="273"/>
      <c r="AQ565" s="9"/>
      <c r="AR565" s="273"/>
      <c r="AS565" s="39"/>
    </row>
    <row r="566" spans="1:45" ht="12.75">
      <c r="A566" s="160"/>
      <c r="B566" s="273"/>
      <c r="C566" s="273"/>
      <c r="D566" s="273"/>
      <c r="E566" s="273"/>
      <c r="F566" s="273"/>
      <c r="G566" s="273"/>
      <c r="H566" s="273"/>
      <c r="I566" s="2"/>
      <c r="J566" s="17"/>
      <c r="K566" s="10"/>
      <c r="L566" s="10"/>
      <c r="M566" s="10"/>
      <c r="N566" s="10"/>
      <c r="O566" s="10"/>
      <c r="P566" s="10"/>
      <c r="Q566" s="10"/>
      <c r="R566" s="2"/>
      <c r="S566" s="273"/>
      <c r="T566" s="273"/>
      <c r="U566" s="273"/>
      <c r="V566" s="9"/>
      <c r="W566" s="273"/>
      <c r="X566" s="273"/>
      <c r="Y566" s="9"/>
      <c r="Z566" s="273"/>
      <c r="AA566" s="273"/>
      <c r="AB566" s="9"/>
      <c r="AC566" s="273"/>
      <c r="AD566" s="273"/>
      <c r="AE566" s="9"/>
      <c r="AF566" s="273"/>
      <c r="AG566" s="273"/>
      <c r="AH566" s="9"/>
      <c r="AI566" s="273"/>
      <c r="AJ566" s="273"/>
      <c r="AK566" s="9"/>
      <c r="AL566" s="273"/>
      <c r="AM566" s="273"/>
      <c r="AN566" s="9"/>
      <c r="AO566" s="273"/>
      <c r="AP566" s="273"/>
      <c r="AQ566" s="9"/>
      <c r="AR566" s="273"/>
      <c r="AS566" s="39"/>
    </row>
    <row r="567" spans="1:45" ht="12.75">
      <c r="A567" s="160"/>
      <c r="B567" s="273"/>
      <c r="C567" s="273"/>
      <c r="D567" s="273"/>
      <c r="E567" s="273"/>
      <c r="F567" s="273"/>
      <c r="G567" s="273"/>
      <c r="H567" s="273"/>
      <c r="I567" s="2"/>
      <c r="J567" s="17"/>
      <c r="K567" s="10"/>
      <c r="L567" s="10"/>
      <c r="M567" s="10"/>
      <c r="N567" s="10"/>
      <c r="O567" s="10"/>
      <c r="P567" s="10"/>
      <c r="Q567" s="10"/>
      <c r="R567" s="2"/>
      <c r="S567" s="273"/>
      <c r="T567" s="273"/>
      <c r="U567" s="273"/>
      <c r="V567" s="9"/>
      <c r="W567" s="273"/>
      <c r="X567" s="273"/>
      <c r="Y567" s="9"/>
      <c r="Z567" s="273"/>
      <c r="AA567" s="273"/>
      <c r="AB567" s="9"/>
      <c r="AC567" s="273"/>
      <c r="AD567" s="273"/>
      <c r="AE567" s="9"/>
      <c r="AF567" s="273"/>
      <c r="AG567" s="273"/>
      <c r="AH567" s="9"/>
      <c r="AI567" s="273"/>
      <c r="AJ567" s="273"/>
      <c r="AK567" s="9"/>
      <c r="AL567" s="273"/>
      <c r="AM567" s="273"/>
      <c r="AN567" s="9"/>
      <c r="AO567" s="273"/>
      <c r="AP567" s="273"/>
      <c r="AQ567" s="9"/>
      <c r="AR567" s="273"/>
      <c r="AS567" s="39"/>
    </row>
    <row r="568" spans="1:45" ht="12.75">
      <c r="A568" s="160"/>
      <c r="B568" s="273"/>
      <c r="C568" s="273"/>
      <c r="D568" s="273"/>
      <c r="E568" s="273"/>
      <c r="F568" s="273"/>
      <c r="G568" s="273"/>
      <c r="H568" s="273"/>
      <c r="I568" s="2"/>
      <c r="J568" s="17"/>
      <c r="K568" s="10"/>
      <c r="L568" s="10"/>
      <c r="M568" s="10"/>
      <c r="N568" s="10"/>
      <c r="O568" s="10"/>
      <c r="P568" s="10"/>
      <c r="Q568" s="10"/>
      <c r="R568" s="2"/>
      <c r="S568" s="273"/>
      <c r="T568" s="273"/>
      <c r="U568" s="273"/>
      <c r="V568" s="9"/>
      <c r="W568" s="273"/>
      <c r="X568" s="273"/>
      <c r="Y568" s="9"/>
      <c r="Z568" s="273"/>
      <c r="AA568" s="273"/>
      <c r="AB568" s="9"/>
      <c r="AC568" s="273"/>
      <c r="AD568" s="273"/>
      <c r="AE568" s="9"/>
      <c r="AF568" s="273"/>
      <c r="AG568" s="273"/>
      <c r="AH568" s="9"/>
      <c r="AI568" s="273"/>
      <c r="AJ568" s="273"/>
      <c r="AK568" s="9"/>
      <c r="AL568" s="273"/>
      <c r="AM568" s="273"/>
      <c r="AN568" s="9"/>
      <c r="AO568" s="273"/>
      <c r="AP568" s="273"/>
      <c r="AQ568" s="9"/>
      <c r="AR568" s="273"/>
      <c r="AS568" s="39"/>
    </row>
    <row r="569" spans="1:45" ht="12.75">
      <c r="A569" s="160"/>
      <c r="B569" s="273"/>
      <c r="C569" s="273"/>
      <c r="D569" s="273"/>
      <c r="E569" s="273"/>
      <c r="F569" s="273"/>
      <c r="G569" s="273"/>
      <c r="H569" s="273"/>
      <c r="I569" s="2"/>
      <c r="J569" s="17"/>
      <c r="K569" s="10"/>
      <c r="L569" s="10"/>
      <c r="M569" s="10"/>
      <c r="N569" s="10"/>
      <c r="O569" s="10"/>
      <c r="P569" s="10"/>
      <c r="Q569" s="10"/>
      <c r="R569" s="2"/>
      <c r="S569" s="273"/>
      <c r="T569" s="273"/>
      <c r="U569" s="273"/>
      <c r="V569" s="9"/>
      <c r="W569" s="273"/>
      <c r="X569" s="273"/>
      <c r="Y569" s="9"/>
      <c r="Z569" s="273"/>
      <c r="AA569" s="273"/>
      <c r="AB569" s="9"/>
      <c r="AC569" s="273"/>
      <c r="AD569" s="273"/>
      <c r="AE569" s="9"/>
      <c r="AF569" s="273"/>
      <c r="AG569" s="273"/>
      <c r="AH569" s="9"/>
      <c r="AI569" s="273"/>
      <c r="AJ569" s="273"/>
      <c r="AK569" s="9"/>
      <c r="AL569" s="273"/>
      <c r="AM569" s="273"/>
      <c r="AN569" s="9"/>
      <c r="AO569" s="273"/>
      <c r="AP569" s="273"/>
      <c r="AQ569" s="9"/>
      <c r="AR569" s="273"/>
      <c r="AS569" s="39"/>
    </row>
    <row r="570" spans="1:45" ht="12.75">
      <c r="A570" s="160"/>
      <c r="B570" s="273"/>
      <c r="C570" s="273"/>
      <c r="D570" s="273"/>
      <c r="E570" s="273"/>
      <c r="F570" s="273"/>
      <c r="G570" s="273"/>
      <c r="H570" s="273"/>
      <c r="I570" s="2"/>
      <c r="J570" s="17"/>
      <c r="K570" s="10"/>
      <c r="L570" s="10"/>
      <c r="M570" s="10"/>
      <c r="N570" s="10"/>
      <c r="O570" s="10"/>
      <c r="P570" s="10"/>
      <c r="Q570" s="10"/>
      <c r="R570" s="2"/>
      <c r="S570" s="273"/>
      <c r="T570" s="273"/>
      <c r="U570" s="273"/>
      <c r="V570" s="9"/>
      <c r="W570" s="273"/>
      <c r="X570" s="273"/>
      <c r="Y570" s="9"/>
      <c r="Z570" s="273"/>
      <c r="AA570" s="273"/>
      <c r="AB570" s="9"/>
      <c r="AC570" s="273"/>
      <c r="AD570" s="273"/>
      <c r="AE570" s="9"/>
      <c r="AF570" s="273"/>
      <c r="AG570" s="273"/>
      <c r="AH570" s="9"/>
      <c r="AI570" s="273"/>
      <c r="AJ570" s="273"/>
      <c r="AK570" s="9"/>
      <c r="AL570" s="273"/>
      <c r="AM570" s="273"/>
      <c r="AN570" s="9"/>
      <c r="AO570" s="273"/>
      <c r="AP570" s="273"/>
      <c r="AQ570" s="9"/>
      <c r="AR570" s="273"/>
      <c r="AS570" s="39"/>
    </row>
    <row r="571" spans="1:45" ht="12.75">
      <c r="A571" s="160"/>
      <c r="B571" s="273"/>
      <c r="C571" s="273"/>
      <c r="D571" s="273"/>
      <c r="E571" s="273"/>
      <c r="F571" s="273"/>
      <c r="G571" s="273"/>
      <c r="H571" s="273"/>
      <c r="I571" s="2"/>
      <c r="J571" s="17"/>
      <c r="K571" s="10"/>
      <c r="L571" s="10"/>
      <c r="M571" s="10"/>
      <c r="N571" s="10"/>
      <c r="O571" s="10"/>
      <c r="P571" s="10"/>
      <c r="Q571" s="10"/>
      <c r="R571" s="2"/>
      <c r="S571" s="273"/>
      <c r="T571" s="273"/>
      <c r="U571" s="273"/>
      <c r="V571" s="9"/>
      <c r="W571" s="273"/>
      <c r="X571" s="273"/>
      <c r="Y571" s="9"/>
      <c r="Z571" s="273"/>
      <c r="AA571" s="273"/>
      <c r="AB571" s="9"/>
      <c r="AC571" s="273"/>
      <c r="AD571" s="273"/>
      <c r="AE571" s="9"/>
      <c r="AF571" s="273"/>
      <c r="AG571" s="273"/>
      <c r="AH571" s="9"/>
      <c r="AI571" s="273"/>
      <c r="AJ571" s="273"/>
      <c r="AK571" s="9"/>
      <c r="AL571" s="273"/>
      <c r="AM571" s="273"/>
      <c r="AN571" s="9"/>
      <c r="AO571" s="273"/>
      <c r="AP571" s="273"/>
      <c r="AQ571" s="9"/>
      <c r="AR571" s="273"/>
      <c r="AS571" s="39"/>
    </row>
    <row r="572" spans="1:45" ht="12.75">
      <c r="A572" s="160"/>
      <c r="B572" s="273"/>
      <c r="C572" s="273"/>
      <c r="D572" s="273"/>
      <c r="E572" s="273"/>
      <c r="F572" s="273"/>
      <c r="G572" s="273"/>
      <c r="H572" s="273"/>
      <c r="I572" s="2"/>
      <c r="J572" s="17"/>
      <c r="K572" s="10"/>
      <c r="L572" s="10"/>
      <c r="M572" s="10"/>
      <c r="N572" s="10"/>
      <c r="O572" s="10"/>
      <c r="P572" s="10"/>
      <c r="Q572" s="10"/>
      <c r="R572" s="2"/>
      <c r="S572" s="273"/>
      <c r="T572" s="273"/>
      <c r="U572" s="273"/>
      <c r="V572" s="9"/>
      <c r="W572" s="273"/>
      <c r="X572" s="273"/>
      <c r="Y572" s="9"/>
      <c r="Z572" s="273"/>
      <c r="AA572" s="273"/>
      <c r="AB572" s="9"/>
      <c r="AC572" s="273"/>
      <c r="AD572" s="273"/>
      <c r="AE572" s="9"/>
      <c r="AF572" s="273"/>
      <c r="AG572" s="273"/>
      <c r="AH572" s="9"/>
      <c r="AI572" s="273"/>
      <c r="AJ572" s="273"/>
      <c r="AK572" s="9"/>
      <c r="AL572" s="273"/>
      <c r="AM572" s="273"/>
      <c r="AN572" s="9"/>
      <c r="AO572" s="273"/>
      <c r="AP572" s="273"/>
      <c r="AQ572" s="9"/>
      <c r="AR572" s="273"/>
      <c r="AS572" s="39"/>
    </row>
    <row r="573" spans="1:45" ht="12.75">
      <c r="A573" s="160"/>
      <c r="B573" s="273"/>
      <c r="C573" s="273"/>
      <c r="D573" s="273"/>
      <c r="E573" s="273"/>
      <c r="F573" s="273"/>
      <c r="G573" s="273"/>
      <c r="H573" s="273"/>
      <c r="I573" s="2"/>
      <c r="J573" s="17"/>
      <c r="K573" s="10"/>
      <c r="L573" s="10"/>
      <c r="M573" s="10"/>
      <c r="N573" s="10"/>
      <c r="O573" s="10"/>
      <c r="P573" s="10"/>
      <c r="Q573" s="10"/>
      <c r="R573" s="2"/>
      <c r="S573" s="273"/>
      <c r="T573" s="273"/>
      <c r="U573" s="273"/>
      <c r="V573" s="9"/>
      <c r="W573" s="273"/>
      <c r="X573" s="273"/>
      <c r="Y573" s="9"/>
      <c r="Z573" s="273"/>
      <c r="AA573" s="273"/>
      <c r="AB573" s="9"/>
      <c r="AC573" s="273"/>
      <c r="AD573" s="273"/>
      <c r="AE573" s="9"/>
      <c r="AF573" s="273"/>
      <c r="AG573" s="273"/>
      <c r="AH573" s="9"/>
      <c r="AI573" s="273"/>
      <c r="AJ573" s="273"/>
      <c r="AK573" s="9"/>
      <c r="AL573" s="273"/>
      <c r="AM573" s="273"/>
      <c r="AN573" s="9"/>
      <c r="AO573" s="273"/>
      <c r="AP573" s="273"/>
      <c r="AQ573" s="9"/>
      <c r="AR573" s="273"/>
      <c r="AS573" s="39"/>
    </row>
    <row r="574" spans="1:45" ht="12.75">
      <c r="A574" s="160"/>
      <c r="B574" s="273"/>
      <c r="C574" s="273"/>
      <c r="D574" s="273"/>
      <c r="E574" s="273"/>
      <c r="F574" s="273"/>
      <c r="G574" s="273"/>
      <c r="H574" s="273"/>
      <c r="I574" s="2"/>
      <c r="J574" s="17"/>
      <c r="K574" s="10"/>
      <c r="L574" s="10"/>
      <c r="M574" s="10"/>
      <c r="N574" s="10"/>
      <c r="O574" s="10"/>
      <c r="P574" s="10"/>
      <c r="Q574" s="10"/>
      <c r="R574" s="2"/>
      <c r="S574" s="273"/>
      <c r="T574" s="273"/>
      <c r="U574" s="273"/>
      <c r="V574" s="9"/>
      <c r="W574" s="273"/>
      <c r="X574" s="273"/>
      <c r="Y574" s="9"/>
      <c r="Z574" s="273"/>
      <c r="AA574" s="273"/>
      <c r="AB574" s="9"/>
      <c r="AC574" s="273"/>
      <c r="AD574" s="273"/>
      <c r="AE574" s="9"/>
      <c r="AF574" s="273"/>
      <c r="AG574" s="273"/>
      <c r="AH574" s="9"/>
      <c r="AI574" s="273"/>
      <c r="AJ574" s="273"/>
      <c r="AK574" s="9"/>
      <c r="AL574" s="273"/>
      <c r="AM574" s="273"/>
      <c r="AN574" s="9"/>
      <c r="AO574" s="273"/>
      <c r="AP574" s="273"/>
      <c r="AQ574" s="9"/>
      <c r="AR574" s="273"/>
      <c r="AS574" s="39"/>
    </row>
    <row r="575" spans="1:45" ht="12.75">
      <c r="A575" s="160"/>
      <c r="B575" s="273"/>
      <c r="C575" s="273"/>
      <c r="D575" s="273"/>
      <c r="E575" s="273"/>
      <c r="F575" s="273"/>
      <c r="G575" s="273"/>
      <c r="H575" s="273"/>
      <c r="I575" s="2"/>
      <c r="J575" s="17"/>
      <c r="K575" s="10"/>
      <c r="L575" s="10"/>
      <c r="M575" s="10"/>
      <c r="N575" s="10"/>
      <c r="O575" s="10"/>
      <c r="P575" s="10"/>
      <c r="Q575" s="10"/>
      <c r="R575" s="2"/>
      <c r="S575" s="273"/>
      <c r="T575" s="273"/>
      <c r="U575" s="273"/>
      <c r="V575" s="9"/>
      <c r="W575" s="273"/>
      <c r="X575" s="273"/>
      <c r="Y575" s="9"/>
      <c r="Z575" s="273"/>
      <c r="AA575" s="273"/>
      <c r="AB575" s="9"/>
      <c r="AC575" s="273"/>
      <c r="AD575" s="273"/>
      <c r="AE575" s="9"/>
      <c r="AF575" s="273"/>
      <c r="AG575" s="273"/>
      <c r="AH575" s="9"/>
      <c r="AI575" s="273"/>
      <c r="AJ575" s="273"/>
      <c r="AK575" s="9"/>
      <c r="AL575" s="273"/>
      <c r="AM575" s="273"/>
      <c r="AN575" s="9"/>
      <c r="AO575" s="273"/>
      <c r="AP575" s="273"/>
      <c r="AQ575" s="9"/>
      <c r="AR575" s="273"/>
      <c r="AS575" s="39"/>
    </row>
    <row r="576" spans="1:45" ht="12.75">
      <c r="A576" s="160"/>
      <c r="B576" s="273"/>
      <c r="C576" s="273"/>
      <c r="D576" s="273"/>
      <c r="E576" s="273"/>
      <c r="F576" s="273"/>
      <c r="G576" s="273"/>
      <c r="H576" s="273"/>
      <c r="I576" s="2"/>
      <c r="J576" s="17"/>
      <c r="K576" s="10"/>
      <c r="L576" s="10"/>
      <c r="M576" s="10"/>
      <c r="N576" s="10"/>
      <c r="O576" s="10"/>
      <c r="P576" s="10"/>
      <c r="Q576" s="10"/>
      <c r="R576" s="2"/>
      <c r="S576" s="273"/>
      <c r="T576" s="273"/>
      <c r="U576" s="273"/>
      <c r="V576" s="9"/>
      <c r="W576" s="273"/>
      <c r="X576" s="273"/>
      <c r="Y576" s="9"/>
      <c r="Z576" s="273"/>
      <c r="AA576" s="273"/>
      <c r="AB576" s="9"/>
      <c r="AC576" s="273"/>
      <c r="AD576" s="273"/>
      <c r="AE576" s="9"/>
      <c r="AF576" s="273"/>
      <c r="AG576" s="273"/>
      <c r="AH576" s="9"/>
      <c r="AI576" s="273"/>
      <c r="AJ576" s="273"/>
      <c r="AK576" s="9"/>
      <c r="AL576" s="273"/>
      <c r="AM576" s="273"/>
      <c r="AN576" s="9"/>
      <c r="AO576" s="273"/>
      <c r="AP576" s="273"/>
      <c r="AQ576" s="9"/>
      <c r="AR576" s="273"/>
      <c r="AS576" s="39"/>
    </row>
    <row r="577" spans="1:45" ht="12.75">
      <c r="A577" s="160"/>
      <c r="B577" s="273"/>
      <c r="C577" s="273"/>
      <c r="D577" s="273"/>
      <c r="E577" s="273"/>
      <c r="F577" s="273"/>
      <c r="G577" s="273"/>
      <c r="H577" s="273"/>
      <c r="I577" s="2"/>
      <c r="J577" s="17"/>
      <c r="K577" s="10"/>
      <c r="L577" s="10"/>
      <c r="M577" s="10"/>
      <c r="N577" s="10"/>
      <c r="O577" s="10"/>
      <c r="P577" s="10"/>
      <c r="Q577" s="10"/>
      <c r="R577" s="2"/>
      <c r="S577" s="273"/>
      <c r="T577" s="273"/>
      <c r="U577" s="273"/>
      <c r="V577" s="9"/>
      <c r="W577" s="273"/>
      <c r="X577" s="273"/>
      <c r="Y577" s="9"/>
      <c r="Z577" s="273"/>
      <c r="AA577" s="273"/>
      <c r="AB577" s="9"/>
      <c r="AC577" s="273"/>
      <c r="AD577" s="273"/>
      <c r="AE577" s="9"/>
      <c r="AF577" s="273"/>
      <c r="AG577" s="273"/>
      <c r="AH577" s="9"/>
      <c r="AI577" s="273"/>
      <c r="AJ577" s="273"/>
      <c r="AK577" s="9"/>
      <c r="AL577" s="273"/>
      <c r="AM577" s="273"/>
      <c r="AN577" s="9"/>
      <c r="AO577" s="273"/>
      <c r="AP577" s="273"/>
      <c r="AQ577" s="9"/>
      <c r="AR577" s="273"/>
      <c r="AS577" s="39"/>
    </row>
    <row r="578" spans="1:45" ht="12.75">
      <c r="A578" s="160"/>
      <c r="B578" s="273"/>
      <c r="C578" s="273"/>
      <c r="D578" s="273"/>
      <c r="E578" s="273"/>
      <c r="F578" s="273"/>
      <c r="G578" s="273"/>
      <c r="H578" s="273"/>
      <c r="I578" s="2"/>
      <c r="J578" s="17"/>
      <c r="K578" s="10"/>
      <c r="L578" s="10"/>
      <c r="M578" s="10"/>
      <c r="N578" s="10"/>
      <c r="O578" s="10"/>
      <c r="P578" s="10"/>
      <c r="Q578" s="10"/>
      <c r="R578" s="2"/>
      <c r="S578" s="273"/>
      <c r="T578" s="273"/>
      <c r="U578" s="273"/>
      <c r="V578" s="9"/>
      <c r="W578" s="273"/>
      <c r="X578" s="273"/>
      <c r="Y578" s="9"/>
      <c r="Z578" s="273"/>
      <c r="AA578" s="273"/>
      <c r="AB578" s="9"/>
      <c r="AC578" s="273"/>
      <c r="AD578" s="273"/>
      <c r="AE578" s="9"/>
      <c r="AF578" s="273"/>
      <c r="AG578" s="273"/>
      <c r="AH578" s="9"/>
      <c r="AI578" s="273"/>
      <c r="AJ578" s="273"/>
      <c r="AK578" s="9"/>
      <c r="AL578" s="273"/>
      <c r="AM578" s="273"/>
      <c r="AN578" s="9"/>
      <c r="AO578" s="273"/>
      <c r="AP578" s="273"/>
      <c r="AQ578" s="9"/>
      <c r="AR578" s="273"/>
      <c r="AS578" s="39"/>
    </row>
    <row r="579" spans="1:45" ht="12.75">
      <c r="A579" s="160"/>
      <c r="B579" s="273"/>
      <c r="C579" s="273"/>
      <c r="D579" s="273"/>
      <c r="E579" s="273"/>
      <c r="F579" s="273"/>
      <c r="G579" s="273"/>
      <c r="H579" s="273"/>
      <c r="I579" s="2"/>
      <c r="J579" s="17"/>
      <c r="K579" s="10"/>
      <c r="L579" s="10"/>
      <c r="M579" s="10"/>
      <c r="N579" s="10"/>
      <c r="O579" s="10"/>
      <c r="P579" s="10"/>
      <c r="Q579" s="10"/>
      <c r="R579" s="2"/>
      <c r="S579" s="273"/>
      <c r="T579" s="273"/>
      <c r="U579" s="273"/>
      <c r="V579" s="9"/>
      <c r="W579" s="273"/>
      <c r="X579" s="273"/>
      <c r="Y579" s="9"/>
      <c r="Z579" s="273"/>
      <c r="AA579" s="273"/>
      <c r="AB579" s="9"/>
      <c r="AC579" s="273"/>
      <c r="AD579" s="273"/>
      <c r="AE579" s="9"/>
      <c r="AF579" s="273"/>
      <c r="AG579" s="273"/>
      <c r="AH579" s="9"/>
      <c r="AI579" s="273"/>
      <c r="AJ579" s="273"/>
      <c r="AK579" s="9"/>
      <c r="AL579" s="273"/>
      <c r="AM579" s="273"/>
      <c r="AN579" s="9"/>
      <c r="AO579" s="273"/>
      <c r="AP579" s="273"/>
      <c r="AQ579" s="9"/>
      <c r="AR579" s="273"/>
      <c r="AS579" s="39"/>
    </row>
    <row r="580" spans="1:45" ht="12.75">
      <c r="A580" s="160"/>
      <c r="B580" s="273"/>
      <c r="C580" s="273"/>
      <c r="D580" s="273"/>
      <c r="E580" s="273"/>
      <c r="F580" s="273"/>
      <c r="G580" s="273"/>
      <c r="H580" s="273"/>
      <c r="I580" s="2"/>
      <c r="J580" s="17"/>
      <c r="K580" s="10"/>
      <c r="L580" s="10"/>
      <c r="M580" s="10"/>
      <c r="N580" s="10"/>
      <c r="O580" s="10"/>
      <c r="P580" s="10"/>
      <c r="Q580" s="10"/>
      <c r="R580" s="2"/>
      <c r="S580" s="273"/>
      <c r="T580" s="273"/>
      <c r="U580" s="273"/>
      <c r="V580" s="9"/>
      <c r="W580" s="273"/>
      <c r="X580" s="273"/>
      <c r="Y580" s="9"/>
      <c r="Z580" s="273"/>
      <c r="AA580" s="273"/>
      <c r="AB580" s="9"/>
      <c r="AC580" s="273"/>
      <c r="AD580" s="273"/>
      <c r="AE580" s="9"/>
      <c r="AF580" s="273"/>
      <c r="AG580" s="273"/>
      <c r="AH580" s="9"/>
      <c r="AI580" s="273"/>
      <c r="AJ580" s="273"/>
      <c r="AK580" s="9"/>
      <c r="AL580" s="273"/>
      <c r="AM580" s="273"/>
      <c r="AN580" s="9"/>
      <c r="AO580" s="273"/>
      <c r="AP580" s="273"/>
      <c r="AQ580" s="9"/>
      <c r="AR580" s="273"/>
      <c r="AS580" s="39"/>
    </row>
    <row r="581" spans="1:45" ht="12.75">
      <c r="A581" s="160"/>
      <c r="B581" s="273"/>
      <c r="C581" s="273"/>
      <c r="D581" s="273"/>
      <c r="E581" s="273"/>
      <c r="F581" s="273"/>
      <c r="G581" s="273"/>
      <c r="H581" s="273"/>
      <c r="I581" s="2"/>
      <c r="J581" s="17"/>
      <c r="K581" s="10"/>
      <c r="L581" s="10"/>
      <c r="M581" s="10"/>
      <c r="N581" s="10"/>
      <c r="O581" s="10"/>
      <c r="P581" s="10"/>
      <c r="Q581" s="10"/>
      <c r="R581" s="2"/>
      <c r="S581" s="273"/>
      <c r="T581" s="273"/>
      <c r="U581" s="273"/>
      <c r="V581" s="9"/>
      <c r="W581" s="273"/>
      <c r="X581" s="273"/>
      <c r="Y581" s="9"/>
      <c r="Z581" s="273"/>
      <c r="AA581" s="273"/>
      <c r="AB581" s="9"/>
      <c r="AC581" s="273"/>
      <c r="AD581" s="273"/>
      <c r="AE581" s="9"/>
      <c r="AF581" s="273"/>
      <c r="AG581" s="273"/>
      <c r="AH581" s="9"/>
      <c r="AI581" s="273"/>
      <c r="AJ581" s="273"/>
      <c r="AK581" s="9"/>
      <c r="AL581" s="273"/>
      <c r="AM581" s="273"/>
      <c r="AN581" s="9"/>
      <c r="AO581" s="273"/>
      <c r="AP581" s="273"/>
      <c r="AQ581" s="9"/>
      <c r="AR581" s="273"/>
      <c r="AS581" s="39"/>
    </row>
    <row r="582" spans="1:45" ht="12.75">
      <c r="A582" s="160"/>
      <c r="B582" s="273"/>
      <c r="C582" s="273"/>
      <c r="D582" s="273"/>
      <c r="E582" s="273"/>
      <c r="F582" s="273"/>
      <c r="G582" s="273"/>
      <c r="H582" s="273"/>
      <c r="I582" s="2"/>
      <c r="J582" s="17"/>
      <c r="K582" s="10"/>
      <c r="L582" s="10"/>
      <c r="M582" s="10"/>
      <c r="N582" s="10"/>
      <c r="O582" s="10"/>
      <c r="P582" s="10"/>
      <c r="Q582" s="10"/>
      <c r="R582" s="2"/>
      <c r="S582" s="273"/>
      <c r="T582" s="273"/>
      <c r="U582" s="273"/>
      <c r="V582" s="9"/>
      <c r="W582" s="273"/>
      <c r="X582" s="273"/>
      <c r="Y582" s="9"/>
      <c r="Z582" s="273"/>
      <c r="AA582" s="273"/>
      <c r="AB582" s="9"/>
      <c r="AC582" s="273"/>
      <c r="AD582" s="273"/>
      <c r="AE582" s="9"/>
      <c r="AF582" s="273"/>
      <c r="AG582" s="273"/>
      <c r="AH582" s="9"/>
      <c r="AI582" s="273"/>
      <c r="AJ582" s="273"/>
      <c r="AK582" s="9"/>
      <c r="AL582" s="273"/>
      <c r="AM582" s="273"/>
      <c r="AN582" s="9"/>
      <c r="AO582" s="273"/>
      <c r="AP582" s="273"/>
      <c r="AQ582" s="9"/>
      <c r="AR582" s="273"/>
      <c r="AS582" s="39"/>
    </row>
    <row r="583" spans="1:45" ht="12.75">
      <c r="A583" s="160"/>
      <c r="B583" s="273"/>
      <c r="C583" s="273"/>
      <c r="D583" s="273"/>
      <c r="E583" s="273"/>
      <c r="F583" s="273"/>
      <c r="G583" s="273"/>
      <c r="H583" s="273"/>
      <c r="I583" s="2"/>
      <c r="J583" s="17"/>
      <c r="K583" s="10"/>
      <c r="L583" s="10"/>
      <c r="M583" s="10"/>
      <c r="N583" s="10"/>
      <c r="O583" s="10"/>
      <c r="P583" s="10"/>
      <c r="Q583" s="10"/>
      <c r="R583" s="2"/>
      <c r="S583" s="273"/>
      <c r="T583" s="273"/>
      <c r="U583" s="273"/>
      <c r="V583" s="9"/>
      <c r="W583" s="273"/>
      <c r="X583" s="273"/>
      <c r="Y583" s="9"/>
      <c r="Z583" s="273"/>
      <c r="AA583" s="273"/>
      <c r="AB583" s="9"/>
      <c r="AC583" s="273"/>
      <c r="AD583" s="273"/>
      <c r="AE583" s="9"/>
      <c r="AF583" s="273"/>
      <c r="AG583" s="273"/>
      <c r="AH583" s="9"/>
      <c r="AI583" s="273"/>
      <c r="AJ583" s="273"/>
      <c r="AK583" s="9"/>
      <c r="AL583" s="273"/>
      <c r="AM583" s="273"/>
      <c r="AN583" s="9"/>
      <c r="AO583" s="273"/>
      <c r="AP583" s="273"/>
      <c r="AQ583" s="9"/>
      <c r="AR583" s="273"/>
      <c r="AS583" s="39"/>
    </row>
    <row r="584" spans="1:45" ht="12.75">
      <c r="A584" s="160"/>
      <c r="B584" s="273"/>
      <c r="C584" s="273"/>
      <c r="D584" s="273"/>
      <c r="E584" s="273"/>
      <c r="F584" s="273"/>
      <c r="G584" s="273"/>
      <c r="H584" s="273"/>
      <c r="I584" s="2"/>
      <c r="J584" s="17"/>
      <c r="K584" s="10"/>
      <c r="L584" s="10"/>
      <c r="M584" s="10"/>
      <c r="N584" s="10"/>
      <c r="O584" s="10"/>
      <c r="P584" s="10"/>
      <c r="Q584" s="10"/>
      <c r="R584" s="2"/>
      <c r="S584" s="273"/>
      <c r="T584" s="273"/>
      <c r="U584" s="273"/>
      <c r="V584" s="9"/>
      <c r="W584" s="273"/>
      <c r="X584" s="273"/>
      <c r="Y584" s="9"/>
      <c r="Z584" s="273"/>
      <c r="AA584" s="273"/>
      <c r="AB584" s="9"/>
      <c r="AC584" s="273"/>
      <c r="AD584" s="273"/>
      <c r="AE584" s="9"/>
      <c r="AF584" s="273"/>
      <c r="AG584" s="273"/>
      <c r="AH584" s="9"/>
      <c r="AI584" s="273"/>
      <c r="AJ584" s="273"/>
      <c r="AK584" s="9"/>
      <c r="AL584" s="273"/>
      <c r="AM584" s="273"/>
      <c r="AN584" s="9"/>
      <c r="AO584" s="273"/>
      <c r="AP584" s="273"/>
      <c r="AQ584" s="9"/>
      <c r="AR584" s="273"/>
      <c r="AS584" s="39"/>
    </row>
    <row r="585" spans="1:45" ht="12.75">
      <c r="A585" s="160"/>
      <c r="B585" s="273"/>
      <c r="C585" s="273"/>
      <c r="D585" s="273"/>
      <c r="E585" s="273"/>
      <c r="F585" s="273"/>
      <c r="G585" s="273"/>
      <c r="H585" s="273"/>
      <c r="I585" s="2"/>
      <c r="J585" s="17"/>
      <c r="K585" s="10"/>
      <c r="L585" s="10"/>
      <c r="M585" s="10"/>
      <c r="N585" s="10"/>
      <c r="O585" s="10"/>
      <c r="P585" s="10"/>
      <c r="Q585" s="10"/>
      <c r="R585" s="2"/>
      <c r="S585" s="273"/>
      <c r="T585" s="273"/>
      <c r="U585" s="273"/>
      <c r="V585" s="9"/>
      <c r="W585" s="273"/>
      <c r="X585" s="273"/>
      <c r="Y585" s="9"/>
      <c r="Z585" s="273"/>
      <c r="AA585" s="273"/>
      <c r="AB585" s="9"/>
      <c r="AC585" s="273"/>
      <c r="AD585" s="273"/>
      <c r="AE585" s="9"/>
      <c r="AF585" s="273"/>
      <c r="AG585" s="273"/>
      <c r="AH585" s="9"/>
      <c r="AI585" s="273"/>
      <c r="AJ585" s="273"/>
      <c r="AK585" s="9"/>
      <c r="AL585" s="273"/>
      <c r="AM585" s="273"/>
      <c r="AN585" s="9"/>
      <c r="AO585" s="273"/>
      <c r="AP585" s="273"/>
      <c r="AQ585" s="9"/>
      <c r="AR585" s="273"/>
      <c r="AS585" s="39"/>
    </row>
    <row r="586" spans="1:45" ht="12.75">
      <c r="A586" s="160"/>
      <c r="B586" s="273"/>
      <c r="C586" s="273"/>
      <c r="D586" s="273"/>
      <c r="E586" s="273"/>
      <c r="F586" s="273"/>
      <c r="G586" s="273"/>
      <c r="H586" s="273"/>
      <c r="I586" s="2"/>
      <c r="J586" s="17"/>
      <c r="K586" s="10"/>
      <c r="L586" s="10"/>
      <c r="M586" s="10"/>
      <c r="N586" s="10"/>
      <c r="O586" s="10"/>
      <c r="P586" s="10"/>
      <c r="Q586" s="10"/>
      <c r="R586" s="2"/>
      <c r="S586" s="273"/>
      <c r="T586" s="273"/>
      <c r="U586" s="273"/>
      <c r="V586" s="9"/>
      <c r="W586" s="273"/>
      <c r="X586" s="273"/>
      <c r="Y586" s="9"/>
      <c r="Z586" s="273"/>
      <c r="AA586" s="273"/>
      <c r="AB586" s="9"/>
      <c r="AC586" s="273"/>
      <c r="AD586" s="273"/>
      <c r="AE586" s="9"/>
      <c r="AF586" s="273"/>
      <c r="AG586" s="273"/>
      <c r="AH586" s="9"/>
      <c r="AI586" s="273"/>
      <c r="AJ586" s="273"/>
      <c r="AK586" s="9"/>
      <c r="AL586" s="273"/>
      <c r="AM586" s="273"/>
      <c r="AN586" s="9"/>
      <c r="AO586" s="273"/>
      <c r="AP586" s="273"/>
      <c r="AQ586" s="9"/>
      <c r="AR586" s="273"/>
      <c r="AS586" s="39"/>
    </row>
    <row r="587" spans="1:45" ht="12.75">
      <c r="A587" s="160"/>
      <c r="B587" s="273"/>
      <c r="C587" s="273"/>
      <c r="D587" s="273"/>
      <c r="E587" s="273"/>
      <c r="F587" s="273"/>
      <c r="G587" s="273"/>
      <c r="H587" s="273"/>
      <c r="I587" s="2"/>
      <c r="J587" s="17"/>
      <c r="K587" s="10"/>
      <c r="L587" s="10"/>
      <c r="M587" s="10"/>
      <c r="N587" s="10"/>
      <c r="O587" s="10"/>
      <c r="P587" s="10"/>
      <c r="Q587" s="10"/>
      <c r="R587" s="2"/>
      <c r="S587" s="273"/>
      <c r="T587" s="273"/>
      <c r="U587" s="273"/>
      <c r="V587" s="9"/>
      <c r="W587" s="273"/>
      <c r="X587" s="273"/>
      <c r="Y587" s="9"/>
      <c r="Z587" s="273"/>
      <c r="AA587" s="273"/>
      <c r="AB587" s="9"/>
      <c r="AC587" s="273"/>
      <c r="AD587" s="273"/>
      <c r="AE587" s="9"/>
      <c r="AF587" s="273"/>
      <c r="AG587" s="273"/>
      <c r="AH587" s="9"/>
      <c r="AI587" s="273"/>
      <c r="AJ587" s="273"/>
      <c r="AK587" s="9"/>
      <c r="AL587" s="273"/>
      <c r="AM587" s="273"/>
      <c r="AN587" s="9"/>
      <c r="AO587" s="273"/>
      <c r="AP587" s="273"/>
      <c r="AQ587" s="9"/>
      <c r="AR587" s="273"/>
      <c r="AS587" s="39"/>
    </row>
    <row r="588" spans="1:45" ht="12.75">
      <c r="A588" s="160"/>
      <c r="B588" s="273"/>
      <c r="C588" s="273"/>
      <c r="D588" s="273"/>
      <c r="E588" s="273"/>
      <c r="F588" s="273"/>
      <c r="G588" s="273"/>
      <c r="H588" s="273"/>
      <c r="I588" s="2"/>
      <c r="J588" s="17"/>
      <c r="K588" s="10"/>
      <c r="L588" s="10"/>
      <c r="M588" s="10"/>
      <c r="N588" s="10"/>
      <c r="O588" s="10"/>
      <c r="P588" s="10"/>
      <c r="Q588" s="10"/>
      <c r="R588" s="2"/>
      <c r="S588" s="273"/>
      <c r="T588" s="273"/>
      <c r="U588" s="273"/>
      <c r="V588" s="9"/>
      <c r="W588" s="273"/>
      <c r="X588" s="273"/>
      <c r="Y588" s="9"/>
      <c r="Z588" s="273"/>
      <c r="AA588" s="273"/>
      <c r="AB588" s="9"/>
      <c r="AC588" s="273"/>
      <c r="AD588" s="273"/>
      <c r="AE588" s="9"/>
      <c r="AF588" s="273"/>
      <c r="AG588" s="273"/>
      <c r="AH588" s="9"/>
      <c r="AI588" s="273"/>
      <c r="AJ588" s="273"/>
      <c r="AK588" s="9"/>
      <c r="AL588" s="273"/>
      <c r="AM588" s="273"/>
      <c r="AN588" s="9"/>
      <c r="AO588" s="273"/>
      <c r="AP588" s="273"/>
      <c r="AQ588" s="9"/>
      <c r="AR588" s="273"/>
      <c r="AS588" s="39"/>
    </row>
    <row r="589" spans="1:45" ht="12.75">
      <c r="A589" s="160"/>
      <c r="B589" s="273"/>
      <c r="C589" s="273"/>
      <c r="D589" s="273"/>
      <c r="E589" s="273"/>
      <c r="F589" s="273"/>
      <c r="G589" s="273"/>
      <c r="H589" s="273"/>
      <c r="I589" s="2"/>
      <c r="J589" s="17"/>
      <c r="K589" s="10"/>
      <c r="L589" s="10"/>
      <c r="M589" s="10"/>
      <c r="N589" s="10"/>
      <c r="O589" s="10"/>
      <c r="P589" s="10"/>
      <c r="Q589" s="10"/>
      <c r="R589" s="2"/>
      <c r="S589" s="273"/>
      <c r="T589" s="273"/>
      <c r="U589" s="273"/>
      <c r="V589" s="9"/>
      <c r="W589" s="273"/>
      <c r="X589" s="273"/>
      <c r="Y589" s="9"/>
      <c r="Z589" s="273"/>
      <c r="AA589" s="273"/>
      <c r="AB589" s="9"/>
      <c r="AC589" s="273"/>
      <c r="AD589" s="273"/>
      <c r="AE589" s="9"/>
      <c r="AF589" s="273"/>
      <c r="AG589" s="273"/>
      <c r="AH589" s="9"/>
      <c r="AI589" s="273"/>
      <c r="AJ589" s="273"/>
      <c r="AK589" s="9"/>
      <c r="AL589" s="273"/>
      <c r="AM589" s="273"/>
      <c r="AN589" s="9"/>
      <c r="AO589" s="273"/>
      <c r="AP589" s="273"/>
      <c r="AQ589" s="9"/>
      <c r="AR589" s="273"/>
      <c r="AS589" s="39"/>
    </row>
    <row r="590" spans="1:45" ht="12.75">
      <c r="A590" s="160"/>
      <c r="B590" s="273"/>
      <c r="C590" s="273"/>
      <c r="D590" s="273"/>
      <c r="E590" s="273"/>
      <c r="F590" s="273"/>
      <c r="G590" s="273"/>
      <c r="H590" s="273"/>
      <c r="I590" s="2"/>
      <c r="J590" s="17"/>
      <c r="K590" s="10"/>
      <c r="L590" s="10"/>
      <c r="M590" s="10"/>
      <c r="N590" s="10"/>
      <c r="O590" s="10"/>
      <c r="P590" s="10"/>
      <c r="Q590" s="10"/>
      <c r="R590" s="2"/>
      <c r="S590" s="273"/>
      <c r="T590" s="273"/>
      <c r="U590" s="273"/>
      <c r="V590" s="9"/>
      <c r="W590" s="273"/>
      <c r="X590" s="273"/>
      <c r="Y590" s="9"/>
      <c r="Z590" s="273"/>
      <c r="AA590" s="273"/>
      <c r="AB590" s="9"/>
      <c r="AC590" s="273"/>
      <c r="AD590" s="273"/>
      <c r="AE590" s="9"/>
      <c r="AF590" s="273"/>
      <c r="AG590" s="273"/>
      <c r="AH590" s="9"/>
      <c r="AI590" s="273"/>
      <c r="AJ590" s="273"/>
      <c r="AK590" s="9"/>
      <c r="AL590" s="273"/>
      <c r="AM590" s="273"/>
      <c r="AN590" s="9"/>
      <c r="AO590" s="273"/>
      <c r="AP590" s="273"/>
      <c r="AQ590" s="9"/>
      <c r="AR590" s="273"/>
      <c r="AS590" s="39"/>
    </row>
    <row r="591" spans="1:45" ht="12.75">
      <c r="A591" s="160"/>
      <c r="B591" s="273"/>
      <c r="C591" s="273"/>
      <c r="D591" s="273"/>
      <c r="E591" s="273"/>
      <c r="F591" s="273"/>
      <c r="G591" s="273"/>
      <c r="H591" s="273"/>
      <c r="I591" s="2"/>
      <c r="J591" s="17"/>
      <c r="K591" s="10"/>
      <c r="L591" s="10"/>
      <c r="M591" s="10"/>
      <c r="N591" s="10"/>
      <c r="O591" s="10"/>
      <c r="P591" s="10"/>
      <c r="Q591" s="10"/>
      <c r="R591" s="2"/>
      <c r="S591" s="273"/>
      <c r="T591" s="273"/>
      <c r="U591" s="273"/>
      <c r="V591" s="9"/>
      <c r="W591" s="273"/>
      <c r="X591" s="273"/>
      <c r="Y591" s="9"/>
      <c r="Z591" s="273"/>
      <c r="AA591" s="273"/>
      <c r="AB591" s="9"/>
      <c r="AC591" s="273"/>
      <c r="AD591" s="273"/>
      <c r="AE591" s="9"/>
      <c r="AF591" s="273"/>
      <c r="AG591" s="273"/>
      <c r="AH591" s="9"/>
      <c r="AI591" s="273"/>
      <c r="AJ591" s="273"/>
      <c r="AK591" s="9"/>
      <c r="AL591" s="273"/>
      <c r="AM591" s="273"/>
      <c r="AN591" s="9"/>
      <c r="AO591" s="273"/>
      <c r="AP591" s="273"/>
      <c r="AQ591" s="9"/>
      <c r="AR591" s="273"/>
      <c r="AS591" s="39"/>
    </row>
    <row r="592" spans="1:45" ht="12.75">
      <c r="A592" s="160"/>
      <c r="B592" s="273"/>
      <c r="C592" s="273"/>
      <c r="D592" s="273"/>
      <c r="E592" s="273"/>
      <c r="F592" s="273"/>
      <c r="G592" s="273"/>
      <c r="H592" s="273"/>
      <c r="I592" s="2"/>
      <c r="J592" s="17"/>
      <c r="K592" s="10"/>
      <c r="L592" s="10"/>
      <c r="M592" s="10"/>
      <c r="N592" s="10"/>
      <c r="O592" s="10"/>
      <c r="P592" s="10"/>
      <c r="Q592" s="10"/>
      <c r="R592" s="2"/>
      <c r="S592" s="273"/>
      <c r="T592" s="273"/>
      <c r="U592" s="273"/>
      <c r="V592" s="9"/>
      <c r="W592" s="273"/>
      <c r="X592" s="273"/>
      <c r="Y592" s="9"/>
      <c r="Z592" s="273"/>
      <c r="AA592" s="273"/>
      <c r="AB592" s="9"/>
      <c r="AC592" s="273"/>
      <c r="AD592" s="273"/>
      <c r="AE592" s="9"/>
      <c r="AF592" s="273"/>
      <c r="AG592" s="273"/>
      <c r="AH592" s="9"/>
      <c r="AI592" s="273"/>
      <c r="AJ592" s="273"/>
      <c r="AK592" s="9"/>
      <c r="AL592" s="273"/>
      <c r="AM592" s="273"/>
      <c r="AN592" s="9"/>
      <c r="AO592" s="273"/>
      <c r="AP592" s="273"/>
      <c r="AQ592" s="9"/>
      <c r="AR592" s="273"/>
      <c r="AS592" s="39"/>
    </row>
    <row r="593" spans="1:45" ht="12.75">
      <c r="A593" s="160"/>
      <c r="B593" s="273"/>
      <c r="C593" s="273"/>
      <c r="D593" s="273"/>
      <c r="E593" s="273"/>
      <c r="F593" s="273"/>
      <c r="G593" s="273"/>
      <c r="H593" s="273"/>
      <c r="I593" s="2"/>
      <c r="J593" s="17"/>
      <c r="K593" s="10"/>
      <c r="L593" s="10"/>
      <c r="M593" s="10"/>
      <c r="N593" s="10"/>
      <c r="O593" s="10"/>
      <c r="P593" s="10"/>
      <c r="Q593" s="10"/>
      <c r="R593" s="2"/>
      <c r="S593" s="273"/>
      <c r="T593" s="273"/>
      <c r="U593" s="273"/>
      <c r="V593" s="9"/>
      <c r="W593" s="273"/>
      <c r="X593" s="273"/>
      <c r="Y593" s="9"/>
      <c r="Z593" s="273"/>
      <c r="AA593" s="273"/>
      <c r="AB593" s="9"/>
      <c r="AC593" s="273"/>
      <c r="AD593" s="273"/>
      <c r="AE593" s="9"/>
      <c r="AF593" s="273"/>
      <c r="AG593" s="273"/>
      <c r="AH593" s="9"/>
      <c r="AI593" s="273"/>
      <c r="AJ593" s="273"/>
      <c r="AK593" s="9"/>
      <c r="AL593" s="273"/>
      <c r="AM593" s="273"/>
      <c r="AN593" s="9"/>
      <c r="AO593" s="273"/>
      <c r="AP593" s="273"/>
      <c r="AQ593" s="9"/>
      <c r="AR593" s="273"/>
      <c r="AS593" s="39"/>
    </row>
    <row r="594" spans="1:45" ht="12.75">
      <c r="A594" s="160"/>
      <c r="B594" s="273"/>
      <c r="C594" s="273"/>
      <c r="D594" s="273"/>
      <c r="E594" s="273"/>
      <c r="F594" s="273"/>
      <c r="G594" s="273"/>
      <c r="H594" s="273"/>
      <c r="I594" s="2"/>
      <c r="J594" s="17"/>
      <c r="K594" s="10"/>
      <c r="L594" s="10"/>
      <c r="M594" s="10"/>
      <c r="N594" s="10"/>
      <c r="O594" s="10"/>
      <c r="P594" s="10"/>
      <c r="Q594" s="10"/>
      <c r="R594" s="2"/>
      <c r="S594" s="273"/>
      <c r="T594" s="273"/>
      <c r="U594" s="273"/>
      <c r="V594" s="9"/>
      <c r="W594" s="273"/>
      <c r="X594" s="273"/>
      <c r="Y594" s="9"/>
      <c r="Z594" s="273"/>
      <c r="AA594" s="273"/>
      <c r="AB594" s="9"/>
      <c r="AC594" s="273"/>
      <c r="AD594" s="273"/>
      <c r="AE594" s="9"/>
      <c r="AF594" s="273"/>
      <c r="AG594" s="273"/>
      <c r="AH594" s="9"/>
      <c r="AI594" s="273"/>
      <c r="AJ594" s="273"/>
      <c r="AK594" s="9"/>
      <c r="AL594" s="273"/>
      <c r="AM594" s="273"/>
      <c r="AN594" s="9"/>
      <c r="AO594" s="273"/>
      <c r="AP594" s="273"/>
      <c r="AQ594" s="9"/>
      <c r="AR594" s="273"/>
      <c r="AS594" s="39"/>
    </row>
    <row r="595" spans="1:45" ht="12.75">
      <c r="A595" s="160"/>
      <c r="B595" s="273"/>
      <c r="C595" s="273"/>
      <c r="D595" s="273"/>
      <c r="E595" s="273"/>
      <c r="F595" s="273"/>
      <c r="G595" s="273"/>
      <c r="H595" s="273"/>
      <c r="I595" s="2"/>
      <c r="J595" s="17"/>
      <c r="K595" s="10"/>
      <c r="L595" s="10"/>
      <c r="M595" s="10"/>
      <c r="N595" s="10"/>
      <c r="O595" s="10"/>
      <c r="P595" s="10"/>
      <c r="Q595" s="10"/>
      <c r="R595" s="2"/>
      <c r="S595" s="273"/>
      <c r="T595" s="273"/>
      <c r="U595" s="273"/>
      <c r="V595" s="9"/>
      <c r="W595" s="273"/>
      <c r="X595" s="273"/>
      <c r="Y595" s="9"/>
      <c r="Z595" s="273"/>
      <c r="AA595" s="273"/>
      <c r="AB595" s="9"/>
      <c r="AC595" s="273"/>
      <c r="AD595" s="273"/>
      <c r="AE595" s="9"/>
      <c r="AF595" s="273"/>
      <c r="AG595" s="273"/>
      <c r="AH595" s="9"/>
      <c r="AI595" s="273"/>
      <c r="AJ595" s="273"/>
      <c r="AK595" s="9"/>
      <c r="AL595" s="273"/>
      <c r="AM595" s="273"/>
      <c r="AN595" s="9"/>
      <c r="AO595" s="273"/>
      <c r="AP595" s="273"/>
      <c r="AQ595" s="9"/>
      <c r="AR595" s="273"/>
      <c r="AS595" s="39"/>
    </row>
    <row r="596" spans="1:45" ht="12.75">
      <c r="A596" s="160"/>
      <c r="B596" s="273"/>
      <c r="C596" s="273"/>
      <c r="D596" s="273"/>
      <c r="E596" s="273"/>
      <c r="F596" s="273"/>
      <c r="G596" s="273"/>
      <c r="H596" s="273"/>
      <c r="I596" s="2"/>
      <c r="J596" s="17"/>
      <c r="K596" s="10"/>
      <c r="L596" s="10"/>
      <c r="M596" s="10"/>
      <c r="N596" s="10"/>
      <c r="O596" s="10"/>
      <c r="P596" s="10"/>
      <c r="Q596" s="10"/>
      <c r="R596" s="2"/>
      <c r="S596" s="273"/>
      <c r="T596" s="273"/>
      <c r="U596" s="273"/>
      <c r="V596" s="9"/>
      <c r="W596" s="273"/>
      <c r="X596" s="273"/>
      <c r="Y596" s="9"/>
      <c r="Z596" s="273"/>
      <c r="AA596" s="273"/>
      <c r="AB596" s="9"/>
      <c r="AC596" s="273"/>
      <c r="AD596" s="273"/>
      <c r="AE596" s="9"/>
      <c r="AF596" s="273"/>
      <c r="AG596" s="273"/>
      <c r="AH596" s="9"/>
      <c r="AI596" s="273"/>
      <c r="AJ596" s="273"/>
      <c r="AK596" s="9"/>
      <c r="AL596" s="273"/>
      <c r="AM596" s="273"/>
      <c r="AN596" s="9"/>
      <c r="AO596" s="273"/>
      <c r="AP596" s="273"/>
      <c r="AQ596" s="9"/>
      <c r="AR596" s="273"/>
      <c r="AS596" s="39"/>
    </row>
    <row r="597" spans="1:45" ht="12.75">
      <c r="A597" s="160"/>
      <c r="B597" s="273"/>
      <c r="C597" s="273"/>
      <c r="D597" s="273"/>
      <c r="E597" s="273"/>
      <c r="F597" s="273"/>
      <c r="G597" s="273"/>
      <c r="H597" s="273"/>
      <c r="I597" s="2"/>
      <c r="J597" s="17"/>
      <c r="K597" s="10"/>
      <c r="L597" s="10"/>
      <c r="M597" s="10"/>
      <c r="N597" s="10"/>
      <c r="O597" s="10"/>
      <c r="P597" s="10"/>
      <c r="Q597" s="10"/>
      <c r="R597" s="2"/>
      <c r="S597" s="273"/>
      <c r="T597" s="273"/>
      <c r="U597" s="273"/>
      <c r="V597" s="9"/>
      <c r="W597" s="273"/>
      <c r="X597" s="273"/>
      <c r="Y597" s="9"/>
      <c r="Z597" s="273"/>
      <c r="AA597" s="273"/>
      <c r="AB597" s="9"/>
      <c r="AC597" s="273"/>
      <c r="AD597" s="273"/>
      <c r="AE597" s="9"/>
      <c r="AF597" s="273"/>
      <c r="AG597" s="273"/>
      <c r="AH597" s="9"/>
      <c r="AI597" s="273"/>
      <c r="AJ597" s="273"/>
      <c r="AK597" s="9"/>
      <c r="AL597" s="273"/>
      <c r="AM597" s="273"/>
      <c r="AN597" s="9"/>
      <c r="AO597" s="273"/>
      <c r="AP597" s="273"/>
      <c r="AQ597" s="9"/>
      <c r="AR597" s="273"/>
      <c r="AS597" s="39"/>
    </row>
    <row r="598" spans="1:45" ht="12.75">
      <c r="A598" s="160"/>
      <c r="B598" s="273"/>
      <c r="C598" s="273"/>
      <c r="D598" s="273"/>
      <c r="E598" s="273"/>
      <c r="F598" s="273"/>
      <c r="G598" s="273"/>
      <c r="H598" s="273"/>
      <c r="I598" s="2"/>
      <c r="J598" s="17"/>
      <c r="K598" s="10"/>
      <c r="L598" s="10"/>
      <c r="M598" s="10"/>
      <c r="N598" s="10"/>
      <c r="O598" s="10"/>
      <c r="P598" s="10"/>
      <c r="Q598" s="10"/>
      <c r="R598" s="2"/>
      <c r="S598" s="273"/>
      <c r="T598" s="273"/>
      <c r="U598" s="273"/>
      <c r="V598" s="9"/>
      <c r="W598" s="273"/>
      <c r="X598" s="273"/>
      <c r="Y598" s="9"/>
      <c r="Z598" s="273"/>
      <c r="AA598" s="273"/>
      <c r="AB598" s="9"/>
      <c r="AC598" s="273"/>
      <c r="AD598" s="273"/>
      <c r="AE598" s="9"/>
      <c r="AF598" s="273"/>
      <c r="AG598" s="273"/>
      <c r="AH598" s="9"/>
      <c r="AI598" s="273"/>
      <c r="AJ598" s="273"/>
      <c r="AK598" s="9"/>
      <c r="AL598" s="273"/>
      <c r="AM598" s="273"/>
      <c r="AN598" s="9"/>
      <c r="AO598" s="273"/>
      <c r="AP598" s="273"/>
      <c r="AQ598" s="9"/>
      <c r="AR598" s="273"/>
      <c r="AS598" s="39"/>
    </row>
    <row r="599" spans="1:45" ht="12.75">
      <c r="A599" s="160"/>
      <c r="B599" s="273"/>
      <c r="C599" s="273"/>
      <c r="D599" s="273"/>
      <c r="E599" s="273"/>
      <c r="F599" s="273"/>
      <c r="G599" s="273"/>
      <c r="H599" s="273"/>
      <c r="I599" s="2"/>
      <c r="J599" s="17"/>
      <c r="K599" s="10"/>
      <c r="L599" s="10"/>
      <c r="M599" s="10"/>
      <c r="N599" s="10"/>
      <c r="O599" s="10"/>
      <c r="P599" s="10"/>
      <c r="Q599" s="10"/>
      <c r="R599" s="2"/>
      <c r="S599" s="273"/>
      <c r="T599" s="273"/>
      <c r="U599" s="273"/>
      <c r="V599" s="9"/>
      <c r="W599" s="273"/>
      <c r="X599" s="273"/>
      <c r="Y599" s="9"/>
      <c r="Z599" s="273"/>
      <c r="AA599" s="273"/>
      <c r="AB599" s="9"/>
      <c r="AC599" s="273"/>
      <c r="AD599" s="273"/>
      <c r="AE599" s="9"/>
      <c r="AF599" s="273"/>
      <c r="AG599" s="273"/>
      <c r="AH599" s="9"/>
      <c r="AI599" s="273"/>
      <c r="AJ599" s="273"/>
      <c r="AK599" s="9"/>
      <c r="AL599" s="273"/>
      <c r="AM599" s="273"/>
      <c r="AN599" s="9"/>
      <c r="AO599" s="273"/>
      <c r="AP599" s="273"/>
      <c r="AQ599" s="9"/>
      <c r="AR599" s="273"/>
      <c r="AS599" s="39"/>
    </row>
    <row r="600" spans="1:45" ht="12.75">
      <c r="A600" s="160"/>
      <c r="B600" s="273"/>
      <c r="C600" s="273"/>
      <c r="D600" s="273"/>
      <c r="E600" s="273"/>
      <c r="F600" s="273"/>
      <c r="G600" s="273"/>
      <c r="H600" s="273"/>
      <c r="I600" s="2"/>
      <c r="J600" s="17"/>
      <c r="K600" s="10"/>
      <c r="L600" s="10"/>
      <c r="M600" s="10"/>
      <c r="N600" s="10"/>
      <c r="O600" s="10"/>
      <c r="P600" s="10"/>
      <c r="Q600" s="10"/>
      <c r="R600" s="2"/>
      <c r="S600" s="273"/>
      <c r="T600" s="273"/>
      <c r="U600" s="273"/>
      <c r="V600" s="9"/>
      <c r="W600" s="273"/>
      <c r="X600" s="273"/>
      <c r="Y600" s="9"/>
      <c r="Z600" s="273"/>
      <c r="AA600" s="273"/>
      <c r="AB600" s="9"/>
      <c r="AC600" s="273"/>
      <c r="AD600" s="273"/>
      <c r="AE600" s="9"/>
      <c r="AF600" s="273"/>
      <c r="AG600" s="273"/>
      <c r="AH600" s="9"/>
      <c r="AI600" s="273"/>
      <c r="AJ600" s="273"/>
      <c r="AK600" s="9"/>
      <c r="AL600" s="273"/>
      <c r="AM600" s="273"/>
      <c r="AN600" s="9"/>
      <c r="AO600" s="273"/>
      <c r="AP600" s="273"/>
      <c r="AQ600" s="9"/>
      <c r="AR600" s="273"/>
      <c r="AS600" s="39"/>
    </row>
    <row r="601" spans="1:45" ht="12.75">
      <c r="A601" s="160"/>
      <c r="B601" s="273"/>
      <c r="C601" s="273"/>
      <c r="D601" s="273"/>
      <c r="E601" s="273"/>
      <c r="F601" s="273"/>
      <c r="G601" s="273"/>
      <c r="H601" s="273"/>
      <c r="I601" s="2"/>
      <c r="J601" s="17"/>
      <c r="K601" s="10"/>
      <c r="L601" s="10"/>
      <c r="M601" s="10"/>
      <c r="N601" s="10"/>
      <c r="O601" s="10"/>
      <c r="P601" s="10"/>
      <c r="Q601" s="10"/>
      <c r="R601" s="2"/>
      <c r="S601" s="273"/>
      <c r="T601" s="273"/>
      <c r="U601" s="273"/>
      <c r="V601" s="9"/>
      <c r="W601" s="273"/>
      <c r="X601" s="273"/>
      <c r="Y601" s="9"/>
      <c r="Z601" s="273"/>
      <c r="AA601" s="273"/>
      <c r="AB601" s="9"/>
      <c r="AC601" s="273"/>
      <c r="AD601" s="273"/>
      <c r="AE601" s="9"/>
      <c r="AF601" s="273"/>
      <c r="AG601" s="273"/>
      <c r="AH601" s="9"/>
      <c r="AI601" s="273"/>
      <c r="AJ601" s="273"/>
      <c r="AK601" s="9"/>
      <c r="AL601" s="273"/>
      <c r="AM601" s="273"/>
      <c r="AN601" s="9"/>
      <c r="AO601" s="273"/>
      <c r="AP601" s="273"/>
      <c r="AQ601" s="9"/>
      <c r="AR601" s="273"/>
      <c r="AS601" s="39"/>
    </row>
    <row r="602" spans="1:45" ht="12.75">
      <c r="A602" s="160"/>
      <c r="B602" s="273"/>
      <c r="C602" s="273"/>
      <c r="D602" s="273"/>
      <c r="E602" s="273"/>
      <c r="F602" s="273"/>
      <c r="G602" s="273"/>
      <c r="H602" s="273"/>
      <c r="I602" s="2"/>
      <c r="J602" s="17"/>
      <c r="K602" s="10"/>
      <c r="L602" s="10"/>
      <c r="M602" s="10"/>
      <c r="N602" s="10"/>
      <c r="O602" s="10"/>
      <c r="P602" s="10"/>
      <c r="Q602" s="10"/>
      <c r="R602" s="2"/>
      <c r="S602" s="273"/>
      <c r="T602" s="273"/>
      <c r="U602" s="273"/>
      <c r="V602" s="9"/>
      <c r="W602" s="273"/>
      <c r="X602" s="273"/>
      <c r="Y602" s="9"/>
      <c r="Z602" s="273"/>
      <c r="AA602" s="273"/>
      <c r="AB602" s="9"/>
      <c r="AC602" s="273"/>
      <c r="AD602" s="273"/>
      <c r="AE602" s="9"/>
      <c r="AF602" s="273"/>
      <c r="AG602" s="273"/>
      <c r="AH602" s="9"/>
      <c r="AI602" s="273"/>
      <c r="AJ602" s="273"/>
      <c r="AK602" s="9"/>
      <c r="AL602" s="273"/>
      <c r="AM602" s="273"/>
      <c r="AN602" s="9"/>
      <c r="AO602" s="273"/>
      <c r="AP602" s="273"/>
      <c r="AQ602" s="9"/>
      <c r="AR602" s="273"/>
      <c r="AS602" s="39"/>
    </row>
    <row r="603" spans="1:45" ht="12.75">
      <c r="A603" s="160"/>
      <c r="B603" s="273"/>
      <c r="C603" s="273"/>
      <c r="D603" s="273"/>
      <c r="E603" s="273"/>
      <c r="F603" s="273"/>
      <c r="G603" s="273"/>
      <c r="H603" s="273"/>
      <c r="I603" s="2"/>
      <c r="J603" s="17"/>
      <c r="K603" s="10"/>
      <c r="L603" s="10"/>
      <c r="M603" s="10"/>
      <c r="N603" s="10"/>
      <c r="O603" s="10"/>
      <c r="P603" s="10"/>
      <c r="Q603" s="10"/>
      <c r="R603" s="2"/>
      <c r="S603" s="273"/>
      <c r="T603" s="273"/>
      <c r="U603" s="273"/>
      <c r="V603" s="9"/>
      <c r="W603" s="273"/>
      <c r="X603" s="273"/>
      <c r="Y603" s="9"/>
      <c r="Z603" s="273"/>
      <c r="AA603" s="273"/>
      <c r="AB603" s="9"/>
      <c r="AC603" s="273"/>
      <c r="AD603" s="273"/>
      <c r="AE603" s="9"/>
      <c r="AF603" s="273"/>
      <c r="AG603" s="273"/>
      <c r="AH603" s="9"/>
      <c r="AI603" s="273"/>
      <c r="AJ603" s="273"/>
      <c r="AK603" s="9"/>
      <c r="AL603" s="273"/>
      <c r="AM603" s="273"/>
      <c r="AN603" s="9"/>
      <c r="AO603" s="273"/>
      <c r="AP603" s="273"/>
      <c r="AQ603" s="9"/>
      <c r="AR603" s="273"/>
      <c r="AS603" s="39"/>
    </row>
    <row r="604" spans="1:45" ht="12.75">
      <c r="A604" s="160"/>
      <c r="B604" s="273"/>
      <c r="C604" s="273"/>
      <c r="D604" s="273"/>
      <c r="E604" s="273"/>
      <c r="F604" s="273"/>
      <c r="G604" s="273"/>
      <c r="H604" s="273"/>
      <c r="I604" s="2"/>
      <c r="J604" s="17"/>
      <c r="K604" s="10"/>
      <c r="L604" s="10"/>
      <c r="M604" s="10"/>
      <c r="N604" s="10"/>
      <c r="O604" s="10"/>
      <c r="P604" s="10"/>
      <c r="Q604" s="10"/>
      <c r="R604" s="2"/>
      <c r="S604" s="273"/>
      <c r="T604" s="273"/>
      <c r="U604" s="273"/>
      <c r="V604" s="9"/>
      <c r="W604" s="273"/>
      <c r="X604" s="273"/>
      <c r="Y604" s="9"/>
      <c r="Z604" s="273"/>
      <c r="AA604" s="273"/>
      <c r="AB604" s="9"/>
      <c r="AC604" s="273"/>
      <c r="AD604" s="273"/>
      <c r="AE604" s="9"/>
      <c r="AF604" s="273"/>
      <c r="AG604" s="273"/>
      <c r="AH604" s="9"/>
      <c r="AI604" s="273"/>
      <c r="AJ604" s="273"/>
      <c r="AK604" s="9"/>
      <c r="AL604" s="273"/>
      <c r="AM604" s="273"/>
      <c r="AN604" s="9"/>
      <c r="AO604" s="273"/>
      <c r="AP604" s="273"/>
      <c r="AQ604" s="9"/>
      <c r="AR604" s="273"/>
      <c r="AS604" s="39"/>
    </row>
    <row r="605" spans="1:45" ht="12.75">
      <c r="A605" s="160"/>
      <c r="B605" s="273"/>
      <c r="C605" s="273"/>
      <c r="D605" s="273"/>
      <c r="E605" s="273"/>
      <c r="F605" s="273"/>
      <c r="G605" s="273"/>
      <c r="H605" s="273"/>
      <c r="I605" s="2"/>
      <c r="J605" s="17"/>
      <c r="K605" s="10"/>
      <c r="L605" s="10"/>
      <c r="M605" s="10"/>
      <c r="N605" s="10"/>
      <c r="O605" s="10"/>
      <c r="P605" s="10"/>
      <c r="Q605" s="10"/>
      <c r="R605" s="2"/>
      <c r="S605" s="273"/>
      <c r="T605" s="273"/>
      <c r="U605" s="273"/>
      <c r="V605" s="9"/>
      <c r="W605" s="273"/>
      <c r="X605" s="273"/>
      <c r="Y605" s="9"/>
      <c r="Z605" s="273"/>
      <c r="AA605" s="273"/>
      <c r="AB605" s="9"/>
      <c r="AC605" s="273"/>
      <c r="AD605" s="273"/>
      <c r="AE605" s="9"/>
      <c r="AF605" s="273"/>
      <c r="AG605" s="273"/>
      <c r="AH605" s="9"/>
      <c r="AI605" s="273"/>
      <c r="AJ605" s="273"/>
      <c r="AK605" s="9"/>
      <c r="AL605" s="273"/>
      <c r="AM605" s="273"/>
      <c r="AN605" s="9"/>
      <c r="AO605" s="273"/>
      <c r="AP605" s="273"/>
      <c r="AQ605" s="9"/>
      <c r="AR605" s="273"/>
      <c r="AS605" s="39"/>
    </row>
    <row r="606" spans="1:45" ht="12.75">
      <c r="A606" s="160"/>
      <c r="B606" s="273"/>
      <c r="C606" s="273"/>
      <c r="D606" s="273"/>
      <c r="E606" s="273"/>
      <c r="F606" s="273"/>
      <c r="G606" s="273"/>
      <c r="H606" s="273"/>
      <c r="I606" s="2"/>
      <c r="J606" s="17"/>
      <c r="K606" s="10"/>
      <c r="L606" s="10"/>
      <c r="M606" s="10"/>
      <c r="N606" s="10"/>
      <c r="O606" s="10"/>
      <c r="P606" s="10"/>
      <c r="Q606" s="10"/>
      <c r="R606" s="2"/>
      <c r="S606" s="273"/>
      <c r="T606" s="273"/>
      <c r="U606" s="273"/>
      <c r="V606" s="9"/>
      <c r="W606" s="273"/>
      <c r="X606" s="273"/>
      <c r="Y606" s="9"/>
      <c r="Z606" s="273"/>
      <c r="AA606" s="273"/>
      <c r="AB606" s="9"/>
      <c r="AC606" s="273"/>
      <c r="AD606" s="273"/>
      <c r="AE606" s="9"/>
      <c r="AF606" s="273"/>
      <c r="AG606" s="273"/>
      <c r="AH606" s="9"/>
      <c r="AI606" s="273"/>
      <c r="AJ606" s="273"/>
      <c r="AK606" s="9"/>
      <c r="AL606" s="273"/>
      <c r="AM606" s="273"/>
      <c r="AN606" s="9"/>
      <c r="AO606" s="273"/>
      <c r="AP606" s="273"/>
      <c r="AQ606" s="9"/>
      <c r="AR606" s="273"/>
      <c r="AS606" s="39"/>
    </row>
    <row r="607" spans="1:45" ht="12.75">
      <c r="A607" s="160"/>
      <c r="B607" s="273"/>
      <c r="C607" s="273"/>
      <c r="D607" s="273"/>
      <c r="E607" s="273"/>
      <c r="F607" s="273"/>
      <c r="G607" s="273"/>
      <c r="H607" s="273"/>
      <c r="I607" s="2"/>
      <c r="J607" s="17"/>
      <c r="K607" s="10"/>
      <c r="L607" s="10"/>
      <c r="M607" s="10"/>
      <c r="N607" s="10"/>
      <c r="O607" s="10"/>
      <c r="P607" s="10"/>
      <c r="Q607" s="10"/>
      <c r="R607" s="2"/>
      <c r="S607" s="273"/>
      <c r="T607" s="273"/>
      <c r="U607" s="273"/>
      <c r="V607" s="9"/>
      <c r="W607" s="273"/>
      <c r="X607" s="273"/>
      <c r="Y607" s="9"/>
      <c r="Z607" s="273"/>
      <c r="AA607" s="273"/>
      <c r="AB607" s="9"/>
      <c r="AC607" s="273"/>
      <c r="AD607" s="273"/>
      <c r="AE607" s="9"/>
      <c r="AF607" s="273"/>
      <c r="AG607" s="273"/>
      <c r="AH607" s="9"/>
      <c r="AI607" s="273"/>
      <c r="AJ607" s="273"/>
      <c r="AK607" s="9"/>
      <c r="AL607" s="273"/>
      <c r="AM607" s="273"/>
      <c r="AN607" s="9"/>
      <c r="AO607" s="273"/>
      <c r="AP607" s="273"/>
      <c r="AQ607" s="9"/>
      <c r="AR607" s="273"/>
      <c r="AS607" s="39"/>
    </row>
    <row r="608" spans="1:45" ht="12.75">
      <c r="A608" s="160"/>
      <c r="B608" s="273"/>
      <c r="C608" s="273"/>
      <c r="D608" s="273"/>
      <c r="E608" s="273"/>
      <c r="F608" s="273"/>
      <c r="G608" s="273"/>
      <c r="H608" s="273"/>
      <c r="I608" s="2"/>
      <c r="J608" s="17"/>
      <c r="K608" s="10"/>
      <c r="L608" s="10"/>
      <c r="M608" s="10"/>
      <c r="N608" s="10"/>
      <c r="O608" s="10"/>
      <c r="P608" s="10"/>
      <c r="Q608" s="10"/>
      <c r="R608" s="2"/>
      <c r="S608" s="273"/>
      <c r="T608" s="273"/>
      <c r="U608" s="273"/>
      <c r="V608" s="9"/>
      <c r="W608" s="273"/>
      <c r="X608" s="273"/>
      <c r="Y608" s="9"/>
      <c r="Z608" s="273"/>
      <c r="AA608" s="273"/>
      <c r="AB608" s="9"/>
      <c r="AC608" s="273"/>
      <c r="AD608" s="273"/>
      <c r="AE608" s="9"/>
      <c r="AF608" s="273"/>
      <c r="AG608" s="273"/>
      <c r="AH608" s="9"/>
      <c r="AI608" s="273"/>
      <c r="AJ608" s="273"/>
      <c r="AK608" s="9"/>
      <c r="AL608" s="273"/>
      <c r="AM608" s="273"/>
      <c r="AN608" s="9"/>
      <c r="AO608" s="273"/>
      <c r="AP608" s="273"/>
      <c r="AQ608" s="9"/>
      <c r="AR608" s="273"/>
      <c r="AS608" s="39"/>
    </row>
    <row r="609" spans="1:45" ht="12.75">
      <c r="A609" s="160"/>
      <c r="B609" s="273"/>
      <c r="C609" s="273"/>
      <c r="D609" s="273"/>
      <c r="E609" s="273"/>
      <c r="F609" s="273"/>
      <c r="G609" s="273"/>
      <c r="H609" s="273"/>
      <c r="I609" s="2"/>
      <c r="J609" s="17"/>
      <c r="K609" s="10"/>
      <c r="L609" s="10"/>
      <c r="M609" s="10"/>
      <c r="N609" s="10"/>
      <c r="O609" s="10"/>
      <c r="P609" s="10"/>
      <c r="Q609" s="10"/>
      <c r="R609" s="2"/>
      <c r="S609" s="273"/>
      <c r="T609" s="273"/>
      <c r="U609" s="273"/>
      <c r="V609" s="9"/>
      <c r="W609" s="273"/>
      <c r="X609" s="273"/>
      <c r="Y609" s="9"/>
      <c r="Z609" s="273"/>
      <c r="AA609" s="273"/>
      <c r="AB609" s="9"/>
      <c r="AC609" s="273"/>
      <c r="AD609" s="273"/>
      <c r="AE609" s="9"/>
      <c r="AF609" s="273"/>
      <c r="AG609" s="273"/>
      <c r="AH609" s="9"/>
      <c r="AI609" s="273"/>
      <c r="AJ609" s="273"/>
      <c r="AK609" s="9"/>
      <c r="AL609" s="273"/>
      <c r="AM609" s="273"/>
      <c r="AN609" s="9"/>
      <c r="AO609" s="273"/>
      <c r="AP609" s="273"/>
      <c r="AQ609" s="9"/>
      <c r="AR609" s="273"/>
      <c r="AS609" s="39"/>
    </row>
    <row r="610" spans="1:45" ht="12.75">
      <c r="A610" s="160"/>
      <c r="B610" s="273"/>
      <c r="C610" s="273"/>
      <c r="D610" s="273"/>
      <c r="E610" s="273"/>
      <c r="F610" s="273"/>
      <c r="G610" s="273"/>
      <c r="H610" s="273"/>
      <c r="I610" s="2"/>
      <c r="J610" s="17"/>
      <c r="K610" s="10"/>
      <c r="L610" s="10"/>
      <c r="M610" s="10"/>
      <c r="N610" s="10"/>
      <c r="O610" s="10"/>
      <c r="P610" s="10"/>
      <c r="Q610" s="10"/>
      <c r="R610" s="2"/>
      <c r="S610" s="273"/>
      <c r="T610" s="273"/>
      <c r="U610" s="273"/>
      <c r="V610" s="9"/>
      <c r="W610" s="273"/>
      <c r="X610" s="273"/>
      <c r="Y610" s="9"/>
      <c r="Z610" s="273"/>
      <c r="AA610" s="273"/>
      <c r="AB610" s="9"/>
      <c r="AC610" s="273"/>
      <c r="AD610" s="273"/>
      <c r="AE610" s="9"/>
      <c r="AF610" s="273"/>
      <c r="AG610" s="273"/>
      <c r="AH610" s="9"/>
      <c r="AI610" s="273"/>
      <c r="AJ610" s="273"/>
      <c r="AK610" s="9"/>
      <c r="AL610" s="273"/>
      <c r="AM610" s="273"/>
      <c r="AN610" s="9"/>
      <c r="AO610" s="273"/>
      <c r="AP610" s="273"/>
      <c r="AQ610" s="9"/>
      <c r="AR610" s="273"/>
      <c r="AS610" s="39"/>
    </row>
    <row r="611" spans="1:45" ht="12.75">
      <c r="A611" s="160"/>
      <c r="B611" s="273"/>
      <c r="C611" s="273"/>
      <c r="D611" s="273"/>
      <c r="E611" s="273"/>
      <c r="F611" s="273"/>
      <c r="G611" s="273"/>
      <c r="H611" s="273"/>
      <c r="I611" s="2"/>
      <c r="J611" s="17"/>
      <c r="K611" s="10"/>
      <c r="L611" s="10"/>
      <c r="M611" s="10"/>
      <c r="N611" s="10"/>
      <c r="O611" s="10"/>
      <c r="P611" s="10"/>
      <c r="Q611" s="10"/>
      <c r="R611" s="2"/>
      <c r="S611" s="273"/>
      <c r="T611" s="273"/>
      <c r="U611" s="273"/>
      <c r="V611" s="9"/>
      <c r="W611" s="273"/>
      <c r="X611" s="273"/>
      <c r="Y611" s="9"/>
      <c r="Z611" s="273"/>
      <c r="AA611" s="273"/>
      <c r="AB611" s="9"/>
      <c r="AC611" s="273"/>
      <c r="AD611" s="273"/>
      <c r="AE611" s="9"/>
      <c r="AF611" s="273"/>
      <c r="AG611" s="273"/>
      <c r="AH611" s="9"/>
      <c r="AI611" s="273"/>
      <c r="AJ611" s="273"/>
      <c r="AK611" s="9"/>
      <c r="AL611" s="273"/>
      <c r="AM611" s="273"/>
      <c r="AN611" s="9"/>
      <c r="AO611" s="273"/>
      <c r="AP611" s="273"/>
      <c r="AQ611" s="9"/>
      <c r="AR611" s="273"/>
      <c r="AS611" s="39"/>
    </row>
    <row r="612" spans="1:45" ht="12.75">
      <c r="A612" s="160"/>
      <c r="B612" s="273"/>
      <c r="C612" s="273"/>
      <c r="D612" s="273"/>
      <c r="E612" s="273"/>
      <c r="F612" s="273"/>
      <c r="G612" s="273"/>
      <c r="H612" s="273"/>
      <c r="I612" s="2"/>
      <c r="J612" s="17"/>
      <c r="K612" s="10"/>
      <c r="L612" s="10"/>
      <c r="M612" s="10"/>
      <c r="N612" s="10"/>
      <c r="O612" s="10"/>
      <c r="P612" s="10"/>
      <c r="Q612" s="10"/>
      <c r="R612" s="2"/>
      <c r="S612" s="273"/>
      <c r="T612" s="273"/>
      <c r="U612" s="273"/>
      <c r="V612" s="9"/>
      <c r="W612" s="273"/>
      <c r="X612" s="273"/>
      <c r="Y612" s="9"/>
      <c r="Z612" s="273"/>
      <c r="AA612" s="273"/>
      <c r="AB612" s="9"/>
      <c r="AC612" s="273"/>
      <c r="AD612" s="273"/>
      <c r="AE612" s="9"/>
      <c r="AF612" s="273"/>
      <c r="AG612" s="273"/>
      <c r="AH612" s="9"/>
      <c r="AI612" s="273"/>
      <c r="AJ612" s="273"/>
      <c r="AK612" s="9"/>
      <c r="AL612" s="273"/>
      <c r="AM612" s="273"/>
      <c r="AN612" s="9"/>
      <c r="AO612" s="273"/>
      <c r="AP612" s="273"/>
      <c r="AQ612" s="9"/>
      <c r="AR612" s="273"/>
      <c r="AS612" s="39"/>
    </row>
    <row r="613" spans="1:45" ht="12.75">
      <c r="A613" s="160"/>
      <c r="B613" s="273"/>
      <c r="C613" s="273"/>
      <c r="D613" s="273"/>
      <c r="E613" s="273"/>
      <c r="F613" s="273"/>
      <c r="G613" s="273"/>
      <c r="H613" s="273"/>
      <c r="I613" s="2"/>
      <c r="J613" s="17"/>
      <c r="K613" s="10"/>
      <c r="L613" s="10"/>
      <c r="M613" s="10"/>
      <c r="N613" s="10"/>
      <c r="O613" s="10"/>
      <c r="P613" s="10"/>
      <c r="Q613" s="10"/>
      <c r="R613" s="2"/>
      <c r="S613" s="273"/>
      <c r="T613" s="273"/>
      <c r="U613" s="273"/>
      <c r="V613" s="9"/>
      <c r="W613" s="273"/>
      <c r="X613" s="273"/>
      <c r="Y613" s="9"/>
      <c r="Z613" s="273"/>
      <c r="AA613" s="273"/>
      <c r="AB613" s="9"/>
      <c r="AC613" s="273"/>
      <c r="AD613" s="273"/>
      <c r="AE613" s="9"/>
      <c r="AF613" s="273"/>
      <c r="AG613" s="273"/>
      <c r="AH613" s="9"/>
      <c r="AI613" s="273"/>
      <c r="AJ613" s="273"/>
      <c r="AK613" s="9"/>
      <c r="AL613" s="273"/>
      <c r="AM613" s="273"/>
      <c r="AN613" s="9"/>
      <c r="AO613" s="273"/>
      <c r="AP613" s="273"/>
      <c r="AQ613" s="9"/>
      <c r="AR613" s="273"/>
      <c r="AS613" s="39"/>
    </row>
    <row r="614" spans="1:45" ht="12.75">
      <c r="A614" s="160"/>
      <c r="B614" s="273"/>
      <c r="C614" s="273"/>
      <c r="D614" s="273"/>
      <c r="E614" s="273"/>
      <c r="F614" s="273"/>
      <c r="G614" s="273"/>
      <c r="H614" s="273"/>
      <c r="I614" s="2"/>
      <c r="J614" s="17"/>
      <c r="K614" s="10"/>
      <c r="L614" s="10"/>
      <c r="M614" s="10"/>
      <c r="N614" s="10"/>
      <c r="O614" s="10"/>
      <c r="P614" s="10"/>
      <c r="Q614" s="10"/>
      <c r="R614" s="2"/>
      <c r="S614" s="273"/>
      <c r="T614" s="273"/>
      <c r="U614" s="273"/>
      <c r="V614" s="9"/>
      <c r="W614" s="273"/>
      <c r="X614" s="273"/>
      <c r="Y614" s="9"/>
      <c r="Z614" s="273"/>
      <c r="AA614" s="273"/>
      <c r="AB614" s="9"/>
      <c r="AC614" s="273"/>
      <c r="AD614" s="273"/>
      <c r="AE614" s="9"/>
      <c r="AF614" s="273"/>
      <c r="AG614" s="273"/>
      <c r="AH614" s="9"/>
      <c r="AI614" s="273"/>
      <c r="AJ614" s="273"/>
      <c r="AK614" s="9"/>
      <c r="AL614" s="273"/>
      <c r="AM614" s="273"/>
      <c r="AN614" s="9"/>
      <c r="AO614" s="273"/>
      <c r="AP614" s="273"/>
      <c r="AQ614" s="9"/>
      <c r="AR614" s="273"/>
      <c r="AS614" s="39"/>
    </row>
    <row r="615" spans="1:45" ht="12.75">
      <c r="A615" s="160"/>
      <c r="B615" s="273"/>
      <c r="C615" s="273"/>
      <c r="D615" s="273"/>
      <c r="E615" s="273"/>
      <c r="F615" s="273"/>
      <c r="G615" s="273"/>
      <c r="H615" s="273"/>
      <c r="I615" s="2"/>
      <c r="J615" s="17"/>
      <c r="K615" s="10"/>
      <c r="L615" s="10"/>
      <c r="M615" s="10"/>
      <c r="N615" s="10"/>
      <c r="O615" s="10"/>
      <c r="P615" s="10"/>
      <c r="Q615" s="10"/>
      <c r="R615" s="2"/>
      <c r="S615" s="273"/>
      <c r="T615" s="273"/>
      <c r="U615" s="273"/>
      <c r="V615" s="9"/>
      <c r="W615" s="273"/>
      <c r="X615" s="273"/>
      <c r="Y615" s="9"/>
      <c r="Z615" s="273"/>
      <c r="AA615" s="273"/>
      <c r="AB615" s="9"/>
      <c r="AC615" s="273"/>
      <c r="AD615" s="273"/>
      <c r="AE615" s="9"/>
      <c r="AF615" s="273"/>
      <c r="AG615" s="273"/>
      <c r="AH615" s="9"/>
      <c r="AI615" s="273"/>
      <c r="AJ615" s="273"/>
      <c r="AK615" s="9"/>
      <c r="AL615" s="273"/>
      <c r="AM615" s="273"/>
      <c r="AN615" s="9"/>
      <c r="AO615" s="273"/>
      <c r="AP615" s="273"/>
      <c r="AQ615" s="9"/>
      <c r="AR615" s="273"/>
      <c r="AS615" s="39"/>
    </row>
    <row r="616" spans="1:45" ht="12.75">
      <c r="A616" s="160"/>
      <c r="B616" s="273"/>
      <c r="C616" s="273"/>
      <c r="D616" s="273"/>
      <c r="E616" s="273"/>
      <c r="F616" s="273"/>
      <c r="G616" s="273"/>
      <c r="H616" s="273"/>
      <c r="I616" s="2"/>
      <c r="J616" s="17"/>
      <c r="K616" s="10"/>
      <c r="L616" s="10"/>
      <c r="M616" s="10"/>
      <c r="N616" s="10"/>
      <c r="O616" s="10"/>
      <c r="P616" s="10"/>
      <c r="Q616" s="10"/>
      <c r="R616" s="2"/>
      <c r="S616" s="273"/>
      <c r="T616" s="273"/>
      <c r="U616" s="273"/>
      <c r="V616" s="9"/>
      <c r="W616" s="273"/>
      <c r="X616" s="273"/>
      <c r="Y616" s="9"/>
      <c r="Z616" s="273"/>
      <c r="AA616" s="273"/>
      <c r="AB616" s="9"/>
      <c r="AC616" s="273"/>
      <c r="AD616" s="273"/>
      <c r="AE616" s="9"/>
      <c r="AF616" s="273"/>
      <c r="AG616" s="273"/>
      <c r="AH616" s="9"/>
      <c r="AI616" s="273"/>
      <c r="AJ616" s="273"/>
      <c r="AK616" s="9"/>
      <c r="AL616" s="273"/>
      <c r="AM616" s="273"/>
      <c r="AN616" s="9"/>
      <c r="AO616" s="273"/>
      <c r="AP616" s="273"/>
      <c r="AQ616" s="9"/>
      <c r="AR616" s="273"/>
      <c r="AS616" s="39"/>
    </row>
    <row r="617" spans="1:45" ht="12.75">
      <c r="A617" s="160"/>
      <c r="B617" s="273"/>
      <c r="C617" s="273"/>
      <c r="D617" s="273"/>
      <c r="E617" s="273"/>
      <c r="F617" s="273"/>
      <c r="G617" s="273"/>
      <c r="H617" s="273"/>
      <c r="I617" s="2"/>
      <c r="J617" s="17"/>
      <c r="K617" s="10"/>
      <c r="L617" s="10"/>
      <c r="M617" s="10"/>
      <c r="N617" s="10"/>
      <c r="O617" s="10"/>
      <c r="P617" s="10"/>
      <c r="Q617" s="10"/>
      <c r="R617" s="2"/>
      <c r="S617" s="273"/>
      <c r="T617" s="273"/>
      <c r="U617" s="273"/>
      <c r="V617" s="9"/>
      <c r="W617" s="273"/>
      <c r="X617" s="273"/>
      <c r="Y617" s="9"/>
      <c r="Z617" s="273"/>
      <c r="AA617" s="273"/>
      <c r="AB617" s="9"/>
      <c r="AC617" s="273"/>
      <c r="AD617" s="273"/>
      <c r="AE617" s="9"/>
      <c r="AF617" s="273"/>
      <c r="AG617" s="273"/>
      <c r="AH617" s="9"/>
      <c r="AI617" s="273"/>
      <c r="AJ617" s="273"/>
      <c r="AK617" s="9"/>
      <c r="AL617" s="273"/>
      <c r="AM617" s="273"/>
      <c r="AN617" s="9"/>
      <c r="AO617" s="273"/>
      <c r="AP617" s="273"/>
      <c r="AQ617" s="9"/>
      <c r="AR617" s="273"/>
      <c r="AS617" s="39"/>
    </row>
    <row r="618" spans="1:45" ht="12.75">
      <c r="A618" s="160"/>
      <c r="B618" s="273"/>
      <c r="C618" s="273"/>
      <c r="D618" s="273"/>
      <c r="E618" s="273"/>
      <c r="F618" s="273"/>
      <c r="G618" s="273"/>
      <c r="H618" s="273"/>
      <c r="I618" s="2"/>
      <c r="J618" s="17"/>
      <c r="K618" s="10"/>
      <c r="L618" s="10"/>
      <c r="M618" s="10"/>
      <c r="N618" s="10"/>
      <c r="O618" s="10"/>
      <c r="P618" s="10"/>
      <c r="Q618" s="10"/>
      <c r="R618" s="2"/>
      <c r="S618" s="273"/>
      <c r="T618" s="273"/>
      <c r="U618" s="273"/>
      <c r="V618" s="9"/>
      <c r="W618" s="273"/>
      <c r="X618" s="273"/>
      <c r="Y618" s="9"/>
      <c r="Z618" s="273"/>
      <c r="AA618" s="273"/>
      <c r="AB618" s="9"/>
      <c r="AC618" s="273"/>
      <c r="AD618" s="273"/>
      <c r="AE618" s="9"/>
      <c r="AF618" s="273"/>
      <c r="AG618" s="273"/>
      <c r="AH618" s="9"/>
      <c r="AI618" s="273"/>
      <c r="AJ618" s="273"/>
      <c r="AK618" s="9"/>
      <c r="AL618" s="273"/>
      <c r="AM618" s="273"/>
      <c r="AN618" s="9"/>
      <c r="AO618" s="273"/>
      <c r="AP618" s="273"/>
      <c r="AQ618" s="9"/>
      <c r="AR618" s="273"/>
      <c r="AS618" s="39"/>
    </row>
    <row r="619" spans="1:45" ht="12.75">
      <c r="A619" s="160"/>
      <c r="B619" s="273"/>
      <c r="C619" s="273"/>
      <c r="D619" s="273"/>
      <c r="E619" s="273"/>
      <c r="F619" s="273"/>
      <c r="G619" s="273"/>
      <c r="H619" s="273"/>
      <c r="I619" s="2"/>
      <c r="J619" s="17"/>
      <c r="K619" s="10"/>
      <c r="L619" s="10"/>
      <c r="M619" s="10"/>
      <c r="N619" s="10"/>
      <c r="O619" s="10"/>
      <c r="P619" s="10"/>
      <c r="Q619" s="10"/>
      <c r="R619" s="2"/>
      <c r="S619" s="273"/>
      <c r="T619" s="273"/>
      <c r="U619" s="273"/>
      <c r="V619" s="9"/>
      <c r="W619" s="273"/>
      <c r="X619" s="273"/>
      <c r="Y619" s="9"/>
      <c r="Z619" s="273"/>
      <c r="AA619" s="273"/>
      <c r="AB619" s="9"/>
      <c r="AC619" s="273"/>
      <c r="AD619" s="273"/>
      <c r="AE619" s="9"/>
      <c r="AF619" s="273"/>
      <c r="AG619" s="273"/>
      <c r="AH619" s="9"/>
      <c r="AI619" s="273"/>
      <c r="AJ619" s="273"/>
      <c r="AK619" s="9"/>
      <c r="AL619" s="273"/>
      <c r="AM619" s="273"/>
      <c r="AN619" s="9"/>
      <c r="AO619" s="273"/>
      <c r="AP619" s="273"/>
      <c r="AQ619" s="9"/>
      <c r="AR619" s="273"/>
      <c r="AS619" s="39"/>
    </row>
    <row r="620" spans="1:45" ht="12.75">
      <c r="A620" s="160"/>
      <c r="B620" s="273"/>
      <c r="C620" s="273"/>
      <c r="D620" s="273"/>
      <c r="E620" s="273"/>
      <c r="F620" s="273"/>
      <c r="G620" s="273"/>
      <c r="H620" s="273"/>
      <c r="I620" s="2"/>
      <c r="J620" s="17"/>
      <c r="K620" s="10"/>
      <c r="L620" s="10"/>
      <c r="M620" s="10"/>
      <c r="N620" s="10"/>
      <c r="O620" s="10"/>
      <c r="P620" s="10"/>
      <c r="Q620" s="10"/>
      <c r="R620" s="2"/>
      <c r="S620" s="273"/>
      <c r="T620" s="273"/>
      <c r="U620" s="273"/>
      <c r="V620" s="9"/>
      <c r="W620" s="273"/>
      <c r="X620" s="273"/>
      <c r="Y620" s="9"/>
      <c r="Z620" s="273"/>
      <c r="AA620" s="273"/>
      <c r="AB620" s="9"/>
      <c r="AC620" s="273"/>
      <c r="AD620" s="273"/>
      <c r="AE620" s="9"/>
      <c r="AF620" s="273"/>
      <c r="AG620" s="273"/>
      <c r="AH620" s="9"/>
      <c r="AI620" s="273"/>
      <c r="AJ620" s="273"/>
      <c r="AK620" s="9"/>
      <c r="AL620" s="273"/>
      <c r="AM620" s="273"/>
      <c r="AN620" s="9"/>
      <c r="AO620" s="273"/>
      <c r="AP620" s="273"/>
      <c r="AQ620" s="9"/>
      <c r="AR620" s="273"/>
      <c r="AS620" s="39"/>
    </row>
    <row r="621" spans="1:45" ht="12.75">
      <c r="A621" s="160"/>
      <c r="B621" s="273"/>
      <c r="C621" s="273"/>
      <c r="D621" s="273"/>
      <c r="E621" s="273"/>
      <c r="F621" s="273"/>
      <c r="G621" s="273"/>
      <c r="H621" s="273"/>
      <c r="I621" s="2"/>
      <c r="J621" s="17"/>
      <c r="K621" s="10"/>
      <c r="L621" s="10"/>
      <c r="M621" s="10"/>
      <c r="N621" s="10"/>
      <c r="O621" s="10"/>
      <c r="P621" s="10"/>
      <c r="Q621" s="10"/>
      <c r="R621" s="2"/>
      <c r="S621" s="273"/>
      <c r="T621" s="273"/>
      <c r="U621" s="273"/>
      <c r="V621" s="9"/>
      <c r="W621" s="273"/>
      <c r="X621" s="273"/>
      <c r="Y621" s="9"/>
      <c r="Z621" s="273"/>
      <c r="AA621" s="273"/>
      <c r="AB621" s="9"/>
      <c r="AC621" s="273"/>
      <c r="AD621" s="273"/>
      <c r="AE621" s="9"/>
      <c r="AF621" s="273"/>
      <c r="AG621" s="273"/>
      <c r="AH621" s="9"/>
      <c r="AI621" s="273"/>
      <c r="AJ621" s="273"/>
      <c r="AK621" s="9"/>
      <c r="AL621" s="273"/>
      <c r="AM621" s="273"/>
      <c r="AN621" s="9"/>
      <c r="AO621" s="273"/>
      <c r="AP621" s="273"/>
      <c r="AQ621" s="9"/>
      <c r="AR621" s="273"/>
      <c r="AS621" s="39"/>
    </row>
    <row r="622" spans="1:45" ht="12.75">
      <c r="A622" s="160"/>
      <c r="B622" s="273"/>
      <c r="C622" s="273"/>
      <c r="D622" s="273"/>
      <c r="E622" s="273"/>
      <c r="F622" s="273"/>
      <c r="G622" s="273"/>
      <c r="H622" s="273"/>
      <c r="I622" s="2"/>
      <c r="J622" s="17"/>
      <c r="K622" s="10"/>
      <c r="L622" s="10"/>
      <c r="M622" s="10"/>
      <c r="N622" s="10"/>
      <c r="O622" s="10"/>
      <c r="P622" s="10"/>
      <c r="Q622" s="10"/>
      <c r="R622" s="2"/>
      <c r="S622" s="273"/>
      <c r="T622" s="273"/>
      <c r="U622" s="273"/>
      <c r="V622" s="9"/>
      <c r="W622" s="273"/>
      <c r="X622" s="273"/>
      <c r="Y622" s="9"/>
      <c r="Z622" s="273"/>
      <c r="AA622" s="273"/>
      <c r="AB622" s="9"/>
      <c r="AC622" s="273"/>
      <c r="AD622" s="273"/>
      <c r="AE622" s="9"/>
      <c r="AF622" s="273"/>
      <c r="AG622" s="273"/>
      <c r="AH622" s="9"/>
      <c r="AI622" s="273"/>
      <c r="AJ622" s="273"/>
      <c r="AK622" s="9"/>
      <c r="AL622" s="273"/>
      <c r="AM622" s="273"/>
      <c r="AN622" s="9"/>
      <c r="AO622" s="273"/>
      <c r="AP622" s="273"/>
      <c r="AQ622" s="9"/>
      <c r="AR622" s="273"/>
      <c r="AS622" s="39"/>
    </row>
    <row r="623" spans="1:45" ht="12.75">
      <c r="A623" s="160"/>
      <c r="B623" s="273"/>
      <c r="C623" s="273"/>
      <c r="D623" s="273"/>
      <c r="E623" s="273"/>
      <c r="F623" s="273"/>
      <c r="G623" s="273"/>
      <c r="H623" s="273"/>
      <c r="I623" s="2"/>
      <c r="J623" s="17"/>
      <c r="K623" s="10"/>
      <c r="L623" s="10"/>
      <c r="M623" s="10"/>
      <c r="N623" s="10"/>
      <c r="O623" s="10"/>
      <c r="P623" s="10"/>
      <c r="Q623" s="10"/>
      <c r="R623" s="2"/>
      <c r="S623" s="273"/>
      <c r="T623" s="273"/>
      <c r="U623" s="273"/>
      <c r="V623" s="9"/>
      <c r="W623" s="273"/>
      <c r="X623" s="273"/>
      <c r="Y623" s="9"/>
      <c r="Z623" s="273"/>
      <c r="AA623" s="273"/>
      <c r="AB623" s="9"/>
      <c r="AC623" s="273"/>
      <c r="AD623" s="273"/>
      <c r="AE623" s="9"/>
      <c r="AF623" s="273"/>
      <c r="AG623" s="273"/>
      <c r="AH623" s="9"/>
      <c r="AI623" s="273"/>
      <c r="AJ623" s="273"/>
      <c r="AK623" s="9"/>
      <c r="AL623" s="273"/>
      <c r="AM623" s="273"/>
      <c r="AN623" s="9"/>
      <c r="AO623" s="273"/>
      <c r="AP623" s="273"/>
      <c r="AQ623" s="9"/>
      <c r="AR623" s="273"/>
      <c r="AS623" s="39"/>
    </row>
    <row r="624" spans="1:45" ht="12.75">
      <c r="A624" s="160"/>
      <c r="B624" s="273"/>
      <c r="C624" s="273"/>
      <c r="D624" s="273"/>
      <c r="E624" s="273"/>
      <c r="F624" s="273"/>
      <c r="G624" s="273"/>
      <c r="H624" s="273"/>
      <c r="I624" s="2"/>
      <c r="J624" s="17"/>
      <c r="K624" s="10"/>
      <c r="L624" s="10"/>
      <c r="M624" s="10"/>
      <c r="N624" s="10"/>
      <c r="O624" s="10"/>
      <c r="P624" s="10"/>
      <c r="Q624" s="10"/>
      <c r="R624" s="2"/>
      <c r="S624" s="273"/>
      <c r="T624" s="273"/>
      <c r="U624" s="273"/>
      <c r="V624" s="9"/>
      <c r="W624" s="273"/>
      <c r="X624" s="273"/>
      <c r="Y624" s="9"/>
      <c r="Z624" s="273"/>
      <c r="AA624" s="273"/>
      <c r="AB624" s="9"/>
      <c r="AC624" s="273"/>
      <c r="AD624" s="273"/>
      <c r="AE624" s="9"/>
      <c r="AF624" s="273"/>
      <c r="AG624" s="273"/>
      <c r="AH624" s="9"/>
      <c r="AI624" s="273"/>
      <c r="AJ624" s="273"/>
      <c r="AK624" s="9"/>
      <c r="AL624" s="273"/>
      <c r="AM624" s="273"/>
      <c r="AN624" s="9"/>
      <c r="AO624" s="273"/>
      <c r="AP624" s="273"/>
      <c r="AQ624" s="9"/>
      <c r="AR624" s="273"/>
      <c r="AS624" s="39"/>
    </row>
    <row r="625" spans="1:45" ht="12.75">
      <c r="A625" s="160"/>
      <c r="B625" s="273"/>
      <c r="C625" s="273"/>
      <c r="D625" s="273"/>
      <c r="E625" s="273"/>
      <c r="F625" s="273"/>
      <c r="G625" s="273"/>
      <c r="H625" s="273"/>
      <c r="I625" s="2"/>
      <c r="J625" s="17"/>
      <c r="K625" s="10"/>
      <c r="L625" s="10"/>
      <c r="M625" s="10"/>
      <c r="N625" s="10"/>
      <c r="O625" s="10"/>
      <c r="P625" s="10"/>
      <c r="Q625" s="10"/>
      <c r="R625" s="2"/>
      <c r="S625" s="273"/>
      <c r="T625" s="273"/>
      <c r="U625" s="273"/>
      <c r="V625" s="9"/>
      <c r="W625" s="273"/>
      <c r="X625" s="273"/>
      <c r="Y625" s="9"/>
      <c r="Z625" s="273"/>
      <c r="AA625" s="273"/>
      <c r="AB625" s="9"/>
      <c r="AC625" s="273"/>
      <c r="AD625" s="273"/>
      <c r="AE625" s="9"/>
      <c r="AF625" s="273"/>
      <c r="AG625" s="273"/>
      <c r="AH625" s="9"/>
      <c r="AI625" s="273"/>
      <c r="AJ625" s="273"/>
      <c r="AK625" s="9"/>
      <c r="AL625" s="273"/>
      <c r="AM625" s="273"/>
      <c r="AN625" s="9"/>
      <c r="AO625" s="273"/>
      <c r="AP625" s="273"/>
      <c r="AQ625" s="9"/>
      <c r="AR625" s="273"/>
      <c r="AS625" s="39"/>
    </row>
    <row r="626" spans="1:45" ht="12.75">
      <c r="A626" s="160"/>
      <c r="B626" s="273"/>
      <c r="C626" s="273"/>
      <c r="D626" s="273"/>
      <c r="E626" s="273"/>
      <c r="F626" s="273"/>
      <c r="G626" s="273"/>
      <c r="H626" s="273"/>
      <c r="I626" s="2"/>
      <c r="J626" s="17"/>
      <c r="K626" s="10"/>
      <c r="L626" s="10"/>
      <c r="M626" s="10"/>
      <c r="N626" s="10"/>
      <c r="O626" s="10"/>
      <c r="P626" s="10"/>
      <c r="Q626" s="10"/>
      <c r="R626" s="2"/>
      <c r="S626" s="273"/>
      <c r="T626" s="273"/>
      <c r="U626" s="273"/>
      <c r="V626" s="9"/>
      <c r="W626" s="273"/>
      <c r="X626" s="273"/>
      <c r="Y626" s="9"/>
      <c r="Z626" s="273"/>
      <c r="AA626" s="273"/>
      <c r="AB626" s="9"/>
      <c r="AC626" s="273"/>
      <c r="AD626" s="273"/>
      <c r="AE626" s="9"/>
      <c r="AF626" s="273"/>
      <c r="AG626" s="273"/>
      <c r="AH626" s="9"/>
      <c r="AI626" s="273"/>
      <c r="AJ626" s="273"/>
      <c r="AK626" s="9"/>
      <c r="AL626" s="273"/>
      <c r="AM626" s="273"/>
      <c r="AN626" s="9"/>
      <c r="AO626" s="273"/>
      <c r="AP626" s="273"/>
      <c r="AQ626" s="9"/>
      <c r="AR626" s="273"/>
      <c r="AS626" s="39"/>
    </row>
    <row r="627" spans="1:45" ht="12.75">
      <c r="A627" s="160"/>
      <c r="B627" s="273"/>
      <c r="C627" s="273"/>
      <c r="D627" s="273"/>
      <c r="E627" s="273"/>
      <c r="F627" s="273"/>
      <c r="G627" s="273"/>
      <c r="H627" s="273"/>
      <c r="I627" s="2"/>
      <c r="J627" s="17"/>
      <c r="K627" s="10"/>
      <c r="L627" s="10"/>
      <c r="M627" s="10"/>
      <c r="N627" s="10"/>
      <c r="O627" s="10"/>
      <c r="P627" s="10"/>
      <c r="Q627" s="10"/>
      <c r="R627" s="2"/>
      <c r="S627" s="273"/>
      <c r="T627" s="273"/>
      <c r="U627" s="273"/>
      <c r="V627" s="9"/>
      <c r="W627" s="273"/>
      <c r="X627" s="273"/>
      <c r="Y627" s="9"/>
      <c r="Z627" s="273"/>
      <c r="AA627" s="273"/>
      <c r="AB627" s="9"/>
      <c r="AC627" s="273"/>
      <c r="AD627" s="273"/>
      <c r="AE627" s="9"/>
      <c r="AF627" s="273"/>
      <c r="AG627" s="273"/>
      <c r="AH627" s="9"/>
      <c r="AI627" s="273"/>
      <c r="AJ627" s="273"/>
      <c r="AK627" s="9"/>
      <c r="AL627" s="273"/>
      <c r="AM627" s="273"/>
      <c r="AN627" s="9"/>
      <c r="AO627" s="273"/>
      <c r="AP627" s="273"/>
      <c r="AQ627" s="9"/>
      <c r="AR627" s="273"/>
      <c r="AS627" s="39"/>
    </row>
    <row r="628" spans="1:45" ht="12.75">
      <c r="A628" s="160"/>
      <c r="B628" s="273"/>
      <c r="C628" s="273"/>
      <c r="D628" s="273"/>
      <c r="E628" s="273"/>
      <c r="F628" s="273"/>
      <c r="G628" s="273"/>
      <c r="H628" s="273"/>
      <c r="I628" s="2"/>
      <c r="J628" s="17"/>
      <c r="K628" s="10"/>
      <c r="L628" s="10"/>
      <c r="M628" s="10"/>
      <c r="N628" s="10"/>
      <c r="O628" s="10"/>
      <c r="P628" s="10"/>
      <c r="Q628" s="10"/>
      <c r="R628" s="2"/>
      <c r="S628" s="273"/>
      <c r="T628" s="273"/>
      <c r="U628" s="273"/>
      <c r="V628" s="9"/>
      <c r="W628" s="273"/>
      <c r="X628" s="273"/>
      <c r="Y628" s="9"/>
      <c r="Z628" s="273"/>
      <c r="AA628" s="273"/>
      <c r="AB628" s="9"/>
      <c r="AC628" s="273"/>
      <c r="AD628" s="273"/>
      <c r="AE628" s="9"/>
      <c r="AF628" s="273"/>
      <c r="AG628" s="273"/>
      <c r="AH628" s="9"/>
      <c r="AI628" s="273"/>
      <c r="AJ628" s="273"/>
      <c r="AK628" s="9"/>
      <c r="AL628" s="273"/>
      <c r="AM628" s="273"/>
      <c r="AN628" s="9"/>
      <c r="AO628" s="273"/>
      <c r="AP628" s="273"/>
      <c r="AQ628" s="9"/>
      <c r="AR628" s="273"/>
      <c r="AS628" s="39"/>
    </row>
    <row r="629" spans="1:45" ht="12.75">
      <c r="A629" s="160"/>
      <c r="B629" s="273"/>
      <c r="C629" s="273"/>
      <c r="D629" s="273"/>
      <c r="E629" s="273"/>
      <c r="F629" s="273"/>
      <c r="G629" s="273"/>
      <c r="H629" s="273"/>
      <c r="I629" s="2"/>
      <c r="J629" s="17"/>
      <c r="K629" s="10"/>
      <c r="L629" s="10"/>
      <c r="M629" s="10"/>
      <c r="N629" s="10"/>
      <c r="O629" s="10"/>
      <c r="P629" s="10"/>
      <c r="Q629" s="10"/>
      <c r="R629" s="2"/>
      <c r="S629" s="273"/>
      <c r="T629" s="273"/>
      <c r="U629" s="273"/>
      <c r="V629" s="9"/>
      <c r="W629" s="273"/>
      <c r="X629" s="273"/>
      <c r="Y629" s="9"/>
      <c r="Z629" s="273"/>
      <c r="AA629" s="273"/>
      <c r="AB629" s="9"/>
      <c r="AC629" s="273"/>
      <c r="AD629" s="273"/>
      <c r="AE629" s="9"/>
      <c r="AF629" s="273"/>
      <c r="AG629" s="273"/>
      <c r="AH629" s="9"/>
      <c r="AI629" s="273"/>
      <c r="AJ629" s="273"/>
      <c r="AK629" s="9"/>
      <c r="AL629" s="273"/>
      <c r="AM629" s="273"/>
      <c r="AN629" s="9"/>
      <c r="AO629" s="273"/>
      <c r="AP629" s="273"/>
      <c r="AQ629" s="9"/>
      <c r="AR629" s="273"/>
      <c r="AS629" s="39"/>
    </row>
    <row r="630" spans="1:45" ht="12.75">
      <c r="A630" s="160"/>
      <c r="B630" s="273"/>
      <c r="C630" s="273"/>
      <c r="D630" s="273"/>
      <c r="E630" s="273"/>
      <c r="F630" s="273"/>
      <c r="G630" s="273"/>
      <c r="H630" s="273"/>
      <c r="I630" s="2"/>
      <c r="J630" s="17"/>
      <c r="K630" s="10"/>
      <c r="L630" s="10"/>
      <c r="M630" s="10"/>
      <c r="N630" s="10"/>
      <c r="O630" s="10"/>
      <c r="P630" s="10"/>
      <c r="Q630" s="10"/>
      <c r="R630" s="2"/>
      <c r="S630" s="273"/>
      <c r="T630" s="273"/>
      <c r="U630" s="273"/>
      <c r="V630" s="9"/>
      <c r="W630" s="273"/>
      <c r="X630" s="273"/>
      <c r="Y630" s="9"/>
      <c r="Z630" s="273"/>
      <c r="AA630" s="273"/>
      <c r="AB630" s="9"/>
      <c r="AC630" s="273"/>
      <c r="AD630" s="273"/>
      <c r="AE630" s="9"/>
      <c r="AF630" s="273"/>
      <c r="AG630" s="273"/>
      <c r="AH630" s="9"/>
      <c r="AI630" s="273"/>
      <c r="AJ630" s="273"/>
      <c r="AK630" s="9"/>
      <c r="AL630" s="273"/>
      <c r="AM630" s="273"/>
      <c r="AN630" s="9"/>
      <c r="AO630" s="273"/>
      <c r="AP630" s="273"/>
      <c r="AQ630" s="9"/>
      <c r="AR630" s="273"/>
      <c r="AS630" s="39"/>
    </row>
    <row r="631" spans="1:45" ht="12.75">
      <c r="A631" s="160"/>
      <c r="B631" s="273"/>
      <c r="C631" s="273"/>
      <c r="D631" s="273"/>
      <c r="E631" s="273"/>
      <c r="F631" s="273"/>
      <c r="G631" s="273"/>
      <c r="H631" s="273"/>
      <c r="I631" s="2"/>
      <c r="J631" s="17"/>
      <c r="K631" s="10"/>
      <c r="L631" s="10"/>
      <c r="M631" s="10"/>
      <c r="N631" s="10"/>
      <c r="O631" s="10"/>
      <c r="P631" s="10"/>
      <c r="Q631" s="10"/>
      <c r="R631" s="2"/>
      <c r="S631" s="273"/>
      <c r="T631" s="273"/>
      <c r="U631" s="273"/>
      <c r="V631" s="9"/>
      <c r="W631" s="273"/>
      <c r="X631" s="273"/>
      <c r="Y631" s="9"/>
      <c r="Z631" s="273"/>
      <c r="AA631" s="273"/>
      <c r="AB631" s="9"/>
      <c r="AC631" s="273"/>
      <c r="AD631" s="273"/>
      <c r="AE631" s="9"/>
      <c r="AF631" s="273"/>
      <c r="AG631" s="273"/>
      <c r="AH631" s="9"/>
      <c r="AI631" s="273"/>
      <c r="AJ631" s="273"/>
      <c r="AK631" s="9"/>
      <c r="AL631" s="273"/>
      <c r="AM631" s="273"/>
      <c r="AN631" s="9"/>
      <c r="AO631" s="273"/>
      <c r="AP631" s="273"/>
      <c r="AQ631" s="9"/>
      <c r="AR631" s="273"/>
      <c r="AS631" s="39"/>
    </row>
    <row r="632" spans="1:45" ht="12.75">
      <c r="A632" s="160"/>
      <c r="B632" s="273"/>
      <c r="C632" s="273"/>
      <c r="D632" s="273"/>
      <c r="E632" s="273"/>
      <c r="F632" s="273"/>
      <c r="G632" s="273"/>
      <c r="H632" s="273"/>
      <c r="I632" s="2"/>
      <c r="J632" s="17"/>
      <c r="K632" s="10"/>
      <c r="L632" s="10"/>
      <c r="M632" s="10"/>
      <c r="N632" s="10"/>
      <c r="O632" s="10"/>
      <c r="P632" s="10"/>
      <c r="Q632" s="10"/>
      <c r="R632" s="2"/>
      <c r="S632" s="273"/>
      <c r="T632" s="273"/>
      <c r="U632" s="273"/>
      <c r="V632" s="9"/>
      <c r="W632" s="273"/>
      <c r="X632" s="273"/>
      <c r="Y632" s="9"/>
      <c r="Z632" s="273"/>
      <c r="AA632" s="273"/>
      <c r="AB632" s="9"/>
      <c r="AC632" s="273"/>
      <c r="AD632" s="273"/>
      <c r="AE632" s="9"/>
      <c r="AF632" s="273"/>
      <c r="AG632" s="273"/>
      <c r="AH632" s="9"/>
      <c r="AI632" s="273"/>
      <c r="AJ632" s="273"/>
      <c r="AK632" s="9"/>
      <c r="AL632" s="273"/>
      <c r="AM632" s="273"/>
      <c r="AN632" s="9"/>
      <c r="AO632" s="273"/>
      <c r="AP632" s="273"/>
      <c r="AQ632" s="9"/>
      <c r="AR632" s="273"/>
      <c r="AS632" s="39"/>
    </row>
    <row r="633" spans="1:45" ht="12.75">
      <c r="A633" s="160"/>
      <c r="B633" s="273"/>
      <c r="C633" s="273"/>
      <c r="D633" s="273"/>
      <c r="E633" s="273"/>
      <c r="F633" s="273"/>
      <c r="G633" s="273"/>
      <c r="H633" s="273"/>
      <c r="I633" s="2"/>
      <c r="J633" s="17"/>
      <c r="K633" s="10"/>
      <c r="L633" s="10"/>
      <c r="M633" s="10"/>
      <c r="N633" s="10"/>
      <c r="O633" s="10"/>
      <c r="P633" s="10"/>
      <c r="Q633" s="10"/>
      <c r="R633" s="2"/>
      <c r="S633" s="273"/>
      <c r="T633" s="273"/>
      <c r="U633" s="273"/>
      <c r="V633" s="9"/>
      <c r="W633" s="273"/>
      <c r="X633" s="273"/>
      <c r="Y633" s="9"/>
      <c r="Z633" s="273"/>
      <c r="AA633" s="273"/>
      <c r="AB633" s="9"/>
      <c r="AC633" s="273"/>
      <c r="AD633" s="273"/>
      <c r="AE633" s="9"/>
      <c r="AF633" s="273"/>
      <c r="AG633" s="273"/>
      <c r="AH633" s="9"/>
      <c r="AI633" s="273"/>
      <c r="AJ633" s="273"/>
      <c r="AK633" s="9"/>
      <c r="AL633" s="273"/>
      <c r="AM633" s="273"/>
      <c r="AN633" s="9"/>
      <c r="AO633" s="273"/>
      <c r="AP633" s="273"/>
      <c r="AQ633" s="9"/>
      <c r="AR633" s="273"/>
      <c r="AS633" s="39"/>
    </row>
    <row r="634" spans="1:45" ht="12.75">
      <c r="A634" s="160"/>
      <c r="B634" s="273"/>
      <c r="C634" s="273"/>
      <c r="D634" s="273"/>
      <c r="E634" s="273"/>
      <c r="F634" s="273"/>
      <c r="G634" s="273"/>
      <c r="H634" s="273"/>
      <c r="I634" s="2"/>
      <c r="J634" s="17"/>
      <c r="K634" s="10"/>
      <c r="L634" s="10"/>
      <c r="M634" s="10"/>
      <c r="N634" s="10"/>
      <c r="O634" s="10"/>
      <c r="P634" s="10"/>
      <c r="Q634" s="10"/>
      <c r="R634" s="2"/>
      <c r="S634" s="273"/>
      <c r="T634" s="273"/>
      <c r="U634" s="273"/>
      <c r="V634" s="9"/>
      <c r="W634" s="273"/>
      <c r="X634" s="273"/>
      <c r="Y634" s="9"/>
      <c r="Z634" s="273"/>
      <c r="AA634" s="273"/>
      <c r="AB634" s="9"/>
      <c r="AC634" s="273"/>
      <c r="AD634" s="273"/>
      <c r="AE634" s="9"/>
      <c r="AF634" s="273"/>
      <c r="AG634" s="273"/>
      <c r="AH634" s="9"/>
      <c r="AI634" s="273"/>
      <c r="AJ634" s="273"/>
      <c r="AK634" s="9"/>
      <c r="AL634" s="273"/>
      <c r="AM634" s="273"/>
      <c r="AN634" s="9"/>
      <c r="AO634" s="273"/>
      <c r="AP634" s="273"/>
      <c r="AQ634" s="9"/>
      <c r="AR634" s="273"/>
      <c r="AS634" s="39"/>
    </row>
    <row r="635" spans="1:45" ht="12.75">
      <c r="A635" s="160"/>
      <c r="B635" s="273"/>
      <c r="C635" s="273"/>
      <c r="D635" s="273"/>
      <c r="E635" s="273"/>
      <c r="F635" s="273"/>
      <c r="G635" s="273"/>
      <c r="H635" s="273"/>
      <c r="I635" s="2"/>
      <c r="J635" s="17"/>
      <c r="K635" s="10"/>
      <c r="L635" s="10"/>
      <c r="M635" s="10"/>
      <c r="N635" s="10"/>
      <c r="O635" s="10"/>
      <c r="P635" s="10"/>
      <c r="Q635" s="10"/>
      <c r="R635" s="2"/>
      <c r="S635" s="273"/>
      <c r="T635" s="273"/>
      <c r="U635" s="273"/>
      <c r="V635" s="9"/>
      <c r="W635" s="273"/>
      <c r="X635" s="273"/>
      <c r="Y635" s="9"/>
      <c r="Z635" s="273"/>
      <c r="AA635" s="273"/>
      <c r="AB635" s="9"/>
      <c r="AC635" s="273"/>
      <c r="AD635" s="273"/>
      <c r="AE635" s="9"/>
      <c r="AF635" s="273"/>
      <c r="AG635" s="273"/>
      <c r="AH635" s="9"/>
      <c r="AI635" s="273"/>
      <c r="AJ635" s="273"/>
      <c r="AK635" s="9"/>
      <c r="AL635" s="273"/>
      <c r="AM635" s="273"/>
      <c r="AN635" s="9"/>
      <c r="AO635" s="273"/>
      <c r="AP635" s="273"/>
      <c r="AQ635" s="9"/>
      <c r="AR635" s="273"/>
      <c r="AS635" s="39"/>
    </row>
    <row r="636" spans="1:45" ht="12.75">
      <c r="A636" s="160"/>
      <c r="B636" s="273"/>
      <c r="C636" s="273"/>
      <c r="D636" s="273"/>
      <c r="E636" s="273"/>
      <c r="F636" s="273"/>
      <c r="G636" s="273"/>
      <c r="H636" s="273"/>
      <c r="I636" s="2"/>
      <c r="J636" s="17"/>
      <c r="K636" s="10"/>
      <c r="L636" s="10"/>
      <c r="M636" s="10"/>
      <c r="N636" s="10"/>
      <c r="O636" s="10"/>
      <c r="P636" s="10"/>
      <c r="Q636" s="10"/>
      <c r="R636" s="2"/>
      <c r="S636" s="273"/>
      <c r="T636" s="273"/>
      <c r="U636" s="273"/>
      <c r="V636" s="9"/>
      <c r="W636" s="273"/>
      <c r="X636" s="273"/>
      <c r="Y636" s="9"/>
      <c r="Z636" s="273"/>
      <c r="AA636" s="273"/>
      <c r="AB636" s="9"/>
      <c r="AC636" s="273"/>
      <c r="AD636" s="273"/>
      <c r="AE636" s="9"/>
      <c r="AF636" s="273"/>
      <c r="AG636" s="273"/>
      <c r="AH636" s="9"/>
      <c r="AI636" s="273"/>
      <c r="AJ636" s="273"/>
      <c r="AK636" s="9"/>
      <c r="AL636" s="273"/>
      <c r="AM636" s="273"/>
      <c r="AN636" s="9"/>
      <c r="AO636" s="273"/>
      <c r="AP636" s="273"/>
      <c r="AQ636" s="9"/>
      <c r="AR636" s="273"/>
      <c r="AS636" s="39"/>
    </row>
    <row r="637" spans="1:45" ht="12.75">
      <c r="A637" s="160"/>
      <c r="B637" s="273"/>
      <c r="C637" s="273"/>
      <c r="D637" s="273"/>
      <c r="E637" s="273"/>
      <c r="F637" s="273"/>
      <c r="G637" s="273"/>
      <c r="H637" s="273"/>
      <c r="I637" s="2"/>
      <c r="J637" s="17"/>
      <c r="K637" s="10"/>
      <c r="L637" s="10"/>
      <c r="M637" s="10"/>
      <c r="N637" s="10"/>
      <c r="O637" s="10"/>
      <c r="P637" s="10"/>
      <c r="Q637" s="10"/>
      <c r="R637" s="2"/>
      <c r="S637" s="273"/>
      <c r="T637" s="273"/>
      <c r="U637" s="273"/>
      <c r="V637" s="9"/>
      <c r="W637" s="273"/>
      <c r="X637" s="273"/>
      <c r="Y637" s="9"/>
      <c r="Z637" s="273"/>
      <c r="AA637" s="273"/>
      <c r="AB637" s="9"/>
      <c r="AC637" s="273"/>
      <c r="AD637" s="273"/>
      <c r="AE637" s="9"/>
      <c r="AF637" s="273"/>
      <c r="AG637" s="273"/>
      <c r="AH637" s="9"/>
      <c r="AI637" s="273"/>
      <c r="AJ637" s="273"/>
      <c r="AK637" s="9"/>
      <c r="AL637" s="273"/>
      <c r="AM637" s="273"/>
      <c r="AN637" s="9"/>
      <c r="AO637" s="273"/>
      <c r="AP637" s="273"/>
      <c r="AQ637" s="9"/>
      <c r="AR637" s="273"/>
      <c r="AS637" s="39"/>
    </row>
    <row r="638" spans="1:45" ht="12.75">
      <c r="A638" s="160"/>
      <c r="B638" s="273"/>
      <c r="C638" s="273"/>
      <c r="D638" s="273"/>
      <c r="E638" s="273"/>
      <c r="F638" s="273"/>
      <c r="G638" s="273"/>
      <c r="H638" s="273"/>
      <c r="I638" s="2"/>
      <c r="J638" s="17"/>
      <c r="K638" s="10"/>
      <c r="L638" s="10"/>
      <c r="M638" s="10"/>
      <c r="N638" s="10"/>
      <c r="O638" s="10"/>
      <c r="P638" s="10"/>
      <c r="Q638" s="10"/>
      <c r="R638" s="2"/>
      <c r="S638" s="273"/>
      <c r="T638" s="273"/>
      <c r="U638" s="273"/>
      <c r="V638" s="9"/>
      <c r="W638" s="273"/>
      <c r="X638" s="273"/>
      <c r="Y638" s="9"/>
      <c r="Z638" s="273"/>
      <c r="AA638" s="273"/>
      <c r="AB638" s="9"/>
      <c r="AC638" s="273"/>
      <c r="AD638" s="273"/>
      <c r="AE638" s="9"/>
      <c r="AF638" s="273"/>
      <c r="AG638" s="273"/>
      <c r="AH638" s="9"/>
      <c r="AI638" s="273"/>
      <c r="AJ638" s="273"/>
      <c r="AK638" s="9"/>
      <c r="AL638" s="273"/>
      <c r="AM638" s="273"/>
      <c r="AN638" s="9"/>
      <c r="AO638" s="273"/>
      <c r="AP638" s="273"/>
      <c r="AQ638" s="9"/>
      <c r="AR638" s="273"/>
      <c r="AS638" s="39"/>
    </row>
    <row r="639" spans="1:45" ht="12.75">
      <c r="A639" s="160"/>
      <c r="B639" s="273"/>
      <c r="C639" s="273"/>
      <c r="D639" s="273"/>
      <c r="E639" s="273"/>
      <c r="F639" s="273"/>
      <c r="G639" s="273"/>
      <c r="H639" s="273"/>
      <c r="I639" s="2"/>
      <c r="J639" s="17"/>
      <c r="K639" s="10"/>
      <c r="L639" s="10"/>
      <c r="M639" s="10"/>
      <c r="N639" s="10"/>
      <c r="O639" s="10"/>
      <c r="P639" s="10"/>
      <c r="Q639" s="10"/>
      <c r="R639" s="2"/>
      <c r="S639" s="273"/>
      <c r="T639" s="273"/>
      <c r="U639" s="273"/>
      <c r="V639" s="9"/>
      <c r="W639" s="273"/>
      <c r="X639" s="273"/>
      <c r="Y639" s="9"/>
      <c r="Z639" s="273"/>
      <c r="AA639" s="273"/>
      <c r="AB639" s="9"/>
      <c r="AC639" s="273"/>
      <c r="AD639" s="273"/>
      <c r="AE639" s="9"/>
      <c r="AF639" s="273"/>
      <c r="AG639" s="273"/>
      <c r="AH639" s="9"/>
      <c r="AI639" s="273"/>
      <c r="AJ639" s="273"/>
      <c r="AK639" s="9"/>
      <c r="AL639" s="273"/>
      <c r="AM639" s="273"/>
      <c r="AN639" s="9"/>
      <c r="AO639" s="273"/>
      <c r="AP639" s="273"/>
      <c r="AQ639" s="9"/>
      <c r="AR639" s="273"/>
      <c r="AS639" s="39"/>
    </row>
    <row r="640" spans="1:45" ht="12.75">
      <c r="A640" s="160"/>
      <c r="B640" s="273"/>
      <c r="C640" s="273"/>
      <c r="D640" s="273"/>
      <c r="E640" s="273"/>
      <c r="F640" s="273"/>
      <c r="G640" s="273"/>
      <c r="H640" s="273"/>
      <c r="I640" s="2"/>
      <c r="J640" s="17"/>
      <c r="K640" s="10"/>
      <c r="L640" s="10"/>
      <c r="M640" s="10"/>
      <c r="N640" s="10"/>
      <c r="O640" s="10"/>
      <c r="P640" s="10"/>
      <c r="Q640" s="10"/>
      <c r="R640" s="2"/>
      <c r="S640" s="273"/>
      <c r="T640" s="273"/>
      <c r="U640" s="273"/>
      <c r="V640" s="9"/>
      <c r="W640" s="273"/>
      <c r="X640" s="273"/>
      <c r="Y640" s="9"/>
      <c r="Z640" s="273"/>
      <c r="AA640" s="273"/>
      <c r="AB640" s="9"/>
      <c r="AC640" s="273"/>
      <c r="AD640" s="273"/>
      <c r="AE640" s="9"/>
      <c r="AF640" s="273"/>
      <c r="AG640" s="273"/>
      <c r="AH640" s="9"/>
      <c r="AI640" s="273"/>
      <c r="AJ640" s="273"/>
      <c r="AK640" s="9"/>
      <c r="AL640" s="273"/>
      <c r="AM640" s="273"/>
      <c r="AN640" s="9"/>
      <c r="AO640" s="273"/>
      <c r="AP640" s="273"/>
      <c r="AQ640" s="9"/>
      <c r="AR640" s="273"/>
      <c r="AS640" s="39"/>
    </row>
    <row r="641" spans="1:45" ht="12.75">
      <c r="A641" s="160"/>
      <c r="B641" s="273"/>
      <c r="C641" s="273"/>
      <c r="D641" s="273"/>
      <c r="E641" s="273"/>
      <c r="F641" s="273"/>
      <c r="G641" s="273"/>
      <c r="H641" s="273"/>
      <c r="I641" s="2"/>
      <c r="J641" s="17"/>
      <c r="K641" s="10"/>
      <c r="L641" s="10"/>
      <c r="M641" s="10"/>
      <c r="N641" s="10"/>
      <c r="O641" s="10"/>
      <c r="P641" s="10"/>
      <c r="Q641" s="10"/>
      <c r="R641" s="2"/>
      <c r="S641" s="273"/>
      <c r="T641" s="273"/>
      <c r="U641" s="273"/>
      <c r="V641" s="9"/>
      <c r="W641" s="273"/>
      <c r="X641" s="273"/>
      <c r="Y641" s="9"/>
      <c r="Z641" s="273"/>
      <c r="AA641" s="273"/>
      <c r="AB641" s="9"/>
      <c r="AC641" s="273"/>
      <c r="AD641" s="273"/>
      <c r="AE641" s="9"/>
      <c r="AF641" s="273"/>
      <c r="AG641" s="273"/>
      <c r="AH641" s="9"/>
      <c r="AI641" s="273"/>
      <c r="AJ641" s="273"/>
      <c r="AK641" s="9"/>
      <c r="AL641" s="273"/>
      <c r="AM641" s="273"/>
      <c r="AN641" s="9"/>
      <c r="AO641" s="273"/>
      <c r="AP641" s="273"/>
      <c r="AQ641" s="9"/>
      <c r="AR641" s="273"/>
      <c r="AS641" s="39"/>
    </row>
    <row r="642" spans="1:45" ht="12.75">
      <c r="A642" s="160"/>
      <c r="B642" s="273"/>
      <c r="C642" s="273"/>
      <c r="D642" s="273"/>
      <c r="E642" s="273"/>
      <c r="F642" s="273"/>
      <c r="G642" s="273"/>
      <c r="H642" s="273"/>
      <c r="I642" s="2"/>
      <c r="J642" s="17"/>
      <c r="K642" s="10"/>
      <c r="L642" s="10"/>
      <c r="M642" s="10"/>
      <c r="N642" s="10"/>
      <c r="O642" s="10"/>
      <c r="P642" s="10"/>
      <c r="Q642" s="10"/>
      <c r="R642" s="2"/>
      <c r="S642" s="273"/>
      <c r="T642" s="273"/>
      <c r="U642" s="273"/>
      <c r="V642" s="9"/>
      <c r="W642" s="273"/>
      <c r="X642" s="273"/>
      <c r="Y642" s="9"/>
      <c r="Z642" s="273"/>
      <c r="AA642" s="273"/>
      <c r="AB642" s="9"/>
      <c r="AC642" s="273"/>
      <c r="AD642" s="273"/>
      <c r="AE642" s="9"/>
      <c r="AF642" s="273"/>
      <c r="AG642" s="273"/>
      <c r="AH642" s="9"/>
      <c r="AI642" s="273"/>
      <c r="AJ642" s="273"/>
      <c r="AK642" s="9"/>
      <c r="AL642" s="273"/>
      <c r="AM642" s="273"/>
      <c r="AN642" s="9"/>
      <c r="AO642" s="273"/>
      <c r="AP642" s="273"/>
      <c r="AQ642" s="9"/>
      <c r="AR642" s="273"/>
      <c r="AS642" s="39"/>
    </row>
    <row r="643" spans="1:45" ht="12.75">
      <c r="A643" s="160"/>
      <c r="B643" s="273"/>
      <c r="C643" s="273"/>
      <c r="D643" s="273"/>
      <c r="E643" s="273"/>
      <c r="F643" s="273"/>
      <c r="G643" s="273"/>
      <c r="H643" s="273"/>
      <c r="I643" s="2"/>
      <c r="J643" s="17"/>
      <c r="K643" s="10"/>
      <c r="L643" s="10"/>
      <c r="M643" s="10"/>
      <c r="N643" s="10"/>
      <c r="O643" s="10"/>
      <c r="P643" s="10"/>
      <c r="Q643" s="10"/>
      <c r="R643" s="2"/>
      <c r="S643" s="273"/>
      <c r="T643" s="273"/>
      <c r="U643" s="273"/>
      <c r="V643" s="9"/>
      <c r="W643" s="273"/>
      <c r="X643" s="273"/>
      <c r="Y643" s="9"/>
      <c r="Z643" s="273"/>
      <c r="AA643" s="273"/>
      <c r="AB643" s="9"/>
      <c r="AC643" s="273"/>
      <c r="AD643" s="273"/>
      <c r="AE643" s="9"/>
      <c r="AF643" s="273"/>
      <c r="AG643" s="273"/>
      <c r="AH643" s="9"/>
      <c r="AI643" s="273"/>
      <c r="AJ643" s="273"/>
      <c r="AK643" s="9"/>
      <c r="AL643" s="273"/>
      <c r="AM643" s="273"/>
      <c r="AN643" s="9"/>
      <c r="AO643" s="273"/>
      <c r="AP643" s="273"/>
      <c r="AQ643" s="9"/>
      <c r="AR643" s="273"/>
      <c r="AS643" s="39"/>
    </row>
    <row r="644" spans="1:45" ht="12.75">
      <c r="A644" s="160"/>
      <c r="B644" s="273"/>
      <c r="C644" s="273"/>
      <c r="D644" s="273"/>
      <c r="E644" s="273"/>
      <c r="F644" s="273"/>
      <c r="G644" s="273"/>
      <c r="H644" s="273"/>
      <c r="I644" s="2"/>
      <c r="J644" s="17"/>
      <c r="K644" s="10"/>
      <c r="L644" s="10"/>
      <c r="M644" s="10"/>
      <c r="N644" s="10"/>
      <c r="O644" s="10"/>
      <c r="P644" s="10"/>
      <c r="Q644" s="10"/>
      <c r="R644" s="2"/>
      <c r="S644" s="273"/>
      <c r="T644" s="273"/>
      <c r="U644" s="273"/>
      <c r="V644" s="9"/>
      <c r="W644" s="273"/>
      <c r="X644" s="273"/>
      <c r="Y644" s="9"/>
      <c r="Z644" s="273"/>
      <c r="AA644" s="273"/>
      <c r="AB644" s="9"/>
      <c r="AC644" s="273"/>
      <c r="AD644" s="273"/>
      <c r="AE644" s="9"/>
      <c r="AF644" s="273"/>
      <c r="AG644" s="273"/>
      <c r="AH644" s="9"/>
      <c r="AI644" s="273"/>
      <c r="AJ644" s="273"/>
      <c r="AK644" s="9"/>
      <c r="AL644" s="273"/>
      <c r="AM644" s="273"/>
      <c r="AN644" s="9"/>
      <c r="AO644" s="273"/>
      <c r="AP644" s="273"/>
      <c r="AQ644" s="9"/>
      <c r="AR644" s="273"/>
      <c r="AS644" s="39"/>
    </row>
    <row r="645" spans="1:45" ht="12.75">
      <c r="A645" s="160"/>
      <c r="B645" s="273"/>
      <c r="C645" s="273"/>
      <c r="D645" s="273"/>
      <c r="E645" s="273"/>
      <c r="F645" s="273"/>
      <c r="G645" s="273"/>
      <c r="H645" s="273"/>
      <c r="I645" s="2"/>
      <c r="J645" s="17"/>
      <c r="K645" s="10"/>
      <c r="L645" s="10"/>
      <c r="M645" s="10"/>
      <c r="N645" s="10"/>
      <c r="O645" s="10"/>
      <c r="P645" s="10"/>
      <c r="Q645" s="10"/>
      <c r="R645" s="2"/>
      <c r="S645" s="273"/>
      <c r="T645" s="273"/>
      <c r="U645" s="273"/>
      <c r="V645" s="9"/>
      <c r="W645" s="273"/>
      <c r="X645" s="273"/>
      <c r="Y645" s="9"/>
      <c r="Z645" s="273"/>
      <c r="AA645" s="273"/>
      <c r="AB645" s="9"/>
      <c r="AC645" s="273"/>
      <c r="AD645" s="273"/>
      <c r="AE645" s="9"/>
      <c r="AF645" s="273"/>
      <c r="AG645" s="273"/>
      <c r="AH645" s="9"/>
      <c r="AI645" s="273"/>
      <c r="AJ645" s="273"/>
      <c r="AK645" s="9"/>
      <c r="AL645" s="273"/>
      <c r="AM645" s="273"/>
      <c r="AN645" s="9"/>
      <c r="AO645" s="273"/>
      <c r="AP645" s="273"/>
      <c r="AQ645" s="9"/>
      <c r="AR645" s="273"/>
      <c r="AS645" s="39"/>
    </row>
    <row r="646" spans="1:45" ht="12.75">
      <c r="A646" s="160"/>
      <c r="B646" s="273"/>
      <c r="C646" s="273"/>
      <c r="D646" s="273"/>
      <c r="E646" s="273"/>
      <c r="F646" s="273"/>
      <c r="G646" s="273"/>
      <c r="H646" s="273"/>
      <c r="I646" s="2"/>
      <c r="J646" s="17"/>
      <c r="K646" s="10"/>
      <c r="L646" s="10"/>
      <c r="M646" s="10"/>
      <c r="N646" s="10"/>
      <c r="O646" s="10"/>
      <c r="P646" s="10"/>
      <c r="Q646" s="10"/>
      <c r="R646" s="2"/>
      <c r="S646" s="273"/>
      <c r="T646" s="273"/>
      <c r="U646" s="273"/>
      <c r="V646" s="9"/>
      <c r="W646" s="273"/>
      <c r="X646" s="273"/>
      <c r="Y646" s="9"/>
      <c r="Z646" s="273"/>
      <c r="AA646" s="273"/>
      <c r="AB646" s="9"/>
      <c r="AC646" s="273"/>
      <c r="AD646" s="273"/>
      <c r="AE646" s="9"/>
      <c r="AF646" s="273"/>
      <c r="AG646" s="273"/>
      <c r="AH646" s="9"/>
      <c r="AI646" s="273"/>
      <c r="AJ646" s="273"/>
      <c r="AK646" s="9"/>
      <c r="AL646" s="273"/>
      <c r="AM646" s="273"/>
      <c r="AN646" s="9"/>
      <c r="AO646" s="273"/>
      <c r="AP646" s="273"/>
      <c r="AQ646" s="9"/>
      <c r="AR646" s="273"/>
      <c r="AS646" s="39"/>
    </row>
    <row r="647" spans="1:45" ht="12.75">
      <c r="A647" s="160"/>
      <c r="B647" s="273"/>
      <c r="C647" s="273"/>
      <c r="D647" s="273"/>
      <c r="E647" s="273"/>
      <c r="F647" s="273"/>
      <c r="G647" s="273"/>
      <c r="H647" s="273"/>
      <c r="I647" s="2"/>
      <c r="J647" s="17"/>
      <c r="K647" s="10"/>
      <c r="L647" s="10"/>
      <c r="M647" s="10"/>
      <c r="N647" s="10"/>
      <c r="O647" s="10"/>
      <c r="P647" s="10"/>
      <c r="Q647" s="10"/>
      <c r="R647" s="2"/>
      <c r="S647" s="273"/>
      <c r="T647" s="273"/>
      <c r="U647" s="273"/>
      <c r="V647" s="9"/>
      <c r="W647" s="273"/>
      <c r="X647" s="273"/>
      <c r="Y647" s="9"/>
      <c r="Z647" s="273"/>
      <c r="AA647" s="273"/>
      <c r="AB647" s="9"/>
      <c r="AC647" s="273"/>
      <c r="AD647" s="273"/>
      <c r="AE647" s="9"/>
      <c r="AF647" s="273"/>
      <c r="AG647" s="273"/>
      <c r="AH647" s="9"/>
      <c r="AI647" s="273"/>
      <c r="AJ647" s="273"/>
      <c r="AK647" s="9"/>
      <c r="AL647" s="273"/>
      <c r="AM647" s="273"/>
      <c r="AN647" s="9"/>
      <c r="AO647" s="273"/>
      <c r="AP647" s="273"/>
      <c r="AQ647" s="9"/>
      <c r="AR647" s="273"/>
      <c r="AS647" s="39"/>
    </row>
    <row r="648" spans="1:45" ht="12.75">
      <c r="A648" s="160"/>
      <c r="B648" s="273"/>
      <c r="C648" s="273"/>
      <c r="D648" s="273"/>
      <c r="E648" s="273"/>
      <c r="F648" s="273"/>
      <c r="G648" s="273"/>
      <c r="H648" s="273"/>
      <c r="I648" s="2"/>
      <c r="J648" s="17"/>
      <c r="K648" s="10"/>
      <c r="L648" s="10"/>
      <c r="M648" s="10"/>
      <c r="N648" s="10"/>
      <c r="O648" s="10"/>
      <c r="P648" s="10"/>
      <c r="Q648" s="10"/>
      <c r="R648" s="2"/>
      <c r="S648" s="273"/>
      <c r="T648" s="273"/>
      <c r="U648" s="273"/>
      <c r="V648" s="9"/>
      <c r="W648" s="273"/>
      <c r="X648" s="273"/>
      <c r="Y648" s="9"/>
      <c r="Z648" s="273"/>
      <c r="AA648" s="273"/>
      <c r="AB648" s="9"/>
      <c r="AC648" s="273"/>
      <c r="AD648" s="273"/>
      <c r="AE648" s="9"/>
      <c r="AF648" s="273"/>
      <c r="AG648" s="273"/>
      <c r="AH648" s="9"/>
      <c r="AI648" s="273"/>
      <c r="AJ648" s="273"/>
      <c r="AK648" s="9"/>
      <c r="AL648" s="273"/>
      <c r="AM648" s="273"/>
      <c r="AN648" s="9"/>
      <c r="AO648" s="273"/>
      <c r="AP648" s="273"/>
      <c r="AQ648" s="9"/>
      <c r="AR648" s="273"/>
      <c r="AS648" s="39"/>
    </row>
    <row r="649" spans="1:45" ht="12.75">
      <c r="A649" s="160"/>
      <c r="B649" s="273"/>
      <c r="C649" s="273"/>
      <c r="D649" s="273"/>
      <c r="E649" s="273"/>
      <c r="F649" s="273"/>
      <c r="G649" s="273"/>
      <c r="H649" s="273"/>
      <c r="I649" s="2"/>
      <c r="J649" s="17"/>
      <c r="K649" s="10"/>
      <c r="L649" s="10"/>
      <c r="M649" s="10"/>
      <c r="N649" s="10"/>
      <c r="O649" s="10"/>
      <c r="P649" s="10"/>
      <c r="Q649" s="10"/>
      <c r="R649" s="2"/>
      <c r="S649" s="273"/>
      <c r="T649" s="273"/>
      <c r="U649" s="273"/>
      <c r="V649" s="9"/>
      <c r="W649" s="273"/>
      <c r="X649" s="273"/>
      <c r="Y649" s="9"/>
      <c r="Z649" s="273"/>
      <c r="AA649" s="273"/>
      <c r="AB649" s="9"/>
      <c r="AC649" s="273"/>
      <c r="AD649" s="273"/>
      <c r="AE649" s="9"/>
      <c r="AF649" s="273"/>
      <c r="AG649" s="273"/>
      <c r="AH649" s="9"/>
      <c r="AI649" s="273"/>
      <c r="AJ649" s="273"/>
      <c r="AK649" s="9"/>
      <c r="AL649" s="273"/>
      <c r="AM649" s="273"/>
      <c r="AN649" s="9"/>
      <c r="AO649" s="273"/>
      <c r="AP649" s="273"/>
      <c r="AQ649" s="9"/>
      <c r="AR649" s="273"/>
      <c r="AS649" s="39"/>
    </row>
    <row r="650" spans="1:45" ht="12.75">
      <c r="A650" s="160"/>
      <c r="B650" s="273"/>
      <c r="C650" s="273"/>
      <c r="D650" s="273"/>
      <c r="E650" s="273"/>
      <c r="F650" s="273"/>
      <c r="G650" s="273"/>
      <c r="H650" s="273"/>
      <c r="I650" s="2"/>
      <c r="J650" s="17"/>
      <c r="K650" s="10"/>
      <c r="L650" s="10"/>
      <c r="M650" s="10"/>
      <c r="N650" s="10"/>
      <c r="O650" s="10"/>
      <c r="P650" s="10"/>
      <c r="Q650" s="10"/>
      <c r="R650" s="2"/>
      <c r="S650" s="273"/>
      <c r="T650" s="273"/>
      <c r="U650" s="273"/>
      <c r="V650" s="9"/>
      <c r="W650" s="273"/>
      <c r="X650" s="273"/>
      <c r="Y650" s="9"/>
      <c r="Z650" s="273"/>
      <c r="AA650" s="273"/>
      <c r="AB650" s="9"/>
      <c r="AC650" s="273"/>
      <c r="AD650" s="273"/>
      <c r="AE650" s="9"/>
      <c r="AF650" s="273"/>
      <c r="AG650" s="273"/>
      <c r="AH650" s="9"/>
      <c r="AI650" s="273"/>
      <c r="AJ650" s="273"/>
      <c r="AK650" s="9"/>
      <c r="AL650" s="273"/>
      <c r="AM650" s="273"/>
      <c r="AN650" s="9"/>
      <c r="AO650" s="273"/>
      <c r="AP650" s="273"/>
      <c r="AQ650" s="9"/>
      <c r="AR650" s="273"/>
      <c r="AS650" s="39"/>
    </row>
    <row r="651" spans="1:45" ht="12.75">
      <c r="A651" s="160"/>
      <c r="B651" s="273"/>
      <c r="C651" s="273"/>
      <c r="D651" s="273"/>
      <c r="E651" s="273"/>
      <c r="F651" s="273"/>
      <c r="G651" s="273"/>
      <c r="H651" s="273"/>
      <c r="I651" s="2"/>
      <c r="J651" s="17"/>
      <c r="K651" s="10"/>
      <c r="L651" s="10"/>
      <c r="M651" s="10"/>
      <c r="N651" s="10"/>
      <c r="O651" s="10"/>
      <c r="P651" s="10"/>
      <c r="Q651" s="10"/>
      <c r="R651" s="2"/>
      <c r="S651" s="273"/>
      <c r="T651" s="273"/>
      <c r="U651" s="273"/>
      <c r="V651" s="9"/>
      <c r="W651" s="273"/>
      <c r="X651" s="273"/>
      <c r="Y651" s="9"/>
      <c r="Z651" s="273"/>
      <c r="AA651" s="273"/>
      <c r="AB651" s="9"/>
      <c r="AC651" s="273"/>
      <c r="AD651" s="273"/>
      <c r="AE651" s="9"/>
      <c r="AF651" s="273"/>
      <c r="AG651" s="273"/>
      <c r="AH651" s="9"/>
      <c r="AI651" s="273"/>
      <c r="AJ651" s="273"/>
      <c r="AK651" s="9"/>
      <c r="AL651" s="273"/>
      <c r="AM651" s="273"/>
      <c r="AN651" s="9"/>
      <c r="AO651" s="273"/>
      <c r="AP651" s="273"/>
      <c r="AQ651" s="9"/>
      <c r="AR651" s="273"/>
      <c r="AS651" s="39"/>
    </row>
    <row r="652" spans="1:45" ht="12.75">
      <c r="A652" s="160"/>
      <c r="B652" s="273"/>
      <c r="C652" s="273"/>
      <c r="D652" s="273"/>
      <c r="E652" s="273"/>
      <c r="F652" s="273"/>
      <c r="G652" s="273"/>
      <c r="H652" s="273"/>
      <c r="I652" s="2"/>
      <c r="J652" s="17"/>
      <c r="K652" s="10"/>
      <c r="L652" s="10"/>
      <c r="M652" s="10"/>
      <c r="N652" s="10"/>
      <c r="O652" s="10"/>
      <c r="P652" s="10"/>
      <c r="Q652" s="10"/>
      <c r="R652" s="2"/>
      <c r="S652" s="273"/>
      <c r="T652" s="273"/>
      <c r="U652" s="273"/>
      <c r="V652" s="9"/>
      <c r="W652" s="273"/>
      <c r="X652" s="273"/>
      <c r="Y652" s="9"/>
      <c r="Z652" s="273"/>
      <c r="AA652" s="273"/>
      <c r="AB652" s="9"/>
      <c r="AC652" s="273"/>
      <c r="AD652" s="273"/>
      <c r="AE652" s="9"/>
      <c r="AF652" s="273"/>
      <c r="AG652" s="273"/>
      <c r="AH652" s="9"/>
      <c r="AI652" s="273"/>
      <c r="AJ652" s="273"/>
      <c r="AK652" s="9"/>
      <c r="AL652" s="273"/>
      <c r="AM652" s="273"/>
      <c r="AN652" s="9"/>
      <c r="AO652" s="273"/>
      <c r="AP652" s="273"/>
      <c r="AQ652" s="9"/>
      <c r="AR652" s="273"/>
      <c r="AS652" s="39"/>
    </row>
    <row r="653" spans="1:45" ht="12.75">
      <c r="A653" s="160"/>
      <c r="B653" s="273"/>
      <c r="C653" s="273"/>
      <c r="D653" s="273"/>
      <c r="E653" s="273"/>
      <c r="F653" s="273"/>
      <c r="G653" s="273"/>
      <c r="H653" s="273"/>
      <c r="I653" s="2"/>
      <c r="J653" s="17"/>
      <c r="K653" s="10"/>
      <c r="L653" s="10"/>
      <c r="M653" s="10"/>
      <c r="N653" s="10"/>
      <c r="O653" s="10"/>
      <c r="P653" s="10"/>
      <c r="Q653" s="10"/>
      <c r="R653" s="2"/>
      <c r="S653" s="273"/>
      <c r="T653" s="273"/>
      <c r="U653" s="273"/>
      <c r="V653" s="9"/>
      <c r="W653" s="273"/>
      <c r="X653" s="273"/>
      <c r="Y653" s="9"/>
      <c r="Z653" s="273"/>
      <c r="AA653" s="273"/>
      <c r="AB653" s="9"/>
      <c r="AC653" s="273"/>
      <c r="AD653" s="273"/>
      <c r="AE653" s="9"/>
      <c r="AF653" s="273"/>
      <c r="AG653" s="273"/>
      <c r="AH653" s="9"/>
      <c r="AI653" s="273"/>
      <c r="AJ653" s="273"/>
      <c r="AK653" s="9"/>
      <c r="AL653" s="273"/>
      <c r="AM653" s="273"/>
      <c r="AN653" s="9"/>
      <c r="AO653" s="273"/>
      <c r="AP653" s="273"/>
      <c r="AQ653" s="9"/>
      <c r="AR653" s="273"/>
      <c r="AS653" s="39"/>
    </row>
    <row r="654" spans="1:45" ht="12.75">
      <c r="A654" s="160"/>
      <c r="B654" s="273"/>
      <c r="C654" s="273"/>
      <c r="D654" s="273"/>
      <c r="E654" s="273"/>
      <c r="F654" s="273"/>
      <c r="G654" s="273"/>
      <c r="H654" s="273"/>
      <c r="I654" s="2"/>
      <c r="J654" s="17"/>
      <c r="K654" s="10"/>
      <c r="L654" s="10"/>
      <c r="M654" s="10"/>
      <c r="N654" s="10"/>
      <c r="O654" s="10"/>
      <c r="P654" s="10"/>
      <c r="Q654" s="10"/>
      <c r="R654" s="2"/>
      <c r="S654" s="273"/>
      <c r="T654" s="273"/>
      <c r="U654" s="273"/>
      <c r="V654" s="9"/>
      <c r="W654" s="273"/>
      <c r="X654" s="273"/>
      <c r="Y654" s="9"/>
      <c r="Z654" s="273"/>
      <c r="AA654" s="273"/>
      <c r="AB654" s="9"/>
      <c r="AC654" s="273"/>
      <c r="AD654" s="273"/>
      <c r="AE654" s="9"/>
      <c r="AF654" s="273"/>
      <c r="AG654" s="273"/>
      <c r="AH654" s="9"/>
      <c r="AI654" s="273"/>
      <c r="AJ654" s="273"/>
      <c r="AK654" s="9"/>
      <c r="AL654" s="273"/>
      <c r="AM654" s="273"/>
      <c r="AN654" s="9"/>
      <c r="AO654" s="273"/>
      <c r="AP654" s="273"/>
      <c r="AQ654" s="9"/>
      <c r="AR654" s="273"/>
      <c r="AS654" s="39"/>
    </row>
    <row r="655" spans="1:45" ht="12.75">
      <c r="A655" s="160"/>
      <c r="B655" s="273"/>
      <c r="C655" s="273"/>
      <c r="D655" s="273"/>
      <c r="E655" s="273"/>
      <c r="F655" s="273"/>
      <c r="G655" s="273"/>
      <c r="H655" s="273"/>
      <c r="I655" s="2"/>
      <c r="J655" s="17"/>
      <c r="K655" s="10"/>
      <c r="L655" s="10"/>
      <c r="M655" s="10"/>
      <c r="N655" s="10"/>
      <c r="O655" s="10"/>
      <c r="P655" s="10"/>
      <c r="Q655" s="10"/>
      <c r="R655" s="2"/>
      <c r="S655" s="273"/>
      <c r="T655" s="273"/>
      <c r="U655" s="273"/>
      <c r="V655" s="9"/>
      <c r="W655" s="273"/>
      <c r="X655" s="273"/>
      <c r="Y655" s="9"/>
      <c r="Z655" s="273"/>
      <c r="AA655" s="273"/>
      <c r="AB655" s="9"/>
      <c r="AC655" s="273"/>
      <c r="AD655" s="273"/>
      <c r="AE655" s="9"/>
      <c r="AF655" s="273"/>
      <c r="AG655" s="273"/>
      <c r="AH655" s="9"/>
      <c r="AI655" s="273"/>
      <c r="AJ655" s="273"/>
      <c r="AK655" s="9"/>
      <c r="AL655" s="273"/>
      <c r="AM655" s="273"/>
      <c r="AN655" s="9"/>
      <c r="AO655" s="273"/>
      <c r="AP655" s="273"/>
      <c r="AQ655" s="9"/>
      <c r="AR655" s="273"/>
      <c r="AS655" s="39"/>
    </row>
    <row r="656" spans="1:45" ht="12.75">
      <c r="A656" s="160"/>
      <c r="B656" s="273"/>
      <c r="C656" s="273"/>
      <c r="D656" s="273"/>
      <c r="E656" s="273"/>
      <c r="F656" s="273"/>
      <c r="G656" s="273"/>
      <c r="H656" s="273"/>
      <c r="I656" s="2"/>
      <c r="J656" s="17"/>
      <c r="K656" s="10"/>
      <c r="L656" s="10"/>
      <c r="M656" s="10"/>
      <c r="N656" s="10"/>
      <c r="O656" s="10"/>
      <c r="P656" s="10"/>
      <c r="Q656" s="10"/>
      <c r="R656" s="2"/>
      <c r="S656" s="273"/>
      <c r="T656" s="273"/>
      <c r="U656" s="273"/>
      <c r="V656" s="9"/>
      <c r="W656" s="273"/>
      <c r="X656" s="273"/>
      <c r="Y656" s="9"/>
      <c r="Z656" s="273"/>
      <c r="AA656" s="273"/>
      <c r="AB656" s="9"/>
      <c r="AC656" s="273"/>
      <c r="AD656" s="273"/>
      <c r="AE656" s="9"/>
      <c r="AF656" s="273"/>
      <c r="AG656" s="273"/>
      <c r="AH656" s="9"/>
      <c r="AI656" s="273"/>
      <c r="AJ656" s="273"/>
      <c r="AK656" s="9"/>
      <c r="AL656" s="273"/>
      <c r="AM656" s="273"/>
      <c r="AN656" s="9"/>
      <c r="AO656" s="273"/>
      <c r="AP656" s="273"/>
      <c r="AQ656" s="9"/>
      <c r="AR656" s="273"/>
      <c r="AS656" s="39"/>
    </row>
    <row r="657" spans="1:45" ht="12.75">
      <c r="A657" s="160"/>
      <c r="B657" s="273"/>
      <c r="C657" s="273"/>
      <c r="D657" s="273"/>
      <c r="E657" s="273"/>
      <c r="F657" s="273"/>
      <c r="G657" s="273"/>
      <c r="H657" s="273"/>
      <c r="I657" s="2"/>
      <c r="J657" s="17"/>
      <c r="K657" s="10"/>
      <c r="L657" s="10"/>
      <c r="M657" s="10"/>
      <c r="N657" s="10"/>
      <c r="O657" s="10"/>
      <c r="P657" s="10"/>
      <c r="Q657" s="10"/>
      <c r="R657" s="2"/>
      <c r="S657" s="273"/>
      <c r="T657" s="273"/>
      <c r="U657" s="273"/>
      <c r="V657" s="9"/>
      <c r="W657" s="273"/>
      <c r="X657" s="273"/>
      <c r="Y657" s="9"/>
      <c r="Z657" s="273"/>
      <c r="AA657" s="273"/>
      <c r="AB657" s="9"/>
      <c r="AC657" s="273"/>
      <c r="AD657" s="273"/>
      <c r="AE657" s="9"/>
      <c r="AF657" s="273"/>
      <c r="AG657" s="273"/>
      <c r="AH657" s="9"/>
      <c r="AI657" s="273"/>
      <c r="AJ657" s="273"/>
      <c r="AK657" s="9"/>
      <c r="AL657" s="273"/>
      <c r="AM657" s="273"/>
      <c r="AN657" s="9"/>
      <c r="AO657" s="273"/>
      <c r="AP657" s="273"/>
      <c r="AQ657" s="9"/>
      <c r="AR657" s="273"/>
      <c r="AS657" s="39"/>
    </row>
    <row r="658" spans="1:45" ht="12.75">
      <c r="A658" s="160"/>
      <c r="B658" s="273"/>
      <c r="C658" s="273"/>
      <c r="D658" s="273"/>
      <c r="E658" s="273"/>
      <c r="F658" s="273"/>
      <c r="G658" s="273"/>
      <c r="H658" s="273"/>
      <c r="I658" s="2"/>
      <c r="J658" s="17"/>
      <c r="K658" s="10"/>
      <c r="L658" s="10"/>
      <c r="M658" s="10"/>
      <c r="N658" s="10"/>
      <c r="O658" s="10"/>
      <c r="P658" s="10"/>
      <c r="Q658" s="10"/>
      <c r="R658" s="2"/>
      <c r="S658" s="273"/>
      <c r="T658" s="273"/>
      <c r="U658" s="273"/>
      <c r="V658" s="9"/>
      <c r="W658" s="273"/>
      <c r="X658" s="273"/>
      <c r="Y658" s="9"/>
      <c r="Z658" s="273"/>
      <c r="AA658" s="273"/>
      <c r="AB658" s="9"/>
      <c r="AC658" s="273"/>
      <c r="AD658" s="273"/>
      <c r="AE658" s="9"/>
      <c r="AF658" s="273"/>
      <c r="AG658" s="273"/>
      <c r="AH658" s="9"/>
      <c r="AI658" s="273"/>
      <c r="AJ658" s="273"/>
      <c r="AK658" s="9"/>
      <c r="AL658" s="273"/>
      <c r="AM658" s="273"/>
      <c r="AN658" s="9"/>
      <c r="AO658" s="273"/>
      <c r="AP658" s="273"/>
      <c r="AQ658" s="9"/>
      <c r="AR658" s="273"/>
      <c r="AS658" s="39"/>
    </row>
    <row r="659" spans="1:45" ht="12.75">
      <c r="A659" s="160"/>
      <c r="B659" s="273"/>
      <c r="C659" s="273"/>
      <c r="D659" s="273"/>
      <c r="E659" s="273"/>
      <c r="F659" s="273"/>
      <c r="G659" s="273"/>
      <c r="H659" s="273"/>
      <c r="I659" s="2"/>
      <c r="J659" s="17"/>
      <c r="K659" s="10"/>
      <c r="L659" s="10"/>
      <c r="M659" s="10"/>
      <c r="N659" s="10"/>
      <c r="O659" s="10"/>
      <c r="P659" s="10"/>
      <c r="Q659" s="10"/>
      <c r="R659" s="2"/>
      <c r="S659" s="273"/>
      <c r="T659" s="273"/>
      <c r="U659" s="273"/>
      <c r="V659" s="9"/>
      <c r="W659" s="273"/>
      <c r="X659" s="273"/>
      <c r="Y659" s="9"/>
      <c r="Z659" s="273"/>
      <c r="AA659" s="273"/>
      <c r="AB659" s="9"/>
      <c r="AC659" s="273"/>
      <c r="AD659" s="273"/>
      <c r="AE659" s="9"/>
      <c r="AF659" s="273"/>
      <c r="AG659" s="273"/>
      <c r="AH659" s="9"/>
      <c r="AI659" s="273"/>
      <c r="AJ659" s="273"/>
      <c r="AK659" s="9"/>
      <c r="AL659" s="273"/>
      <c r="AM659" s="273"/>
      <c r="AN659" s="9"/>
      <c r="AO659" s="273"/>
      <c r="AP659" s="273"/>
      <c r="AQ659" s="9"/>
      <c r="AR659" s="273"/>
      <c r="AS659" s="39"/>
    </row>
    <row r="660" spans="1:45" ht="12.75">
      <c r="A660" s="160"/>
      <c r="B660" s="273"/>
      <c r="C660" s="273"/>
      <c r="D660" s="273"/>
      <c r="E660" s="273"/>
      <c r="F660" s="273"/>
      <c r="G660" s="273"/>
      <c r="H660" s="273"/>
      <c r="I660" s="2"/>
      <c r="J660" s="17"/>
      <c r="K660" s="10"/>
      <c r="L660" s="10"/>
      <c r="M660" s="10"/>
      <c r="N660" s="10"/>
      <c r="O660" s="10"/>
      <c r="P660" s="10"/>
      <c r="Q660" s="10"/>
      <c r="R660" s="2"/>
      <c r="S660" s="273"/>
      <c r="T660" s="273"/>
      <c r="U660" s="273"/>
      <c r="V660" s="9"/>
      <c r="W660" s="273"/>
      <c r="X660" s="273"/>
      <c r="Y660" s="9"/>
      <c r="Z660" s="273"/>
      <c r="AA660" s="273"/>
      <c r="AB660" s="9"/>
      <c r="AC660" s="273"/>
      <c r="AD660" s="273"/>
      <c r="AE660" s="9"/>
      <c r="AF660" s="273"/>
      <c r="AG660" s="273"/>
      <c r="AH660" s="9"/>
      <c r="AI660" s="273"/>
      <c r="AJ660" s="273"/>
      <c r="AK660" s="9"/>
      <c r="AL660" s="273"/>
      <c r="AM660" s="273"/>
      <c r="AN660" s="9"/>
      <c r="AO660" s="273"/>
      <c r="AP660" s="273"/>
      <c r="AQ660" s="9"/>
      <c r="AR660" s="273"/>
      <c r="AS660" s="39"/>
    </row>
    <row r="661" spans="1:45" ht="12.75">
      <c r="A661" s="160"/>
      <c r="B661" s="273"/>
      <c r="C661" s="273"/>
      <c r="D661" s="273"/>
      <c r="E661" s="273"/>
      <c r="F661" s="273"/>
      <c r="G661" s="273"/>
      <c r="H661" s="273"/>
      <c r="I661" s="2"/>
      <c r="J661" s="17"/>
      <c r="K661" s="10"/>
      <c r="L661" s="10"/>
      <c r="M661" s="10"/>
      <c r="N661" s="10"/>
      <c r="O661" s="10"/>
      <c r="P661" s="10"/>
      <c r="Q661" s="10"/>
      <c r="R661" s="2"/>
      <c r="S661" s="273"/>
      <c r="T661" s="273"/>
      <c r="U661" s="273"/>
      <c r="V661" s="9"/>
      <c r="W661" s="273"/>
      <c r="X661" s="273"/>
      <c r="Y661" s="9"/>
      <c r="Z661" s="273"/>
      <c r="AA661" s="273"/>
      <c r="AB661" s="9"/>
      <c r="AC661" s="273"/>
      <c r="AD661" s="273"/>
      <c r="AE661" s="9"/>
      <c r="AF661" s="273"/>
      <c r="AG661" s="273"/>
      <c r="AH661" s="9"/>
      <c r="AI661" s="273"/>
      <c r="AJ661" s="273"/>
      <c r="AK661" s="9"/>
      <c r="AL661" s="273"/>
      <c r="AM661" s="273"/>
      <c r="AN661" s="9"/>
      <c r="AO661" s="273"/>
      <c r="AP661" s="273"/>
      <c r="AQ661" s="9"/>
      <c r="AR661" s="273"/>
      <c r="AS661" s="39"/>
    </row>
    <row r="662" spans="1:45" ht="12.75">
      <c r="A662" s="160"/>
      <c r="B662" s="273"/>
      <c r="C662" s="273"/>
      <c r="D662" s="273"/>
      <c r="E662" s="273"/>
      <c r="F662" s="273"/>
      <c r="G662" s="273"/>
      <c r="H662" s="273"/>
      <c r="I662" s="2"/>
      <c r="J662" s="17"/>
      <c r="K662" s="10"/>
      <c r="L662" s="10"/>
      <c r="M662" s="10"/>
      <c r="N662" s="10"/>
      <c r="O662" s="10"/>
      <c r="P662" s="10"/>
      <c r="Q662" s="10"/>
      <c r="R662" s="2"/>
      <c r="S662" s="273"/>
      <c r="T662" s="273"/>
      <c r="U662" s="273"/>
      <c r="V662" s="9"/>
      <c r="W662" s="273"/>
      <c r="X662" s="273"/>
      <c r="Y662" s="9"/>
      <c r="Z662" s="273"/>
      <c r="AA662" s="273"/>
      <c r="AB662" s="9"/>
      <c r="AC662" s="273"/>
      <c r="AD662" s="273"/>
      <c r="AE662" s="9"/>
      <c r="AF662" s="273"/>
      <c r="AG662" s="273"/>
      <c r="AH662" s="9"/>
      <c r="AI662" s="273"/>
      <c r="AJ662" s="273"/>
      <c r="AK662" s="9"/>
      <c r="AL662" s="273"/>
      <c r="AM662" s="273"/>
      <c r="AN662" s="9"/>
      <c r="AO662" s="273"/>
      <c r="AP662" s="273"/>
      <c r="AQ662" s="9"/>
      <c r="AR662" s="273"/>
      <c r="AS662" s="39"/>
    </row>
    <row r="663" spans="1:45" ht="12.75">
      <c r="A663" s="160"/>
      <c r="B663" s="273"/>
      <c r="C663" s="273"/>
      <c r="D663" s="273"/>
      <c r="E663" s="273"/>
      <c r="F663" s="273"/>
      <c r="G663" s="273"/>
      <c r="H663" s="273"/>
      <c r="I663" s="2"/>
      <c r="J663" s="17"/>
      <c r="K663" s="10"/>
      <c r="L663" s="10"/>
      <c r="M663" s="10"/>
      <c r="N663" s="10"/>
      <c r="O663" s="10"/>
      <c r="P663" s="10"/>
      <c r="Q663" s="10"/>
      <c r="R663" s="2"/>
      <c r="S663" s="273"/>
      <c r="T663" s="273"/>
      <c r="U663" s="273"/>
      <c r="V663" s="9"/>
      <c r="W663" s="273"/>
      <c r="X663" s="273"/>
      <c r="Y663" s="9"/>
      <c r="Z663" s="273"/>
      <c r="AA663" s="273"/>
      <c r="AB663" s="9"/>
      <c r="AC663" s="273"/>
      <c r="AD663" s="273"/>
      <c r="AE663" s="9"/>
      <c r="AF663" s="273"/>
      <c r="AG663" s="273"/>
      <c r="AH663" s="9"/>
      <c r="AI663" s="273"/>
      <c r="AJ663" s="273"/>
      <c r="AK663" s="9"/>
      <c r="AL663" s="273"/>
      <c r="AM663" s="273"/>
      <c r="AN663" s="9"/>
      <c r="AO663" s="273"/>
      <c r="AP663" s="273"/>
      <c r="AQ663" s="9"/>
      <c r="AR663" s="273"/>
      <c r="AS663" s="39"/>
    </row>
    <row r="664" spans="1:45" ht="12.75">
      <c r="A664" s="160"/>
      <c r="B664" s="273"/>
      <c r="C664" s="273"/>
      <c r="D664" s="273"/>
      <c r="E664" s="273"/>
      <c r="F664" s="273"/>
      <c r="G664" s="273"/>
      <c r="H664" s="273"/>
      <c r="I664" s="2"/>
      <c r="J664" s="17"/>
      <c r="K664" s="10"/>
      <c r="L664" s="10"/>
      <c r="M664" s="10"/>
      <c r="N664" s="10"/>
      <c r="O664" s="10"/>
      <c r="P664" s="10"/>
      <c r="Q664" s="10"/>
      <c r="R664" s="2"/>
      <c r="S664" s="273"/>
      <c r="T664" s="273"/>
      <c r="U664" s="273"/>
      <c r="V664" s="9"/>
      <c r="W664" s="273"/>
      <c r="X664" s="273"/>
      <c r="Y664" s="9"/>
      <c r="Z664" s="273"/>
      <c r="AA664" s="273"/>
      <c r="AB664" s="9"/>
      <c r="AC664" s="273"/>
      <c r="AD664" s="273"/>
      <c r="AE664" s="9"/>
      <c r="AF664" s="273"/>
      <c r="AG664" s="273"/>
      <c r="AH664" s="9"/>
      <c r="AI664" s="273"/>
      <c r="AJ664" s="273"/>
      <c r="AK664" s="9"/>
      <c r="AL664" s="273"/>
      <c r="AM664" s="273"/>
      <c r="AN664" s="9"/>
      <c r="AO664" s="273"/>
      <c r="AP664" s="273"/>
      <c r="AQ664" s="9"/>
      <c r="AR664" s="273"/>
      <c r="AS664" s="39"/>
    </row>
    <row r="665" spans="1:45" ht="12.75">
      <c r="A665" s="160"/>
      <c r="B665" s="273"/>
      <c r="C665" s="273"/>
      <c r="D665" s="273"/>
      <c r="E665" s="273"/>
      <c r="F665" s="273"/>
      <c r="G665" s="273"/>
      <c r="H665" s="273"/>
      <c r="I665" s="2"/>
      <c r="J665" s="17"/>
      <c r="K665" s="10"/>
      <c r="L665" s="10"/>
      <c r="M665" s="10"/>
      <c r="N665" s="10"/>
      <c r="O665" s="10"/>
      <c r="P665" s="10"/>
      <c r="Q665" s="10"/>
      <c r="R665" s="2"/>
      <c r="S665" s="273"/>
      <c r="T665" s="273"/>
      <c r="U665" s="273"/>
      <c r="V665" s="9"/>
      <c r="W665" s="273"/>
      <c r="X665" s="273"/>
      <c r="Y665" s="9"/>
      <c r="Z665" s="273"/>
      <c r="AA665" s="273"/>
      <c r="AB665" s="9"/>
      <c r="AC665" s="273"/>
      <c r="AD665" s="273"/>
      <c r="AE665" s="9"/>
      <c r="AF665" s="273"/>
      <c r="AG665" s="273"/>
      <c r="AH665" s="9"/>
      <c r="AI665" s="273"/>
      <c r="AJ665" s="273"/>
      <c r="AK665" s="9"/>
      <c r="AL665" s="273"/>
      <c r="AM665" s="273"/>
      <c r="AN665" s="9"/>
      <c r="AO665" s="273"/>
      <c r="AP665" s="273"/>
      <c r="AQ665" s="9"/>
      <c r="AR665" s="273"/>
      <c r="AS665" s="39"/>
    </row>
    <row r="666" spans="1:45" ht="12.75">
      <c r="A666" s="160"/>
      <c r="B666" s="273"/>
      <c r="C666" s="273"/>
      <c r="D666" s="273"/>
      <c r="E666" s="273"/>
      <c r="F666" s="273"/>
      <c r="G666" s="273"/>
      <c r="H666" s="273"/>
      <c r="I666" s="2"/>
      <c r="J666" s="17"/>
      <c r="K666" s="10"/>
      <c r="L666" s="10"/>
      <c r="M666" s="10"/>
      <c r="N666" s="10"/>
      <c r="O666" s="10"/>
      <c r="P666" s="10"/>
      <c r="Q666" s="10"/>
      <c r="R666" s="2"/>
      <c r="S666" s="273"/>
      <c r="T666" s="273"/>
      <c r="U666" s="273"/>
      <c r="V666" s="9"/>
      <c r="W666" s="273"/>
      <c r="X666" s="273"/>
      <c r="Y666" s="9"/>
      <c r="Z666" s="273"/>
      <c r="AA666" s="273"/>
      <c r="AB666" s="9"/>
      <c r="AC666" s="273"/>
      <c r="AD666" s="273"/>
      <c r="AE666" s="9"/>
      <c r="AF666" s="273"/>
      <c r="AG666" s="273"/>
      <c r="AH666" s="9"/>
      <c r="AI666" s="273"/>
      <c r="AJ666" s="273"/>
      <c r="AK666" s="9"/>
      <c r="AL666" s="273"/>
      <c r="AM666" s="273"/>
      <c r="AN666" s="9"/>
      <c r="AO666" s="273"/>
      <c r="AP666" s="273"/>
      <c r="AQ666" s="9"/>
      <c r="AR666" s="273"/>
      <c r="AS666" s="39"/>
    </row>
    <row r="667" spans="1:45" ht="12.75">
      <c r="A667" s="160"/>
      <c r="B667" s="273"/>
      <c r="C667" s="273"/>
      <c r="D667" s="273"/>
      <c r="E667" s="273"/>
      <c r="F667" s="273"/>
      <c r="G667" s="273"/>
      <c r="H667" s="273"/>
      <c r="I667" s="2"/>
      <c r="J667" s="17"/>
      <c r="K667" s="10"/>
      <c r="L667" s="10"/>
      <c r="M667" s="10"/>
      <c r="N667" s="10"/>
      <c r="O667" s="10"/>
      <c r="P667" s="10"/>
      <c r="Q667" s="10"/>
      <c r="R667" s="2"/>
      <c r="S667" s="273"/>
      <c r="T667" s="273"/>
      <c r="U667" s="273"/>
      <c r="V667" s="9"/>
      <c r="W667" s="273"/>
      <c r="X667" s="273"/>
      <c r="Y667" s="9"/>
      <c r="Z667" s="273"/>
      <c r="AA667" s="273"/>
      <c r="AB667" s="9"/>
      <c r="AC667" s="273"/>
      <c r="AD667" s="273"/>
      <c r="AE667" s="9"/>
      <c r="AF667" s="273"/>
      <c r="AG667" s="273"/>
      <c r="AH667" s="9"/>
      <c r="AI667" s="273"/>
      <c r="AJ667" s="273"/>
      <c r="AK667" s="9"/>
      <c r="AL667" s="273"/>
      <c r="AM667" s="273"/>
      <c r="AN667" s="9"/>
      <c r="AO667" s="273"/>
      <c r="AP667" s="273"/>
      <c r="AQ667" s="9"/>
      <c r="AR667" s="273"/>
      <c r="AS667" s="39"/>
    </row>
    <row r="668" spans="1:45" ht="12.75">
      <c r="A668" s="160"/>
      <c r="B668" s="273"/>
      <c r="C668" s="273"/>
      <c r="D668" s="273"/>
      <c r="E668" s="273"/>
      <c r="F668" s="273"/>
      <c r="G668" s="273"/>
      <c r="H668" s="273"/>
      <c r="I668" s="2"/>
      <c r="J668" s="17"/>
      <c r="K668" s="10"/>
      <c r="L668" s="10"/>
      <c r="M668" s="10"/>
      <c r="N668" s="10"/>
      <c r="O668" s="10"/>
      <c r="P668" s="10"/>
      <c r="Q668" s="10"/>
      <c r="R668" s="2"/>
      <c r="S668" s="273"/>
      <c r="T668" s="273"/>
      <c r="U668" s="273"/>
      <c r="V668" s="9"/>
      <c r="W668" s="273"/>
      <c r="X668" s="273"/>
      <c r="Y668" s="9"/>
      <c r="Z668" s="273"/>
      <c r="AA668" s="273"/>
      <c r="AB668" s="9"/>
      <c r="AC668" s="273"/>
      <c r="AD668" s="273"/>
      <c r="AE668" s="9"/>
      <c r="AF668" s="273"/>
      <c r="AG668" s="273"/>
      <c r="AH668" s="9"/>
      <c r="AI668" s="273"/>
      <c r="AJ668" s="273"/>
      <c r="AK668" s="9"/>
      <c r="AL668" s="273"/>
      <c r="AM668" s="273"/>
      <c r="AN668" s="9"/>
      <c r="AO668" s="273"/>
      <c r="AP668" s="273"/>
      <c r="AQ668" s="9"/>
      <c r="AR668" s="273"/>
      <c r="AS668" s="39"/>
    </row>
    <row r="669" spans="1:45" ht="12.75">
      <c r="A669" s="160"/>
      <c r="B669" s="273"/>
      <c r="C669" s="273"/>
      <c r="D669" s="273"/>
      <c r="E669" s="273"/>
      <c r="F669" s="273"/>
      <c r="G669" s="273"/>
      <c r="H669" s="273"/>
      <c r="I669" s="2"/>
      <c r="J669" s="17"/>
      <c r="K669" s="10"/>
      <c r="L669" s="10"/>
      <c r="M669" s="10"/>
      <c r="N669" s="10"/>
      <c r="O669" s="10"/>
      <c r="P669" s="10"/>
      <c r="Q669" s="10"/>
      <c r="R669" s="2"/>
      <c r="S669" s="273"/>
      <c r="T669" s="273"/>
      <c r="U669" s="273"/>
      <c r="V669" s="9"/>
      <c r="W669" s="273"/>
      <c r="X669" s="273"/>
      <c r="Y669" s="9"/>
      <c r="Z669" s="273"/>
      <c r="AA669" s="273"/>
      <c r="AB669" s="9"/>
      <c r="AC669" s="273"/>
      <c r="AD669" s="273"/>
      <c r="AE669" s="9"/>
      <c r="AF669" s="273"/>
      <c r="AG669" s="273"/>
      <c r="AH669" s="9"/>
      <c r="AI669" s="273"/>
      <c r="AJ669" s="273"/>
      <c r="AK669" s="9"/>
      <c r="AL669" s="273"/>
      <c r="AM669" s="273"/>
      <c r="AN669" s="9"/>
      <c r="AO669" s="273"/>
      <c r="AP669" s="273"/>
      <c r="AQ669" s="9"/>
      <c r="AR669" s="273"/>
      <c r="AS669" s="39"/>
    </row>
    <row r="670" spans="1:45" ht="12.75">
      <c r="A670" s="160"/>
      <c r="B670" s="273"/>
      <c r="C670" s="273"/>
      <c r="D670" s="273"/>
      <c r="E670" s="273"/>
      <c r="F670" s="273"/>
      <c r="G670" s="273"/>
      <c r="H670" s="273"/>
      <c r="I670" s="2"/>
      <c r="J670" s="17"/>
      <c r="K670" s="10"/>
      <c r="L670" s="10"/>
      <c r="M670" s="10"/>
      <c r="N670" s="10"/>
      <c r="O670" s="10"/>
      <c r="P670" s="10"/>
      <c r="Q670" s="10"/>
      <c r="R670" s="2"/>
      <c r="S670" s="273"/>
      <c r="T670" s="273"/>
      <c r="U670" s="273"/>
      <c r="V670" s="9"/>
      <c r="W670" s="273"/>
      <c r="X670" s="273"/>
      <c r="Y670" s="9"/>
      <c r="Z670" s="273"/>
      <c r="AA670" s="273"/>
      <c r="AB670" s="9"/>
      <c r="AC670" s="273"/>
      <c r="AD670" s="273"/>
      <c r="AE670" s="9"/>
      <c r="AF670" s="273"/>
      <c r="AG670" s="273"/>
      <c r="AH670" s="9"/>
      <c r="AI670" s="273"/>
      <c r="AJ670" s="273"/>
      <c r="AK670" s="9"/>
      <c r="AL670" s="273"/>
      <c r="AM670" s="273"/>
      <c r="AN670" s="9"/>
      <c r="AO670" s="273"/>
      <c r="AP670" s="273"/>
      <c r="AQ670" s="9"/>
      <c r="AR670" s="273"/>
      <c r="AS670" s="39"/>
    </row>
    <row r="671" spans="1:45" ht="12.75">
      <c r="A671" s="160"/>
      <c r="B671" s="273"/>
      <c r="C671" s="273"/>
      <c r="D671" s="273"/>
      <c r="E671" s="273"/>
      <c r="F671" s="273"/>
      <c r="G671" s="273"/>
      <c r="H671" s="273"/>
      <c r="I671" s="2"/>
      <c r="J671" s="17"/>
      <c r="K671" s="10"/>
      <c r="L671" s="10"/>
      <c r="M671" s="10"/>
      <c r="N671" s="10"/>
      <c r="O671" s="10"/>
      <c r="P671" s="10"/>
      <c r="Q671" s="10"/>
      <c r="R671" s="2"/>
      <c r="S671" s="273"/>
      <c r="T671" s="273"/>
      <c r="U671" s="273"/>
      <c r="V671" s="9"/>
      <c r="W671" s="273"/>
      <c r="X671" s="273"/>
      <c r="Y671" s="9"/>
      <c r="Z671" s="273"/>
      <c r="AA671" s="273"/>
      <c r="AB671" s="9"/>
      <c r="AC671" s="273"/>
      <c r="AD671" s="273"/>
      <c r="AE671" s="9"/>
      <c r="AF671" s="273"/>
      <c r="AG671" s="273"/>
      <c r="AH671" s="9"/>
      <c r="AI671" s="273"/>
      <c r="AJ671" s="273"/>
      <c r="AK671" s="9"/>
      <c r="AL671" s="273"/>
      <c r="AM671" s="273"/>
      <c r="AN671" s="9"/>
      <c r="AO671" s="273"/>
      <c r="AP671" s="273"/>
      <c r="AQ671" s="9"/>
      <c r="AR671" s="273"/>
      <c r="AS671" s="39"/>
    </row>
    <row r="672" spans="1:45" ht="12.75">
      <c r="A672" s="160"/>
      <c r="B672" s="273"/>
      <c r="C672" s="273"/>
      <c r="D672" s="273"/>
      <c r="E672" s="273"/>
      <c r="F672" s="273"/>
      <c r="G672" s="273"/>
      <c r="H672" s="273"/>
      <c r="I672" s="2"/>
      <c r="J672" s="17"/>
      <c r="K672" s="10"/>
      <c r="L672" s="10"/>
      <c r="M672" s="10"/>
      <c r="N672" s="10"/>
      <c r="O672" s="10"/>
      <c r="P672" s="10"/>
      <c r="Q672" s="10"/>
      <c r="R672" s="2"/>
      <c r="S672" s="273"/>
      <c r="T672" s="273"/>
      <c r="U672" s="273"/>
      <c r="V672" s="9"/>
      <c r="W672" s="273"/>
      <c r="X672" s="273"/>
      <c r="Y672" s="9"/>
      <c r="Z672" s="273"/>
      <c r="AA672" s="273"/>
      <c r="AB672" s="9"/>
      <c r="AC672" s="273"/>
      <c r="AD672" s="273"/>
      <c r="AE672" s="9"/>
      <c r="AF672" s="273"/>
      <c r="AG672" s="273"/>
      <c r="AH672" s="9"/>
      <c r="AI672" s="273"/>
      <c r="AJ672" s="273"/>
      <c r="AK672" s="9"/>
      <c r="AL672" s="273"/>
      <c r="AM672" s="273"/>
      <c r="AN672" s="9"/>
      <c r="AO672" s="273"/>
      <c r="AP672" s="273"/>
      <c r="AQ672" s="9"/>
      <c r="AR672" s="273"/>
      <c r="AS672" s="39"/>
    </row>
    <row r="673" spans="1:45" ht="12.75">
      <c r="A673" s="160"/>
      <c r="B673" s="273"/>
      <c r="C673" s="273"/>
      <c r="D673" s="273"/>
      <c r="E673" s="273"/>
      <c r="F673" s="273"/>
      <c r="G673" s="273"/>
      <c r="H673" s="273"/>
      <c r="I673" s="2"/>
      <c r="J673" s="17"/>
      <c r="K673" s="10"/>
      <c r="L673" s="10"/>
      <c r="M673" s="10"/>
      <c r="N673" s="10"/>
      <c r="O673" s="10"/>
      <c r="P673" s="10"/>
      <c r="Q673" s="10"/>
      <c r="R673" s="2"/>
      <c r="S673" s="273"/>
      <c r="T673" s="273"/>
      <c r="U673" s="273"/>
      <c r="V673" s="9"/>
      <c r="W673" s="273"/>
      <c r="X673" s="273"/>
      <c r="Y673" s="9"/>
      <c r="Z673" s="273"/>
      <c r="AA673" s="273"/>
      <c r="AB673" s="9"/>
      <c r="AC673" s="273"/>
      <c r="AD673" s="273"/>
      <c r="AE673" s="9"/>
      <c r="AF673" s="273"/>
      <c r="AG673" s="273"/>
      <c r="AH673" s="9"/>
      <c r="AI673" s="273"/>
      <c r="AJ673" s="273"/>
      <c r="AK673" s="9"/>
      <c r="AL673" s="273"/>
      <c r="AM673" s="273"/>
      <c r="AN673" s="9"/>
      <c r="AO673" s="273"/>
      <c r="AP673" s="273"/>
      <c r="AQ673" s="9"/>
      <c r="AR673" s="273"/>
      <c r="AS673" s="39"/>
    </row>
    <row r="674" spans="1:45" ht="12.75">
      <c r="A674" s="160"/>
      <c r="B674" s="273"/>
      <c r="C674" s="273"/>
      <c r="D674" s="273"/>
      <c r="E674" s="273"/>
      <c r="F674" s="273"/>
      <c r="G674" s="273"/>
      <c r="H674" s="273"/>
      <c r="I674" s="2"/>
      <c r="J674" s="17"/>
      <c r="K674" s="10"/>
      <c r="L674" s="10"/>
      <c r="M674" s="10"/>
      <c r="N674" s="10"/>
      <c r="O674" s="10"/>
      <c r="P674" s="10"/>
      <c r="Q674" s="10"/>
      <c r="R674" s="2"/>
      <c r="S674" s="273"/>
      <c r="T674" s="273"/>
      <c r="U674" s="273"/>
      <c r="V674" s="9"/>
      <c r="W674" s="273"/>
      <c r="X674" s="273"/>
      <c r="Y674" s="9"/>
      <c r="Z674" s="273"/>
      <c r="AA674" s="273"/>
      <c r="AB674" s="9"/>
      <c r="AC674" s="273"/>
      <c r="AD674" s="273"/>
      <c r="AE674" s="9"/>
      <c r="AF674" s="273"/>
      <c r="AG674" s="273"/>
      <c r="AH674" s="9"/>
      <c r="AI674" s="273"/>
      <c r="AJ674" s="273"/>
      <c r="AK674" s="9"/>
      <c r="AL674" s="273"/>
      <c r="AM674" s="273"/>
      <c r="AN674" s="9"/>
      <c r="AO674" s="273"/>
      <c r="AP674" s="273"/>
      <c r="AQ674" s="9"/>
      <c r="AR674" s="273"/>
      <c r="AS674" s="39"/>
    </row>
    <row r="675" spans="1:45" ht="12.75">
      <c r="A675" s="160"/>
      <c r="B675" s="273"/>
      <c r="C675" s="273"/>
      <c r="D675" s="273"/>
      <c r="E675" s="273"/>
      <c r="F675" s="273"/>
      <c r="G675" s="273"/>
      <c r="H675" s="273"/>
      <c r="I675" s="2"/>
      <c r="J675" s="17"/>
      <c r="K675" s="10"/>
      <c r="L675" s="10"/>
      <c r="M675" s="10"/>
      <c r="N675" s="10"/>
      <c r="O675" s="10"/>
      <c r="P675" s="10"/>
      <c r="Q675" s="10"/>
      <c r="R675" s="2"/>
      <c r="S675" s="273"/>
      <c r="T675" s="273"/>
      <c r="U675" s="273"/>
      <c r="V675" s="9"/>
      <c r="W675" s="273"/>
      <c r="X675" s="273"/>
      <c r="Y675" s="9"/>
      <c r="Z675" s="273"/>
      <c r="AA675" s="273"/>
      <c r="AB675" s="9"/>
      <c r="AC675" s="273"/>
      <c r="AD675" s="273"/>
      <c r="AE675" s="9"/>
      <c r="AF675" s="273"/>
      <c r="AG675" s="273"/>
      <c r="AH675" s="9"/>
      <c r="AI675" s="273"/>
      <c r="AJ675" s="273"/>
      <c r="AK675" s="9"/>
      <c r="AL675" s="273"/>
      <c r="AM675" s="273"/>
      <c r="AN675" s="9"/>
      <c r="AO675" s="273"/>
      <c r="AP675" s="273"/>
      <c r="AQ675" s="9"/>
      <c r="AR675" s="273"/>
      <c r="AS675" s="39"/>
    </row>
    <row r="676" spans="1:45" ht="12.75">
      <c r="A676" s="160"/>
      <c r="B676" s="273"/>
      <c r="C676" s="273"/>
      <c r="D676" s="273"/>
      <c r="E676" s="273"/>
      <c r="F676" s="273"/>
      <c r="G676" s="273"/>
      <c r="H676" s="273"/>
      <c r="I676" s="2"/>
      <c r="J676" s="17"/>
      <c r="K676" s="10"/>
      <c r="L676" s="10"/>
      <c r="M676" s="10"/>
      <c r="N676" s="10"/>
      <c r="O676" s="10"/>
      <c r="P676" s="10"/>
      <c r="Q676" s="10"/>
      <c r="R676" s="2"/>
      <c r="S676" s="273"/>
      <c r="T676" s="273"/>
      <c r="U676" s="273"/>
      <c r="V676" s="9"/>
      <c r="W676" s="273"/>
      <c r="X676" s="273"/>
      <c r="Y676" s="9"/>
      <c r="Z676" s="273"/>
      <c r="AA676" s="273"/>
      <c r="AB676" s="9"/>
      <c r="AC676" s="273"/>
      <c r="AD676" s="273"/>
      <c r="AE676" s="9"/>
      <c r="AF676" s="273"/>
      <c r="AG676" s="273"/>
      <c r="AH676" s="9"/>
      <c r="AI676" s="273"/>
      <c r="AJ676" s="273"/>
      <c r="AK676" s="9"/>
      <c r="AL676" s="273"/>
      <c r="AM676" s="273"/>
      <c r="AN676" s="9"/>
      <c r="AO676" s="273"/>
      <c r="AP676" s="273"/>
      <c r="AQ676" s="9"/>
      <c r="AR676" s="273"/>
      <c r="AS676" s="39"/>
    </row>
    <row r="677" spans="1:45" ht="12.75">
      <c r="A677" s="160"/>
      <c r="B677" s="273"/>
      <c r="C677" s="273"/>
      <c r="D677" s="273"/>
      <c r="E677" s="273"/>
      <c r="F677" s="273"/>
      <c r="G677" s="273"/>
      <c r="H677" s="273"/>
      <c r="I677" s="2"/>
      <c r="J677" s="17"/>
      <c r="K677" s="10"/>
      <c r="L677" s="10"/>
      <c r="M677" s="10"/>
      <c r="N677" s="10"/>
      <c r="O677" s="10"/>
      <c r="P677" s="10"/>
      <c r="Q677" s="10"/>
      <c r="R677" s="2"/>
      <c r="S677" s="273"/>
      <c r="T677" s="273"/>
      <c r="U677" s="273"/>
      <c r="V677" s="9"/>
      <c r="W677" s="273"/>
      <c r="X677" s="273"/>
      <c r="Y677" s="9"/>
      <c r="Z677" s="273"/>
      <c r="AA677" s="273"/>
      <c r="AB677" s="9"/>
      <c r="AC677" s="273"/>
      <c r="AD677" s="273"/>
      <c r="AE677" s="9"/>
      <c r="AF677" s="273"/>
      <c r="AG677" s="273"/>
      <c r="AH677" s="9"/>
      <c r="AI677" s="273"/>
      <c r="AJ677" s="273"/>
      <c r="AK677" s="9"/>
      <c r="AL677" s="273"/>
      <c r="AM677" s="273"/>
      <c r="AN677" s="9"/>
      <c r="AO677" s="273"/>
      <c r="AP677" s="273"/>
      <c r="AQ677" s="9"/>
      <c r="AR677" s="273"/>
      <c r="AS677" s="39"/>
    </row>
    <row r="678" spans="1:45" ht="12.75">
      <c r="A678" s="160"/>
      <c r="B678" s="273"/>
      <c r="C678" s="273"/>
      <c r="D678" s="273"/>
      <c r="E678" s="273"/>
      <c r="F678" s="273"/>
      <c r="G678" s="273"/>
      <c r="H678" s="273"/>
      <c r="I678" s="2"/>
      <c r="J678" s="17"/>
      <c r="K678" s="10"/>
      <c r="L678" s="10"/>
      <c r="M678" s="10"/>
      <c r="N678" s="10"/>
      <c r="O678" s="10"/>
      <c r="P678" s="10"/>
      <c r="Q678" s="10"/>
      <c r="R678" s="2"/>
      <c r="S678" s="273"/>
      <c r="T678" s="273"/>
      <c r="U678" s="273"/>
      <c r="V678" s="9"/>
      <c r="W678" s="273"/>
      <c r="X678" s="273"/>
      <c r="Y678" s="9"/>
      <c r="Z678" s="273"/>
      <c r="AA678" s="273"/>
      <c r="AB678" s="9"/>
      <c r="AC678" s="273"/>
      <c r="AD678" s="273"/>
      <c r="AE678" s="9"/>
      <c r="AF678" s="273"/>
      <c r="AG678" s="273"/>
      <c r="AH678" s="9"/>
      <c r="AI678" s="273"/>
      <c r="AJ678" s="273"/>
      <c r="AK678" s="9"/>
      <c r="AL678" s="273"/>
      <c r="AM678" s="273"/>
      <c r="AN678" s="9"/>
      <c r="AO678" s="273"/>
      <c r="AP678" s="273"/>
      <c r="AQ678" s="9"/>
      <c r="AR678" s="273"/>
      <c r="AS678" s="39"/>
    </row>
    <row r="679" spans="1:45" ht="12.75">
      <c r="A679" s="160"/>
      <c r="B679" s="273"/>
      <c r="C679" s="273"/>
      <c r="D679" s="273"/>
      <c r="E679" s="273"/>
      <c r="F679" s="273"/>
      <c r="G679" s="273"/>
      <c r="H679" s="273"/>
      <c r="I679" s="2"/>
      <c r="J679" s="17"/>
      <c r="K679" s="10"/>
      <c r="L679" s="10"/>
      <c r="M679" s="10"/>
      <c r="N679" s="10"/>
      <c r="O679" s="10"/>
      <c r="P679" s="10"/>
      <c r="Q679" s="10"/>
      <c r="R679" s="2"/>
      <c r="S679" s="273"/>
      <c r="T679" s="273"/>
      <c r="U679" s="273"/>
      <c r="V679" s="9"/>
      <c r="W679" s="273"/>
      <c r="X679" s="273"/>
      <c r="Y679" s="9"/>
      <c r="Z679" s="273"/>
      <c r="AA679" s="273"/>
      <c r="AB679" s="9"/>
      <c r="AC679" s="273"/>
      <c r="AD679" s="273"/>
      <c r="AE679" s="9"/>
      <c r="AF679" s="273"/>
      <c r="AG679" s="273"/>
      <c r="AH679" s="9"/>
      <c r="AI679" s="273"/>
      <c r="AJ679" s="273"/>
      <c r="AK679" s="9"/>
      <c r="AL679" s="273"/>
      <c r="AM679" s="273"/>
      <c r="AN679" s="9"/>
      <c r="AO679" s="273"/>
      <c r="AP679" s="273"/>
      <c r="AQ679" s="9"/>
      <c r="AR679" s="273"/>
      <c r="AS679" s="39"/>
    </row>
    <row r="680" spans="1:45" ht="12.75">
      <c r="A680" s="160"/>
      <c r="B680" s="273"/>
      <c r="C680" s="273"/>
      <c r="D680" s="273"/>
      <c r="E680" s="273"/>
      <c r="F680" s="273"/>
      <c r="G680" s="273"/>
      <c r="H680" s="273"/>
      <c r="I680" s="2"/>
      <c r="J680" s="17"/>
      <c r="K680" s="10"/>
      <c r="L680" s="10"/>
      <c r="M680" s="10"/>
      <c r="N680" s="10"/>
      <c r="O680" s="10"/>
      <c r="P680" s="10"/>
      <c r="Q680" s="10"/>
      <c r="R680" s="2"/>
      <c r="S680" s="273"/>
      <c r="T680" s="273"/>
      <c r="U680" s="273"/>
      <c r="V680" s="9"/>
      <c r="W680" s="273"/>
      <c r="X680" s="273"/>
      <c r="Y680" s="9"/>
      <c r="Z680" s="273"/>
      <c r="AA680" s="273"/>
      <c r="AB680" s="9"/>
      <c r="AC680" s="273"/>
      <c r="AD680" s="273"/>
      <c r="AE680" s="9"/>
      <c r="AF680" s="273"/>
      <c r="AG680" s="273"/>
      <c r="AH680" s="9"/>
      <c r="AI680" s="273"/>
      <c r="AJ680" s="273"/>
      <c r="AK680" s="9"/>
      <c r="AL680" s="273"/>
      <c r="AM680" s="273"/>
      <c r="AN680" s="9"/>
      <c r="AO680" s="273"/>
      <c r="AP680" s="273"/>
      <c r="AQ680" s="9"/>
      <c r="AR680" s="273"/>
      <c r="AS680" s="39"/>
    </row>
    <row r="681" spans="1:45" ht="12.75">
      <c r="A681" s="160"/>
      <c r="B681" s="273"/>
      <c r="C681" s="273"/>
      <c r="D681" s="273"/>
      <c r="E681" s="273"/>
      <c r="F681" s="273"/>
      <c r="G681" s="273"/>
      <c r="H681" s="273"/>
      <c r="I681" s="2"/>
      <c r="J681" s="17"/>
      <c r="K681" s="10"/>
      <c r="L681" s="10"/>
      <c r="M681" s="10"/>
      <c r="N681" s="10"/>
      <c r="O681" s="10"/>
      <c r="P681" s="10"/>
      <c r="Q681" s="10"/>
      <c r="R681" s="2"/>
      <c r="S681" s="273"/>
      <c r="T681" s="273"/>
      <c r="U681" s="273"/>
      <c r="V681" s="9"/>
      <c r="W681" s="273"/>
      <c r="X681" s="273"/>
      <c r="Y681" s="9"/>
      <c r="Z681" s="273"/>
      <c r="AA681" s="273"/>
      <c r="AB681" s="9"/>
      <c r="AC681" s="273"/>
      <c r="AD681" s="273"/>
      <c r="AE681" s="9"/>
      <c r="AF681" s="273"/>
      <c r="AG681" s="273"/>
      <c r="AH681" s="9"/>
      <c r="AI681" s="273"/>
      <c r="AJ681" s="273"/>
      <c r="AK681" s="9"/>
      <c r="AL681" s="273"/>
      <c r="AM681" s="273"/>
      <c r="AN681" s="9"/>
      <c r="AO681" s="273"/>
      <c r="AP681" s="273"/>
      <c r="AQ681" s="9"/>
      <c r="AR681" s="273"/>
      <c r="AS681" s="39"/>
    </row>
    <row r="682" spans="1:45" ht="12.75">
      <c r="A682" s="160"/>
      <c r="B682" s="273"/>
      <c r="C682" s="273"/>
      <c r="D682" s="273"/>
      <c r="E682" s="273"/>
      <c r="F682" s="273"/>
      <c r="G682" s="273"/>
      <c r="H682" s="273"/>
      <c r="I682" s="2"/>
      <c r="J682" s="17"/>
      <c r="K682" s="10"/>
      <c r="L682" s="10"/>
      <c r="M682" s="10"/>
      <c r="N682" s="10"/>
      <c r="O682" s="10"/>
      <c r="P682" s="10"/>
      <c r="Q682" s="10"/>
      <c r="R682" s="2"/>
      <c r="S682" s="273"/>
      <c r="T682" s="273"/>
      <c r="U682" s="273"/>
      <c r="V682" s="9"/>
      <c r="W682" s="273"/>
      <c r="X682" s="273"/>
      <c r="Y682" s="9"/>
      <c r="Z682" s="273"/>
      <c r="AA682" s="273"/>
      <c r="AB682" s="9"/>
      <c r="AC682" s="273"/>
      <c r="AD682" s="273"/>
      <c r="AE682" s="9"/>
      <c r="AF682" s="273"/>
      <c r="AG682" s="273"/>
      <c r="AH682" s="9"/>
      <c r="AI682" s="273"/>
      <c r="AJ682" s="273"/>
      <c r="AK682" s="9"/>
      <c r="AL682" s="273"/>
      <c r="AM682" s="273"/>
      <c r="AN682" s="9"/>
      <c r="AO682" s="273"/>
      <c r="AP682" s="273"/>
      <c r="AQ682" s="9"/>
      <c r="AR682" s="273"/>
      <c r="AS682" s="39"/>
    </row>
    <row r="683" spans="1:45" ht="12.75">
      <c r="A683" s="160"/>
      <c r="B683" s="273"/>
      <c r="C683" s="273"/>
      <c r="D683" s="273"/>
      <c r="E683" s="273"/>
      <c r="F683" s="273"/>
      <c r="G683" s="273"/>
      <c r="H683" s="273"/>
      <c r="I683" s="2"/>
      <c r="J683" s="17"/>
      <c r="K683" s="10"/>
      <c r="L683" s="10"/>
      <c r="M683" s="10"/>
      <c r="N683" s="10"/>
      <c r="O683" s="10"/>
      <c r="P683" s="10"/>
      <c r="Q683" s="10"/>
      <c r="R683" s="2"/>
      <c r="S683" s="273"/>
      <c r="T683" s="273"/>
      <c r="U683" s="273"/>
      <c r="V683" s="9"/>
      <c r="W683" s="273"/>
      <c r="X683" s="273"/>
      <c r="Y683" s="9"/>
      <c r="Z683" s="273"/>
      <c r="AA683" s="273"/>
      <c r="AB683" s="9"/>
      <c r="AC683" s="273"/>
      <c r="AD683" s="273"/>
      <c r="AE683" s="9"/>
      <c r="AF683" s="273"/>
      <c r="AG683" s="273"/>
      <c r="AH683" s="9"/>
      <c r="AI683" s="273"/>
      <c r="AJ683" s="273"/>
      <c r="AK683" s="9"/>
      <c r="AL683" s="273"/>
      <c r="AM683" s="273"/>
      <c r="AN683" s="9"/>
      <c r="AO683" s="273"/>
      <c r="AP683" s="273"/>
      <c r="AQ683" s="9"/>
      <c r="AR683" s="273"/>
      <c r="AS683" s="39"/>
    </row>
    <row r="684" spans="1:45" ht="12.75">
      <c r="A684" s="160"/>
      <c r="B684" s="273"/>
      <c r="C684" s="273"/>
      <c r="D684" s="273"/>
      <c r="E684" s="273"/>
      <c r="F684" s="273"/>
      <c r="G684" s="273"/>
      <c r="H684" s="273"/>
      <c r="I684" s="2"/>
      <c r="J684" s="17"/>
      <c r="K684" s="10"/>
      <c r="L684" s="10"/>
      <c r="M684" s="10"/>
      <c r="N684" s="10"/>
      <c r="O684" s="10"/>
      <c r="P684" s="10"/>
      <c r="Q684" s="10"/>
      <c r="R684" s="2"/>
      <c r="S684" s="273"/>
      <c r="T684" s="273"/>
      <c r="U684" s="273"/>
      <c r="V684" s="9"/>
      <c r="W684" s="273"/>
      <c r="X684" s="273"/>
      <c r="Y684" s="9"/>
      <c r="Z684" s="273"/>
      <c r="AA684" s="273"/>
      <c r="AB684" s="9"/>
      <c r="AC684" s="273"/>
      <c r="AD684" s="273"/>
      <c r="AE684" s="9"/>
      <c r="AF684" s="273"/>
      <c r="AG684" s="273"/>
      <c r="AH684" s="9"/>
      <c r="AI684" s="273"/>
      <c r="AJ684" s="273"/>
      <c r="AK684" s="9"/>
      <c r="AL684" s="273"/>
      <c r="AM684" s="273"/>
      <c r="AN684" s="9"/>
      <c r="AO684" s="273"/>
      <c r="AP684" s="273"/>
      <c r="AQ684" s="9"/>
      <c r="AR684" s="273"/>
      <c r="AS684" s="39"/>
    </row>
    <row r="685" spans="1:45" ht="12.75">
      <c r="A685" s="160"/>
      <c r="B685" s="273"/>
      <c r="C685" s="273"/>
      <c r="D685" s="273"/>
      <c r="E685" s="273"/>
      <c r="F685" s="273"/>
      <c r="G685" s="273"/>
      <c r="H685" s="273"/>
      <c r="I685" s="2"/>
      <c r="J685" s="17"/>
      <c r="K685" s="10"/>
      <c r="L685" s="10"/>
      <c r="M685" s="10"/>
      <c r="N685" s="10"/>
      <c r="O685" s="10"/>
      <c r="P685" s="10"/>
      <c r="Q685" s="10"/>
      <c r="R685" s="2"/>
      <c r="S685" s="273"/>
      <c r="T685" s="273"/>
      <c r="U685" s="273"/>
      <c r="V685" s="9"/>
      <c r="W685" s="273"/>
      <c r="X685" s="273"/>
      <c r="Y685" s="9"/>
      <c r="Z685" s="273"/>
      <c r="AA685" s="273"/>
      <c r="AB685" s="9"/>
      <c r="AC685" s="273"/>
      <c r="AD685" s="273"/>
      <c r="AE685" s="9"/>
      <c r="AF685" s="273"/>
      <c r="AG685" s="273"/>
      <c r="AH685" s="9"/>
      <c r="AI685" s="273"/>
      <c r="AJ685" s="273"/>
      <c r="AK685" s="9"/>
      <c r="AL685" s="273"/>
      <c r="AM685" s="273"/>
      <c r="AN685" s="9"/>
      <c r="AO685" s="273"/>
      <c r="AP685" s="273"/>
      <c r="AQ685" s="9"/>
      <c r="AR685" s="273"/>
      <c r="AS685" s="39"/>
    </row>
    <row r="686" spans="1:45" ht="12.75">
      <c r="A686" s="160"/>
      <c r="B686" s="273"/>
      <c r="C686" s="273"/>
      <c r="D686" s="273"/>
      <c r="E686" s="273"/>
      <c r="F686" s="273"/>
      <c r="G686" s="273"/>
      <c r="H686" s="273"/>
      <c r="I686" s="2"/>
      <c r="J686" s="17"/>
      <c r="K686" s="10"/>
      <c r="L686" s="10"/>
      <c r="M686" s="10"/>
      <c r="N686" s="10"/>
      <c r="O686" s="10"/>
      <c r="P686" s="10"/>
      <c r="Q686" s="10"/>
      <c r="R686" s="2"/>
      <c r="S686" s="273"/>
      <c r="T686" s="273"/>
      <c r="U686" s="273"/>
      <c r="V686" s="9"/>
      <c r="W686" s="273"/>
      <c r="X686" s="273"/>
      <c r="Y686" s="9"/>
      <c r="Z686" s="273"/>
      <c r="AA686" s="273"/>
      <c r="AB686" s="9"/>
      <c r="AC686" s="273"/>
      <c r="AD686" s="273"/>
      <c r="AE686" s="9"/>
      <c r="AF686" s="273"/>
      <c r="AG686" s="273"/>
      <c r="AH686" s="9"/>
      <c r="AI686" s="273"/>
      <c r="AJ686" s="273"/>
      <c r="AK686" s="9"/>
      <c r="AL686" s="273"/>
      <c r="AM686" s="273"/>
      <c r="AN686" s="9"/>
      <c r="AO686" s="273"/>
      <c r="AP686" s="273"/>
      <c r="AQ686" s="9"/>
      <c r="AR686" s="273"/>
      <c r="AS686" s="39"/>
    </row>
    <row r="687" spans="1:45" ht="12.75">
      <c r="A687" s="160"/>
      <c r="B687" s="273"/>
      <c r="C687" s="273"/>
      <c r="D687" s="273"/>
      <c r="E687" s="273"/>
      <c r="F687" s="273"/>
      <c r="G687" s="273"/>
      <c r="H687" s="273"/>
      <c r="I687" s="2"/>
      <c r="J687" s="17"/>
      <c r="K687" s="10"/>
      <c r="L687" s="10"/>
      <c r="M687" s="10"/>
      <c r="N687" s="10"/>
      <c r="O687" s="10"/>
      <c r="P687" s="10"/>
      <c r="Q687" s="10"/>
      <c r="R687" s="2"/>
      <c r="S687" s="273"/>
      <c r="T687" s="273"/>
      <c r="U687" s="273"/>
      <c r="V687" s="9"/>
      <c r="W687" s="273"/>
      <c r="X687" s="273"/>
      <c r="Y687" s="9"/>
      <c r="Z687" s="273"/>
      <c r="AA687" s="273"/>
      <c r="AB687" s="9"/>
      <c r="AC687" s="273"/>
      <c r="AD687" s="273"/>
      <c r="AE687" s="9"/>
      <c r="AF687" s="273"/>
      <c r="AG687" s="273"/>
      <c r="AH687" s="9"/>
      <c r="AI687" s="273"/>
      <c r="AJ687" s="273"/>
      <c r="AK687" s="9"/>
      <c r="AL687" s="273"/>
      <c r="AM687" s="273"/>
      <c r="AN687" s="9"/>
      <c r="AO687" s="273"/>
      <c r="AP687" s="273"/>
      <c r="AQ687" s="9"/>
      <c r="AR687" s="273"/>
      <c r="AS687" s="39"/>
    </row>
    <row r="688" spans="1:45" ht="12.75">
      <c r="A688" s="160"/>
      <c r="B688" s="273"/>
      <c r="C688" s="273"/>
      <c r="D688" s="273"/>
      <c r="E688" s="273"/>
      <c r="F688" s="273"/>
      <c r="G688" s="273"/>
      <c r="H688" s="273"/>
      <c r="I688" s="2"/>
      <c r="J688" s="17"/>
      <c r="K688" s="10"/>
      <c r="L688" s="10"/>
      <c r="M688" s="10"/>
      <c r="N688" s="10"/>
      <c r="O688" s="10"/>
      <c r="P688" s="10"/>
      <c r="Q688" s="10"/>
      <c r="R688" s="2"/>
      <c r="S688" s="273"/>
      <c r="T688" s="273"/>
      <c r="U688" s="273"/>
      <c r="V688" s="9"/>
      <c r="W688" s="273"/>
      <c r="X688" s="273"/>
      <c r="Y688" s="9"/>
      <c r="Z688" s="273"/>
      <c r="AA688" s="273"/>
      <c r="AB688" s="9"/>
      <c r="AC688" s="273"/>
      <c r="AD688" s="273"/>
      <c r="AE688" s="9"/>
      <c r="AF688" s="273"/>
      <c r="AG688" s="273"/>
      <c r="AH688" s="9"/>
      <c r="AI688" s="273"/>
      <c r="AJ688" s="273"/>
      <c r="AK688" s="9"/>
      <c r="AL688" s="273"/>
      <c r="AM688" s="273"/>
      <c r="AN688" s="9"/>
      <c r="AO688" s="273"/>
      <c r="AP688" s="273"/>
      <c r="AQ688" s="9"/>
      <c r="AR688" s="273"/>
      <c r="AS688" s="39"/>
    </row>
    <row r="689" spans="1:45" ht="12.75">
      <c r="A689" s="160"/>
      <c r="B689" s="273"/>
      <c r="C689" s="273"/>
      <c r="D689" s="273"/>
      <c r="E689" s="273"/>
      <c r="F689" s="273"/>
      <c r="G689" s="273"/>
      <c r="H689" s="273"/>
      <c r="I689" s="2"/>
      <c r="J689" s="17"/>
      <c r="K689" s="10"/>
      <c r="L689" s="10"/>
      <c r="M689" s="10"/>
      <c r="N689" s="10"/>
      <c r="O689" s="10"/>
      <c r="P689" s="10"/>
      <c r="Q689" s="10"/>
      <c r="R689" s="2"/>
      <c r="S689" s="273"/>
      <c r="T689" s="273"/>
      <c r="U689" s="273"/>
      <c r="V689" s="9"/>
      <c r="W689" s="273"/>
      <c r="X689" s="273"/>
      <c r="Y689" s="9"/>
      <c r="Z689" s="273"/>
      <c r="AA689" s="273"/>
      <c r="AB689" s="9"/>
      <c r="AC689" s="273"/>
      <c r="AD689" s="273"/>
      <c r="AE689" s="9"/>
      <c r="AF689" s="273"/>
      <c r="AG689" s="273"/>
      <c r="AH689" s="9"/>
      <c r="AI689" s="273"/>
      <c r="AJ689" s="273"/>
      <c r="AK689" s="9"/>
      <c r="AL689" s="273"/>
      <c r="AM689" s="273"/>
      <c r="AN689" s="9"/>
      <c r="AO689" s="273"/>
      <c r="AP689" s="273"/>
      <c r="AQ689" s="9"/>
      <c r="AR689" s="273"/>
      <c r="AS689" s="39"/>
    </row>
    <row r="690" spans="1:45" ht="12.75">
      <c r="A690" s="160"/>
      <c r="B690" s="273"/>
      <c r="C690" s="273"/>
      <c r="D690" s="273"/>
      <c r="E690" s="273"/>
      <c r="F690" s="273"/>
      <c r="G690" s="273"/>
      <c r="H690" s="273"/>
      <c r="I690" s="2"/>
      <c r="J690" s="17"/>
      <c r="K690" s="10"/>
      <c r="L690" s="10"/>
      <c r="M690" s="10"/>
      <c r="N690" s="10"/>
      <c r="O690" s="10"/>
      <c r="P690" s="10"/>
      <c r="Q690" s="10"/>
      <c r="R690" s="2"/>
      <c r="S690" s="273"/>
      <c r="T690" s="273"/>
      <c r="U690" s="273"/>
      <c r="V690" s="9"/>
      <c r="W690" s="273"/>
      <c r="X690" s="273"/>
      <c r="Y690" s="9"/>
      <c r="Z690" s="273"/>
      <c r="AA690" s="273"/>
      <c r="AB690" s="9"/>
      <c r="AC690" s="273"/>
      <c r="AD690" s="273"/>
      <c r="AE690" s="9"/>
      <c r="AF690" s="273"/>
      <c r="AG690" s="273"/>
      <c r="AH690" s="9"/>
      <c r="AI690" s="273"/>
      <c r="AJ690" s="273"/>
      <c r="AK690" s="9"/>
      <c r="AL690" s="273"/>
      <c r="AM690" s="273"/>
      <c r="AN690" s="9"/>
      <c r="AO690" s="273"/>
      <c r="AP690" s="273"/>
      <c r="AQ690" s="9"/>
      <c r="AR690" s="273"/>
      <c r="AS690" s="39"/>
    </row>
    <row r="691" spans="1:45" ht="12.75">
      <c r="A691" s="160"/>
      <c r="B691" s="273"/>
      <c r="C691" s="273"/>
      <c r="D691" s="273"/>
      <c r="E691" s="273"/>
      <c r="F691" s="273"/>
      <c r="G691" s="273"/>
      <c r="H691" s="273"/>
      <c r="I691" s="2"/>
      <c r="J691" s="17"/>
      <c r="K691" s="10"/>
      <c r="L691" s="10"/>
      <c r="M691" s="10"/>
      <c r="N691" s="10"/>
      <c r="O691" s="10"/>
      <c r="P691" s="10"/>
      <c r="Q691" s="10"/>
      <c r="R691" s="2"/>
      <c r="S691" s="273"/>
      <c r="T691" s="273"/>
      <c r="U691" s="273"/>
      <c r="V691" s="9"/>
      <c r="W691" s="273"/>
      <c r="X691" s="273"/>
      <c r="Y691" s="9"/>
      <c r="Z691" s="273"/>
      <c r="AA691" s="273"/>
      <c r="AB691" s="9"/>
      <c r="AC691" s="273"/>
      <c r="AD691" s="273"/>
      <c r="AE691" s="9"/>
      <c r="AF691" s="273"/>
      <c r="AG691" s="273"/>
      <c r="AH691" s="9"/>
      <c r="AI691" s="273"/>
      <c r="AJ691" s="273"/>
      <c r="AK691" s="9"/>
      <c r="AL691" s="273"/>
      <c r="AM691" s="273"/>
      <c r="AN691" s="9"/>
      <c r="AO691" s="273"/>
      <c r="AP691" s="273"/>
      <c r="AQ691" s="9"/>
      <c r="AR691" s="273"/>
      <c r="AS691" s="39"/>
    </row>
    <row r="692" spans="1:45" ht="12.75">
      <c r="A692" s="160"/>
      <c r="B692" s="273"/>
      <c r="C692" s="273"/>
      <c r="D692" s="273"/>
      <c r="E692" s="273"/>
      <c r="F692" s="273"/>
      <c r="G692" s="273"/>
      <c r="H692" s="273"/>
      <c r="I692" s="2"/>
      <c r="J692" s="17"/>
      <c r="K692" s="10"/>
      <c r="L692" s="10"/>
      <c r="M692" s="10"/>
      <c r="N692" s="10"/>
      <c r="O692" s="10"/>
      <c r="P692" s="10"/>
      <c r="Q692" s="10"/>
      <c r="R692" s="2"/>
      <c r="S692" s="273"/>
      <c r="T692" s="273"/>
      <c r="U692" s="273"/>
      <c r="V692" s="9"/>
      <c r="W692" s="273"/>
      <c r="X692" s="273"/>
      <c r="Y692" s="9"/>
      <c r="Z692" s="273"/>
      <c r="AA692" s="273"/>
      <c r="AB692" s="9"/>
      <c r="AC692" s="273"/>
      <c r="AD692" s="273"/>
      <c r="AE692" s="9"/>
      <c r="AF692" s="273"/>
      <c r="AG692" s="273"/>
      <c r="AH692" s="9"/>
      <c r="AI692" s="273"/>
      <c r="AJ692" s="273"/>
      <c r="AK692" s="9"/>
      <c r="AL692" s="273"/>
      <c r="AM692" s="273"/>
      <c r="AN692" s="9"/>
      <c r="AO692" s="273"/>
      <c r="AP692" s="273"/>
      <c r="AQ692" s="9"/>
      <c r="AR692" s="273"/>
      <c r="AS692" s="39"/>
    </row>
    <row r="693" spans="1:45" ht="12.75">
      <c r="A693" s="160"/>
      <c r="B693" s="273"/>
      <c r="C693" s="273"/>
      <c r="D693" s="273"/>
      <c r="E693" s="273"/>
      <c r="F693" s="273"/>
      <c r="G693" s="273"/>
      <c r="H693" s="273"/>
      <c r="I693" s="2"/>
      <c r="J693" s="17"/>
      <c r="K693" s="10"/>
      <c r="L693" s="10"/>
      <c r="M693" s="10"/>
      <c r="N693" s="10"/>
      <c r="O693" s="10"/>
      <c r="P693" s="10"/>
      <c r="Q693" s="10"/>
      <c r="R693" s="2"/>
      <c r="S693" s="273"/>
      <c r="T693" s="273"/>
      <c r="U693" s="273"/>
      <c r="V693" s="9"/>
      <c r="W693" s="273"/>
      <c r="X693" s="273"/>
      <c r="Y693" s="9"/>
      <c r="Z693" s="273"/>
      <c r="AA693" s="273"/>
      <c r="AB693" s="9"/>
      <c r="AC693" s="273"/>
      <c r="AD693" s="273"/>
      <c r="AE693" s="9"/>
      <c r="AF693" s="273"/>
      <c r="AG693" s="273"/>
      <c r="AH693" s="9"/>
      <c r="AI693" s="273"/>
      <c r="AJ693" s="273"/>
      <c r="AK693" s="9"/>
      <c r="AL693" s="273"/>
      <c r="AM693" s="273"/>
      <c r="AN693" s="9"/>
      <c r="AO693" s="273"/>
      <c r="AP693" s="273"/>
      <c r="AQ693" s="9"/>
      <c r="AR693" s="273"/>
      <c r="AS693" s="39"/>
    </row>
    <row r="694" spans="1:45" ht="12.75">
      <c r="A694" s="160"/>
      <c r="B694" s="273"/>
      <c r="C694" s="273"/>
      <c r="D694" s="273"/>
      <c r="E694" s="273"/>
      <c r="F694" s="273"/>
      <c r="G694" s="273"/>
      <c r="H694" s="273"/>
      <c r="I694" s="2"/>
      <c r="J694" s="17"/>
      <c r="K694" s="10"/>
      <c r="L694" s="10"/>
      <c r="M694" s="10"/>
      <c r="N694" s="10"/>
      <c r="O694" s="10"/>
      <c r="P694" s="10"/>
      <c r="Q694" s="10"/>
      <c r="R694" s="2"/>
      <c r="S694" s="273"/>
      <c r="T694" s="273"/>
      <c r="U694" s="273"/>
      <c r="V694" s="9"/>
      <c r="W694" s="273"/>
      <c r="X694" s="273"/>
      <c r="Y694" s="9"/>
      <c r="Z694" s="273"/>
      <c r="AA694" s="273"/>
      <c r="AB694" s="9"/>
      <c r="AC694" s="273"/>
      <c r="AD694" s="273"/>
      <c r="AE694" s="9"/>
      <c r="AF694" s="273"/>
      <c r="AG694" s="273"/>
      <c r="AH694" s="9"/>
      <c r="AI694" s="273"/>
      <c r="AJ694" s="273"/>
      <c r="AK694" s="9"/>
      <c r="AL694" s="273"/>
      <c r="AM694" s="273"/>
      <c r="AN694" s="9"/>
      <c r="AO694" s="273"/>
      <c r="AP694" s="273"/>
      <c r="AQ694" s="9"/>
      <c r="AR694" s="273"/>
      <c r="AS694" s="39"/>
    </row>
    <row r="695" spans="1:45" ht="12.75">
      <c r="A695" s="160"/>
      <c r="B695" s="273"/>
      <c r="C695" s="273"/>
      <c r="D695" s="273"/>
      <c r="E695" s="273"/>
      <c r="F695" s="273"/>
      <c r="G695" s="273"/>
      <c r="H695" s="273"/>
      <c r="I695" s="2"/>
      <c r="J695" s="17"/>
      <c r="K695" s="10"/>
      <c r="L695" s="10"/>
      <c r="M695" s="10"/>
      <c r="N695" s="10"/>
      <c r="O695" s="10"/>
      <c r="P695" s="10"/>
      <c r="Q695" s="10"/>
      <c r="R695" s="2"/>
      <c r="S695" s="273"/>
      <c r="T695" s="273"/>
      <c r="U695" s="273"/>
      <c r="V695" s="9"/>
      <c r="W695" s="273"/>
      <c r="X695" s="273"/>
      <c r="Y695" s="9"/>
      <c r="Z695" s="273"/>
      <c r="AA695" s="273"/>
      <c r="AB695" s="9"/>
      <c r="AC695" s="273"/>
      <c r="AD695" s="273"/>
      <c r="AE695" s="9"/>
      <c r="AF695" s="273"/>
      <c r="AG695" s="273"/>
      <c r="AH695" s="9"/>
      <c r="AI695" s="273"/>
      <c r="AJ695" s="273"/>
      <c r="AK695" s="9"/>
      <c r="AL695" s="273"/>
      <c r="AM695" s="273"/>
      <c r="AN695" s="9"/>
      <c r="AO695" s="273"/>
      <c r="AP695" s="273"/>
      <c r="AQ695" s="9"/>
      <c r="AR695" s="273"/>
      <c r="AS695" s="39"/>
    </row>
    <row r="696" spans="1:45" ht="12.75">
      <c r="A696" s="160"/>
      <c r="B696" s="273"/>
      <c r="C696" s="273"/>
      <c r="D696" s="273"/>
      <c r="E696" s="273"/>
      <c r="F696" s="273"/>
      <c r="G696" s="273"/>
      <c r="H696" s="273"/>
      <c r="I696" s="2"/>
      <c r="J696" s="17"/>
      <c r="K696" s="10"/>
      <c r="L696" s="10"/>
      <c r="M696" s="10"/>
      <c r="N696" s="10"/>
      <c r="O696" s="10"/>
      <c r="P696" s="10"/>
      <c r="Q696" s="10"/>
      <c r="R696" s="2"/>
      <c r="S696" s="273"/>
      <c r="T696" s="273"/>
      <c r="U696" s="273"/>
      <c r="V696" s="9"/>
      <c r="W696" s="273"/>
      <c r="X696" s="273"/>
      <c r="Y696" s="9"/>
      <c r="Z696" s="273"/>
      <c r="AA696" s="273"/>
      <c r="AB696" s="9"/>
      <c r="AC696" s="273"/>
      <c r="AD696" s="273"/>
      <c r="AE696" s="9"/>
      <c r="AF696" s="273"/>
      <c r="AG696" s="273"/>
      <c r="AH696" s="9"/>
      <c r="AI696" s="273"/>
      <c r="AJ696" s="273"/>
      <c r="AK696" s="9"/>
      <c r="AL696" s="273"/>
      <c r="AM696" s="273"/>
      <c r="AN696" s="9"/>
      <c r="AO696" s="273"/>
      <c r="AP696" s="273"/>
      <c r="AQ696" s="9"/>
      <c r="AR696" s="273"/>
      <c r="AS696" s="39"/>
    </row>
    <row r="697" spans="1:45" ht="12.75">
      <c r="A697" s="160"/>
      <c r="B697" s="273"/>
      <c r="C697" s="273"/>
      <c r="D697" s="273"/>
      <c r="E697" s="273"/>
      <c r="F697" s="273"/>
      <c r="G697" s="273"/>
      <c r="H697" s="273"/>
      <c r="I697" s="2"/>
      <c r="J697" s="17"/>
      <c r="K697" s="10"/>
      <c r="L697" s="10"/>
      <c r="M697" s="10"/>
      <c r="N697" s="10"/>
      <c r="O697" s="10"/>
      <c r="P697" s="10"/>
      <c r="Q697" s="10"/>
      <c r="R697" s="2"/>
      <c r="S697" s="273"/>
      <c r="T697" s="273"/>
      <c r="U697" s="273"/>
      <c r="V697" s="9"/>
      <c r="W697" s="273"/>
      <c r="X697" s="273"/>
      <c r="Y697" s="9"/>
      <c r="Z697" s="273"/>
      <c r="AA697" s="273"/>
      <c r="AB697" s="9"/>
      <c r="AC697" s="273"/>
      <c r="AD697" s="273"/>
      <c r="AE697" s="9"/>
      <c r="AF697" s="273"/>
      <c r="AG697" s="273"/>
      <c r="AH697" s="9"/>
      <c r="AI697" s="273"/>
      <c r="AJ697" s="273"/>
      <c r="AK697" s="9"/>
      <c r="AL697" s="273"/>
      <c r="AM697" s="273"/>
      <c r="AN697" s="9"/>
      <c r="AO697" s="273"/>
      <c r="AP697" s="273"/>
      <c r="AQ697" s="9"/>
      <c r="AR697" s="273"/>
      <c r="AS697" s="39"/>
    </row>
    <row r="698" spans="1:45" ht="12.75">
      <c r="A698" s="160"/>
      <c r="B698" s="273"/>
      <c r="C698" s="273"/>
      <c r="D698" s="273"/>
      <c r="E698" s="273"/>
      <c r="F698" s="273"/>
      <c r="G698" s="273"/>
      <c r="H698" s="273"/>
      <c r="I698" s="2"/>
      <c r="J698" s="17"/>
      <c r="K698" s="10"/>
      <c r="L698" s="10"/>
      <c r="M698" s="10"/>
      <c r="N698" s="10"/>
      <c r="O698" s="10"/>
      <c r="P698" s="10"/>
      <c r="Q698" s="10"/>
      <c r="R698" s="2"/>
      <c r="S698" s="273"/>
      <c r="T698" s="273"/>
      <c r="U698" s="273"/>
      <c r="V698" s="9"/>
      <c r="W698" s="273"/>
      <c r="X698" s="273"/>
      <c r="Y698" s="9"/>
      <c r="Z698" s="273"/>
      <c r="AA698" s="273"/>
      <c r="AB698" s="9"/>
      <c r="AC698" s="273"/>
      <c r="AD698" s="273"/>
      <c r="AE698" s="9"/>
      <c r="AF698" s="273"/>
      <c r="AG698" s="273"/>
      <c r="AH698" s="9"/>
      <c r="AI698" s="273"/>
      <c r="AJ698" s="273"/>
      <c r="AK698" s="9"/>
      <c r="AL698" s="273"/>
      <c r="AM698" s="273"/>
      <c r="AN698" s="9"/>
      <c r="AO698" s="273"/>
      <c r="AP698" s="273"/>
      <c r="AQ698" s="9"/>
      <c r="AR698" s="273"/>
      <c r="AS698" s="39"/>
    </row>
    <row r="699" spans="1:45" ht="12.75">
      <c r="A699" s="160"/>
      <c r="B699" s="273"/>
      <c r="C699" s="273"/>
      <c r="D699" s="273"/>
      <c r="E699" s="273"/>
      <c r="F699" s="273"/>
      <c r="G699" s="273"/>
      <c r="H699" s="273"/>
      <c r="I699" s="2"/>
      <c r="J699" s="17"/>
      <c r="K699" s="10"/>
      <c r="L699" s="10"/>
      <c r="M699" s="10"/>
      <c r="N699" s="10"/>
      <c r="O699" s="10"/>
      <c r="P699" s="10"/>
      <c r="Q699" s="10"/>
      <c r="R699" s="2"/>
      <c r="S699" s="273"/>
      <c r="T699" s="273"/>
      <c r="U699" s="273"/>
      <c r="V699" s="9"/>
      <c r="W699" s="273"/>
      <c r="X699" s="273"/>
      <c r="Y699" s="9"/>
      <c r="Z699" s="273"/>
      <c r="AA699" s="273"/>
      <c r="AB699" s="9"/>
      <c r="AC699" s="273"/>
      <c r="AD699" s="273"/>
      <c r="AE699" s="9"/>
      <c r="AF699" s="273"/>
      <c r="AG699" s="273"/>
      <c r="AH699" s="9"/>
      <c r="AI699" s="273"/>
      <c r="AJ699" s="273"/>
      <c r="AK699" s="9"/>
      <c r="AL699" s="273"/>
      <c r="AM699" s="273"/>
      <c r="AN699" s="9"/>
      <c r="AO699" s="273"/>
      <c r="AP699" s="273"/>
      <c r="AQ699" s="9"/>
      <c r="AR699" s="273"/>
      <c r="AS699" s="39"/>
    </row>
    <row r="700" spans="1:45" ht="12.75">
      <c r="A700" s="160"/>
      <c r="B700" s="273"/>
      <c r="C700" s="273"/>
      <c r="D700" s="273"/>
      <c r="E700" s="273"/>
      <c r="F700" s="273"/>
      <c r="G700" s="273"/>
      <c r="H700" s="273"/>
      <c r="I700" s="2"/>
      <c r="J700" s="17"/>
      <c r="K700" s="10"/>
      <c r="L700" s="10"/>
      <c r="M700" s="10"/>
      <c r="N700" s="10"/>
      <c r="O700" s="10"/>
      <c r="P700" s="10"/>
      <c r="Q700" s="10"/>
      <c r="R700" s="2"/>
      <c r="S700" s="273"/>
      <c r="T700" s="273"/>
      <c r="U700" s="273"/>
      <c r="V700" s="9"/>
      <c r="W700" s="273"/>
      <c r="X700" s="273"/>
      <c r="Y700" s="9"/>
      <c r="Z700" s="273"/>
      <c r="AA700" s="273"/>
      <c r="AB700" s="9"/>
      <c r="AC700" s="273"/>
      <c r="AD700" s="273"/>
      <c r="AE700" s="9"/>
      <c r="AF700" s="273"/>
      <c r="AG700" s="273"/>
      <c r="AH700" s="9"/>
      <c r="AI700" s="273"/>
      <c r="AJ700" s="273"/>
      <c r="AK700" s="9"/>
      <c r="AL700" s="273"/>
      <c r="AM700" s="273"/>
      <c r="AN700" s="9"/>
      <c r="AO700" s="273"/>
      <c r="AP700" s="273"/>
      <c r="AQ700" s="9"/>
      <c r="AR700" s="273"/>
      <c r="AS700" s="39"/>
    </row>
    <row r="701" spans="1:45" ht="12.75">
      <c r="A701" s="160"/>
      <c r="B701" s="273"/>
      <c r="C701" s="273"/>
      <c r="D701" s="273"/>
      <c r="E701" s="273"/>
      <c r="F701" s="273"/>
      <c r="G701" s="273"/>
      <c r="H701" s="273"/>
      <c r="I701" s="2"/>
      <c r="J701" s="17"/>
      <c r="K701" s="10"/>
      <c r="L701" s="10"/>
      <c r="M701" s="10"/>
      <c r="N701" s="10"/>
      <c r="O701" s="10"/>
      <c r="P701" s="10"/>
      <c r="Q701" s="10"/>
      <c r="R701" s="2"/>
      <c r="S701" s="273"/>
      <c r="T701" s="273"/>
      <c r="U701" s="273"/>
      <c r="V701" s="9"/>
      <c r="W701" s="273"/>
      <c r="X701" s="273"/>
      <c r="Y701" s="9"/>
      <c r="Z701" s="273"/>
      <c r="AA701" s="273"/>
      <c r="AB701" s="9"/>
      <c r="AC701" s="273"/>
      <c r="AD701" s="273"/>
      <c r="AE701" s="9"/>
      <c r="AF701" s="273"/>
      <c r="AG701" s="273"/>
      <c r="AH701" s="9"/>
      <c r="AI701" s="273"/>
      <c r="AJ701" s="273"/>
      <c r="AK701" s="9"/>
      <c r="AL701" s="273"/>
      <c r="AM701" s="273"/>
      <c r="AN701" s="9"/>
      <c r="AO701" s="273"/>
      <c r="AP701" s="273"/>
      <c r="AQ701" s="9"/>
      <c r="AR701" s="273"/>
      <c r="AS701" s="39"/>
    </row>
    <row r="702" spans="1:45" ht="12.75">
      <c r="A702" s="160"/>
      <c r="B702" s="273"/>
      <c r="C702" s="273"/>
      <c r="D702" s="273"/>
      <c r="E702" s="273"/>
      <c r="F702" s="273"/>
      <c r="G702" s="273"/>
      <c r="H702" s="273"/>
      <c r="I702" s="2"/>
      <c r="J702" s="17"/>
      <c r="K702" s="10"/>
      <c r="L702" s="10"/>
      <c r="M702" s="10"/>
      <c r="N702" s="10"/>
      <c r="O702" s="10"/>
      <c r="P702" s="10"/>
      <c r="Q702" s="10"/>
      <c r="R702" s="2"/>
      <c r="S702" s="273"/>
      <c r="T702" s="273"/>
      <c r="U702" s="273"/>
      <c r="V702" s="9"/>
      <c r="W702" s="273"/>
      <c r="X702" s="273"/>
      <c r="Y702" s="9"/>
      <c r="Z702" s="273"/>
      <c r="AA702" s="273"/>
      <c r="AB702" s="9"/>
      <c r="AC702" s="273"/>
      <c r="AD702" s="273"/>
      <c r="AE702" s="9"/>
      <c r="AF702" s="273"/>
      <c r="AG702" s="273"/>
      <c r="AH702" s="9"/>
      <c r="AI702" s="273"/>
      <c r="AJ702" s="273"/>
      <c r="AK702" s="9"/>
      <c r="AL702" s="273"/>
      <c r="AM702" s="273"/>
      <c r="AN702" s="9"/>
      <c r="AO702" s="273"/>
      <c r="AP702" s="273"/>
      <c r="AQ702" s="9"/>
      <c r="AR702" s="273"/>
      <c r="AS702" s="39"/>
    </row>
    <row r="703" spans="1:45" ht="12.75">
      <c r="A703" s="160"/>
      <c r="B703" s="273"/>
      <c r="C703" s="273"/>
      <c r="D703" s="273"/>
      <c r="E703" s="273"/>
      <c r="F703" s="273"/>
      <c r="G703" s="273"/>
      <c r="H703" s="273"/>
      <c r="I703" s="2"/>
      <c r="J703" s="17"/>
      <c r="K703" s="10"/>
      <c r="L703" s="10"/>
      <c r="M703" s="10"/>
      <c r="N703" s="10"/>
      <c r="O703" s="10"/>
      <c r="P703" s="10"/>
      <c r="Q703" s="10"/>
      <c r="R703" s="2"/>
      <c r="S703" s="273"/>
      <c r="T703" s="273"/>
      <c r="U703" s="273"/>
      <c r="V703" s="9"/>
      <c r="W703" s="273"/>
      <c r="X703" s="273"/>
      <c r="Y703" s="9"/>
      <c r="Z703" s="273"/>
      <c r="AA703" s="273"/>
      <c r="AB703" s="9"/>
      <c r="AC703" s="273"/>
      <c r="AD703" s="273"/>
      <c r="AE703" s="9"/>
      <c r="AF703" s="273"/>
      <c r="AG703" s="273"/>
      <c r="AH703" s="9"/>
      <c r="AI703" s="273"/>
      <c r="AJ703" s="273"/>
      <c r="AK703" s="9"/>
      <c r="AL703" s="273"/>
      <c r="AM703" s="273"/>
      <c r="AN703" s="9"/>
      <c r="AO703" s="273"/>
      <c r="AP703" s="273"/>
      <c r="AQ703" s="9"/>
      <c r="AR703" s="273"/>
      <c r="AS703" s="39"/>
    </row>
    <row r="704" spans="1:45" ht="12.75">
      <c r="A704" s="160"/>
      <c r="B704" s="273"/>
      <c r="C704" s="273"/>
      <c r="D704" s="273"/>
      <c r="E704" s="273"/>
      <c r="F704" s="273"/>
      <c r="G704" s="273"/>
      <c r="H704" s="273"/>
      <c r="I704" s="2"/>
      <c r="J704" s="17"/>
      <c r="K704" s="10"/>
      <c r="L704" s="10"/>
      <c r="M704" s="10"/>
      <c r="N704" s="10"/>
      <c r="O704" s="10"/>
      <c r="P704" s="10"/>
      <c r="Q704" s="10"/>
      <c r="R704" s="2"/>
      <c r="S704" s="273"/>
      <c r="T704" s="273"/>
      <c r="U704" s="273"/>
      <c r="V704" s="9"/>
      <c r="W704" s="273"/>
      <c r="X704" s="273"/>
      <c r="Y704" s="9"/>
      <c r="Z704" s="273"/>
      <c r="AA704" s="273"/>
      <c r="AB704" s="9"/>
      <c r="AC704" s="273"/>
      <c r="AD704" s="273"/>
      <c r="AE704" s="9"/>
      <c r="AF704" s="273"/>
      <c r="AG704" s="273"/>
      <c r="AH704" s="9"/>
      <c r="AI704" s="273"/>
      <c r="AJ704" s="273"/>
      <c r="AK704" s="9"/>
      <c r="AL704" s="273"/>
      <c r="AM704" s="273"/>
      <c r="AN704" s="9"/>
      <c r="AO704" s="273"/>
      <c r="AP704" s="273"/>
      <c r="AQ704" s="9"/>
      <c r="AR704" s="273"/>
      <c r="AS704" s="39"/>
    </row>
    <row r="705" spans="1:45" ht="12.75">
      <c r="A705" s="160"/>
      <c r="B705" s="273"/>
      <c r="C705" s="273"/>
      <c r="D705" s="273"/>
      <c r="E705" s="273"/>
      <c r="F705" s="273"/>
      <c r="G705" s="273"/>
      <c r="H705" s="273"/>
      <c r="I705" s="2"/>
      <c r="J705" s="17"/>
      <c r="K705" s="10"/>
      <c r="L705" s="10"/>
      <c r="M705" s="10"/>
      <c r="N705" s="10"/>
      <c r="O705" s="10"/>
      <c r="P705" s="10"/>
      <c r="Q705" s="10"/>
      <c r="R705" s="2"/>
      <c r="S705" s="273"/>
      <c r="T705" s="273"/>
      <c r="U705" s="273"/>
      <c r="V705" s="9"/>
      <c r="W705" s="273"/>
      <c r="X705" s="273"/>
      <c r="Y705" s="9"/>
      <c r="Z705" s="273"/>
      <c r="AA705" s="273"/>
      <c r="AB705" s="9"/>
      <c r="AC705" s="273"/>
      <c r="AD705" s="273"/>
      <c r="AE705" s="9"/>
      <c r="AF705" s="273"/>
      <c r="AG705" s="273"/>
      <c r="AH705" s="9"/>
      <c r="AI705" s="273"/>
      <c r="AJ705" s="273"/>
      <c r="AK705" s="9"/>
      <c r="AL705" s="273"/>
      <c r="AM705" s="273"/>
      <c r="AN705" s="9"/>
      <c r="AO705" s="273"/>
      <c r="AP705" s="273"/>
      <c r="AQ705" s="9"/>
      <c r="AR705" s="273"/>
      <c r="AS705" s="39"/>
    </row>
    <row r="706" spans="1:45" ht="12.75">
      <c r="A706" s="160"/>
      <c r="B706" s="273"/>
      <c r="C706" s="273"/>
      <c r="D706" s="273"/>
      <c r="E706" s="273"/>
      <c r="F706" s="273"/>
      <c r="G706" s="273"/>
      <c r="H706" s="273"/>
      <c r="I706" s="2"/>
      <c r="J706" s="17"/>
      <c r="K706" s="10"/>
      <c r="L706" s="10"/>
      <c r="M706" s="10"/>
      <c r="N706" s="10"/>
      <c r="O706" s="10"/>
      <c r="P706" s="10"/>
      <c r="Q706" s="10"/>
      <c r="R706" s="2"/>
      <c r="S706" s="273"/>
      <c r="T706" s="273"/>
      <c r="U706" s="273"/>
      <c r="V706" s="9"/>
      <c r="W706" s="273"/>
      <c r="X706" s="273"/>
      <c r="Y706" s="9"/>
      <c r="Z706" s="273"/>
      <c r="AA706" s="273"/>
      <c r="AB706" s="9"/>
      <c r="AC706" s="273"/>
      <c r="AD706" s="273"/>
      <c r="AE706" s="9"/>
      <c r="AF706" s="273"/>
      <c r="AG706" s="273"/>
      <c r="AH706" s="9"/>
      <c r="AI706" s="273"/>
      <c r="AJ706" s="273"/>
      <c r="AK706" s="9"/>
      <c r="AL706" s="273"/>
      <c r="AM706" s="273"/>
      <c r="AN706" s="9"/>
      <c r="AO706" s="273"/>
      <c r="AP706" s="273"/>
      <c r="AQ706" s="9"/>
      <c r="AR706" s="273"/>
      <c r="AS706" s="39"/>
    </row>
    <row r="707" spans="1:45" ht="12.75">
      <c r="A707" s="160"/>
      <c r="B707" s="273"/>
      <c r="C707" s="273"/>
      <c r="D707" s="273"/>
      <c r="E707" s="273"/>
      <c r="F707" s="273"/>
      <c r="G707" s="273"/>
      <c r="H707" s="273"/>
      <c r="I707" s="2"/>
      <c r="J707" s="17"/>
      <c r="K707" s="10"/>
      <c r="L707" s="10"/>
      <c r="M707" s="10"/>
      <c r="N707" s="10"/>
      <c r="O707" s="10"/>
      <c r="P707" s="10"/>
      <c r="Q707" s="10"/>
      <c r="R707" s="2"/>
      <c r="S707" s="273"/>
      <c r="T707" s="273"/>
      <c r="U707" s="273"/>
      <c r="V707" s="9"/>
      <c r="W707" s="273"/>
      <c r="X707" s="273"/>
      <c r="Y707" s="9"/>
      <c r="Z707" s="273"/>
      <c r="AA707" s="273"/>
      <c r="AB707" s="9"/>
      <c r="AC707" s="273"/>
      <c r="AD707" s="273"/>
      <c r="AE707" s="9"/>
      <c r="AF707" s="273"/>
      <c r="AG707" s="273"/>
      <c r="AH707" s="9"/>
      <c r="AI707" s="273"/>
      <c r="AJ707" s="273"/>
      <c r="AK707" s="9"/>
      <c r="AL707" s="273"/>
      <c r="AM707" s="273"/>
      <c r="AN707" s="9"/>
      <c r="AO707" s="273"/>
      <c r="AP707" s="273"/>
      <c r="AQ707" s="9"/>
      <c r="AR707" s="273"/>
      <c r="AS707" s="39"/>
    </row>
    <row r="708" spans="1:45" ht="12.75">
      <c r="A708" s="160"/>
      <c r="B708" s="273"/>
      <c r="C708" s="273"/>
      <c r="D708" s="273"/>
      <c r="E708" s="273"/>
      <c r="F708" s="273"/>
      <c r="G708" s="273"/>
      <c r="H708" s="273"/>
      <c r="I708" s="2"/>
      <c r="J708" s="17"/>
      <c r="K708" s="10"/>
      <c r="L708" s="10"/>
      <c r="M708" s="10"/>
      <c r="N708" s="10"/>
      <c r="O708" s="10"/>
      <c r="P708" s="10"/>
      <c r="Q708" s="10"/>
      <c r="R708" s="2"/>
      <c r="S708" s="273"/>
      <c r="T708" s="273"/>
      <c r="U708" s="273"/>
      <c r="V708" s="9"/>
      <c r="W708" s="273"/>
      <c r="X708" s="273"/>
      <c r="Y708" s="9"/>
      <c r="Z708" s="273"/>
      <c r="AA708" s="273"/>
      <c r="AB708" s="9"/>
      <c r="AC708" s="273"/>
      <c r="AD708" s="273"/>
      <c r="AE708" s="9"/>
      <c r="AF708" s="273"/>
      <c r="AG708" s="273"/>
      <c r="AH708" s="9"/>
      <c r="AI708" s="273"/>
      <c r="AJ708" s="273"/>
      <c r="AK708" s="9"/>
      <c r="AL708" s="273"/>
      <c r="AM708" s="273"/>
      <c r="AN708" s="9"/>
      <c r="AO708" s="273"/>
      <c r="AP708" s="273"/>
      <c r="AQ708" s="9"/>
      <c r="AR708" s="273"/>
      <c r="AS708" s="39"/>
    </row>
    <row r="709" spans="1:45" ht="12.75">
      <c r="A709" s="160"/>
      <c r="B709" s="273"/>
      <c r="C709" s="273"/>
      <c r="D709" s="273"/>
      <c r="E709" s="273"/>
      <c r="F709" s="273"/>
      <c r="G709" s="273"/>
      <c r="H709" s="273"/>
      <c r="I709" s="2"/>
      <c r="J709" s="17"/>
      <c r="K709" s="10"/>
      <c r="L709" s="10"/>
      <c r="M709" s="10"/>
      <c r="N709" s="10"/>
      <c r="O709" s="10"/>
      <c r="P709" s="10"/>
      <c r="Q709" s="10"/>
      <c r="R709" s="2"/>
      <c r="S709" s="273"/>
      <c r="T709" s="273"/>
      <c r="U709" s="273"/>
      <c r="V709" s="9"/>
      <c r="W709" s="273"/>
      <c r="X709" s="273"/>
      <c r="Y709" s="9"/>
      <c r="Z709" s="273"/>
      <c r="AA709" s="273"/>
      <c r="AB709" s="9"/>
      <c r="AC709" s="273"/>
      <c r="AD709" s="273"/>
      <c r="AE709" s="9"/>
      <c r="AF709" s="273"/>
      <c r="AG709" s="273"/>
      <c r="AH709" s="9"/>
      <c r="AI709" s="273"/>
      <c r="AJ709" s="273"/>
      <c r="AK709" s="9"/>
      <c r="AL709" s="273"/>
      <c r="AM709" s="273"/>
      <c r="AN709" s="9"/>
      <c r="AO709" s="273"/>
      <c r="AP709" s="273"/>
      <c r="AQ709" s="9"/>
      <c r="AR709" s="273"/>
      <c r="AS709" s="39"/>
    </row>
    <row r="710" spans="1:45" ht="12.75">
      <c r="A710" s="160"/>
      <c r="B710" s="273"/>
      <c r="C710" s="273"/>
      <c r="D710" s="273"/>
      <c r="E710" s="273"/>
      <c r="F710" s="273"/>
      <c r="G710" s="273"/>
      <c r="H710" s="273"/>
      <c r="I710" s="2"/>
      <c r="J710" s="17"/>
      <c r="K710" s="10"/>
      <c r="L710" s="10"/>
      <c r="M710" s="10"/>
      <c r="N710" s="10"/>
      <c r="O710" s="10"/>
      <c r="P710" s="10"/>
      <c r="Q710" s="10"/>
      <c r="R710" s="2"/>
      <c r="S710" s="273"/>
      <c r="T710" s="273"/>
      <c r="U710" s="273"/>
      <c r="V710" s="9"/>
      <c r="W710" s="273"/>
      <c r="X710" s="273"/>
      <c r="Y710" s="9"/>
      <c r="Z710" s="273"/>
      <c r="AA710" s="273"/>
      <c r="AB710" s="9"/>
      <c r="AC710" s="273"/>
      <c r="AD710" s="273"/>
      <c r="AE710" s="9"/>
      <c r="AF710" s="273"/>
      <c r="AG710" s="273"/>
      <c r="AH710" s="9"/>
      <c r="AI710" s="273"/>
      <c r="AJ710" s="273"/>
      <c r="AK710" s="9"/>
      <c r="AL710" s="273"/>
      <c r="AM710" s="273"/>
      <c r="AN710" s="9"/>
      <c r="AO710" s="273"/>
      <c r="AP710" s="273"/>
      <c r="AQ710" s="9"/>
      <c r="AR710" s="273"/>
      <c r="AS710" s="39"/>
    </row>
    <row r="711" spans="1:45" ht="12.75">
      <c r="A711" s="160"/>
      <c r="B711" s="273"/>
      <c r="C711" s="273"/>
      <c r="D711" s="273"/>
      <c r="E711" s="273"/>
      <c r="F711" s="273"/>
      <c r="G711" s="273"/>
      <c r="H711" s="273"/>
      <c r="I711" s="2"/>
      <c r="J711" s="17"/>
      <c r="K711" s="10"/>
      <c r="L711" s="10"/>
      <c r="M711" s="10"/>
      <c r="N711" s="10"/>
      <c r="O711" s="10"/>
      <c r="P711" s="10"/>
      <c r="Q711" s="10"/>
      <c r="R711" s="2"/>
      <c r="S711" s="273"/>
      <c r="T711" s="273"/>
      <c r="U711" s="273"/>
      <c r="V711" s="9"/>
      <c r="W711" s="273"/>
      <c r="X711" s="273"/>
      <c r="Y711" s="9"/>
      <c r="Z711" s="273"/>
      <c r="AA711" s="273"/>
      <c r="AB711" s="9"/>
      <c r="AC711" s="273"/>
      <c r="AD711" s="273"/>
      <c r="AE711" s="9"/>
      <c r="AF711" s="273"/>
      <c r="AG711" s="273"/>
      <c r="AH711" s="9"/>
      <c r="AI711" s="273"/>
      <c r="AJ711" s="273"/>
      <c r="AK711" s="9"/>
      <c r="AL711" s="273"/>
      <c r="AM711" s="273"/>
      <c r="AN711" s="9"/>
      <c r="AO711" s="273"/>
      <c r="AP711" s="273"/>
      <c r="AQ711" s="9"/>
      <c r="AR711" s="273"/>
      <c r="AS711" s="39"/>
    </row>
    <row r="712" spans="1:45" ht="12.75">
      <c r="A712" s="160"/>
      <c r="B712" s="273"/>
      <c r="C712" s="273"/>
      <c r="D712" s="273"/>
      <c r="E712" s="273"/>
      <c r="F712" s="273"/>
      <c r="G712" s="273"/>
      <c r="H712" s="273"/>
      <c r="I712" s="2"/>
      <c r="J712" s="17"/>
      <c r="K712" s="10"/>
      <c r="L712" s="10"/>
      <c r="M712" s="10"/>
      <c r="N712" s="10"/>
      <c r="O712" s="10"/>
      <c r="P712" s="10"/>
      <c r="Q712" s="10"/>
      <c r="R712" s="2"/>
      <c r="S712" s="273"/>
      <c r="T712" s="273"/>
      <c r="U712" s="273"/>
      <c r="V712" s="9"/>
      <c r="W712" s="273"/>
      <c r="X712" s="273"/>
      <c r="Y712" s="9"/>
      <c r="Z712" s="273"/>
      <c r="AA712" s="273"/>
      <c r="AB712" s="9"/>
      <c r="AC712" s="273"/>
      <c r="AD712" s="273"/>
      <c r="AE712" s="9"/>
      <c r="AF712" s="273"/>
      <c r="AG712" s="273"/>
      <c r="AH712" s="9"/>
      <c r="AI712" s="273"/>
      <c r="AJ712" s="273"/>
      <c r="AK712" s="9"/>
      <c r="AL712" s="273"/>
      <c r="AM712" s="273"/>
      <c r="AN712" s="9"/>
      <c r="AO712" s="273"/>
      <c r="AP712" s="273"/>
      <c r="AQ712" s="9"/>
      <c r="AR712" s="273"/>
      <c r="AS712" s="39"/>
    </row>
    <row r="713" spans="1:45" ht="12.75">
      <c r="A713" s="160"/>
      <c r="B713" s="273"/>
      <c r="C713" s="273"/>
      <c r="D713" s="273"/>
      <c r="E713" s="273"/>
      <c r="F713" s="273"/>
      <c r="G713" s="273"/>
      <c r="H713" s="273"/>
      <c r="I713" s="2"/>
      <c r="J713" s="17"/>
      <c r="K713" s="10"/>
      <c r="L713" s="10"/>
      <c r="M713" s="10"/>
      <c r="N713" s="10"/>
      <c r="O713" s="10"/>
      <c r="P713" s="10"/>
      <c r="Q713" s="10"/>
      <c r="R713" s="2"/>
      <c r="S713" s="273"/>
      <c r="T713" s="273"/>
      <c r="U713" s="273"/>
      <c r="V713" s="9"/>
      <c r="W713" s="273"/>
      <c r="X713" s="273"/>
      <c r="Y713" s="9"/>
      <c r="Z713" s="273"/>
      <c r="AA713" s="273"/>
      <c r="AB713" s="9"/>
      <c r="AC713" s="273"/>
      <c r="AD713" s="273"/>
      <c r="AE713" s="9"/>
      <c r="AF713" s="273"/>
      <c r="AG713" s="273"/>
      <c r="AH713" s="9"/>
      <c r="AI713" s="273"/>
      <c r="AJ713" s="273"/>
      <c r="AK713" s="9"/>
      <c r="AL713" s="273"/>
      <c r="AM713" s="273"/>
      <c r="AN713" s="9"/>
      <c r="AO713" s="273"/>
      <c r="AP713" s="273"/>
      <c r="AQ713" s="9"/>
      <c r="AR713" s="273"/>
      <c r="AS713" s="39"/>
    </row>
    <row r="714" spans="1:45" ht="12.75">
      <c r="A714" s="160"/>
      <c r="B714" s="273"/>
      <c r="C714" s="273"/>
      <c r="D714" s="273"/>
      <c r="E714" s="273"/>
      <c r="F714" s="273"/>
      <c r="G714" s="273"/>
      <c r="H714" s="273"/>
      <c r="I714" s="2"/>
      <c r="J714" s="17"/>
      <c r="K714" s="10"/>
      <c r="L714" s="10"/>
      <c r="M714" s="10"/>
      <c r="N714" s="10"/>
      <c r="O714" s="10"/>
      <c r="P714" s="10"/>
      <c r="Q714" s="10"/>
      <c r="R714" s="2"/>
      <c r="S714" s="273"/>
      <c r="T714" s="273"/>
      <c r="U714" s="273"/>
      <c r="V714" s="9"/>
      <c r="W714" s="273"/>
      <c r="X714" s="273"/>
      <c r="Y714" s="9"/>
      <c r="Z714" s="273"/>
      <c r="AA714" s="273"/>
      <c r="AB714" s="9"/>
      <c r="AC714" s="273"/>
      <c r="AD714" s="273"/>
      <c r="AE714" s="9"/>
      <c r="AF714" s="273"/>
      <c r="AG714" s="273"/>
      <c r="AH714" s="9"/>
      <c r="AI714" s="273"/>
      <c r="AJ714" s="273"/>
      <c r="AK714" s="9"/>
      <c r="AL714" s="273"/>
      <c r="AM714" s="273"/>
      <c r="AN714" s="9"/>
      <c r="AO714" s="273"/>
      <c r="AP714" s="273"/>
      <c r="AQ714" s="9"/>
      <c r="AR714" s="273"/>
      <c r="AS714" s="39"/>
    </row>
    <row r="715" spans="1:45" ht="12.75">
      <c r="A715" s="160"/>
      <c r="B715" s="273"/>
      <c r="C715" s="273"/>
      <c r="D715" s="273"/>
      <c r="E715" s="273"/>
      <c r="F715" s="273"/>
      <c r="G715" s="273"/>
      <c r="H715" s="273"/>
      <c r="I715" s="2"/>
      <c r="J715" s="17"/>
      <c r="K715" s="10"/>
      <c r="L715" s="10"/>
      <c r="M715" s="10"/>
      <c r="N715" s="10"/>
      <c r="O715" s="10"/>
      <c r="P715" s="10"/>
      <c r="Q715" s="10"/>
      <c r="R715" s="2"/>
      <c r="S715" s="273"/>
      <c r="T715" s="273"/>
      <c r="U715" s="273"/>
      <c r="V715" s="9"/>
      <c r="W715" s="273"/>
      <c r="X715" s="273"/>
      <c r="Y715" s="9"/>
      <c r="Z715" s="273"/>
      <c r="AA715" s="273"/>
      <c r="AB715" s="9"/>
      <c r="AC715" s="273"/>
      <c r="AD715" s="273"/>
      <c r="AE715" s="9"/>
      <c r="AF715" s="273"/>
      <c r="AG715" s="273"/>
      <c r="AH715" s="9"/>
      <c r="AI715" s="273"/>
      <c r="AJ715" s="273"/>
      <c r="AK715" s="9"/>
      <c r="AL715" s="273"/>
      <c r="AM715" s="273"/>
      <c r="AN715" s="9"/>
      <c r="AO715" s="273"/>
      <c r="AP715" s="273"/>
      <c r="AQ715" s="9"/>
      <c r="AR715" s="273"/>
      <c r="AS715" s="39"/>
    </row>
    <row r="716" spans="1:45" ht="12.75">
      <c r="A716" s="160"/>
      <c r="B716" s="273"/>
      <c r="C716" s="273"/>
      <c r="D716" s="273"/>
      <c r="E716" s="273"/>
      <c r="F716" s="273"/>
      <c r="G716" s="273"/>
      <c r="H716" s="273"/>
      <c r="I716" s="2"/>
      <c r="J716" s="17"/>
      <c r="K716" s="10"/>
      <c r="L716" s="10"/>
      <c r="M716" s="10"/>
      <c r="N716" s="10"/>
      <c r="O716" s="10"/>
      <c r="P716" s="10"/>
      <c r="Q716" s="10"/>
      <c r="R716" s="2"/>
      <c r="S716" s="273"/>
      <c r="T716" s="273"/>
      <c r="U716" s="273"/>
      <c r="V716" s="9"/>
      <c r="W716" s="273"/>
      <c r="X716" s="273"/>
      <c r="Y716" s="9"/>
      <c r="Z716" s="273"/>
      <c r="AA716" s="273"/>
      <c r="AB716" s="9"/>
      <c r="AC716" s="273"/>
      <c r="AD716" s="273"/>
      <c r="AE716" s="9"/>
      <c r="AF716" s="273"/>
      <c r="AG716" s="273"/>
      <c r="AH716" s="9"/>
      <c r="AI716" s="273"/>
      <c r="AJ716" s="273"/>
      <c r="AK716" s="9"/>
      <c r="AL716" s="273"/>
      <c r="AM716" s="273"/>
      <c r="AN716" s="9"/>
      <c r="AO716" s="273"/>
      <c r="AP716" s="273"/>
      <c r="AQ716" s="9"/>
      <c r="AR716" s="273"/>
      <c r="AS716" s="39"/>
    </row>
    <row r="717" spans="1:45" ht="12.75">
      <c r="A717" s="160"/>
      <c r="B717" s="273"/>
      <c r="C717" s="273"/>
      <c r="D717" s="273"/>
      <c r="E717" s="273"/>
      <c r="F717" s="273"/>
      <c r="G717" s="273"/>
      <c r="H717" s="273"/>
      <c r="I717" s="2"/>
      <c r="J717" s="17"/>
      <c r="K717" s="10"/>
      <c r="L717" s="10"/>
      <c r="M717" s="10"/>
      <c r="N717" s="10"/>
      <c r="O717" s="10"/>
      <c r="P717" s="10"/>
      <c r="Q717" s="10"/>
      <c r="R717" s="2"/>
      <c r="S717" s="273"/>
      <c r="T717" s="273"/>
      <c r="U717" s="273"/>
      <c r="V717" s="9"/>
      <c r="W717" s="273"/>
      <c r="X717" s="273"/>
      <c r="Y717" s="9"/>
      <c r="Z717" s="273"/>
      <c r="AA717" s="273"/>
      <c r="AB717" s="9"/>
      <c r="AC717" s="273"/>
      <c r="AD717" s="273"/>
      <c r="AE717" s="9"/>
      <c r="AF717" s="273"/>
      <c r="AG717" s="273"/>
      <c r="AH717" s="9"/>
      <c r="AI717" s="273"/>
      <c r="AJ717" s="273"/>
      <c r="AK717" s="9"/>
      <c r="AL717" s="273"/>
      <c r="AM717" s="273"/>
      <c r="AN717" s="9"/>
      <c r="AO717" s="273"/>
      <c r="AP717" s="273"/>
      <c r="AQ717" s="9"/>
      <c r="AR717" s="273"/>
      <c r="AS717" s="39"/>
    </row>
    <row r="718" spans="1:45" ht="12.75">
      <c r="A718" s="160"/>
      <c r="B718" s="273"/>
      <c r="C718" s="273"/>
      <c r="D718" s="273"/>
      <c r="E718" s="273"/>
      <c r="F718" s="273"/>
      <c r="G718" s="273"/>
      <c r="H718" s="273"/>
      <c r="I718" s="2"/>
      <c r="J718" s="17"/>
      <c r="K718" s="10"/>
      <c r="L718" s="10"/>
      <c r="M718" s="10"/>
      <c r="N718" s="10"/>
      <c r="O718" s="10"/>
      <c r="P718" s="10"/>
      <c r="Q718" s="10"/>
      <c r="R718" s="2"/>
      <c r="S718" s="273"/>
      <c r="T718" s="273"/>
      <c r="U718" s="273"/>
      <c r="V718" s="9"/>
      <c r="W718" s="273"/>
      <c r="X718" s="273"/>
      <c r="Y718" s="9"/>
      <c r="Z718" s="273"/>
      <c r="AA718" s="273"/>
      <c r="AB718" s="9"/>
      <c r="AC718" s="273"/>
      <c r="AD718" s="273"/>
      <c r="AE718" s="9"/>
      <c r="AF718" s="273"/>
      <c r="AG718" s="273"/>
      <c r="AH718" s="9"/>
      <c r="AI718" s="273"/>
      <c r="AJ718" s="273"/>
      <c r="AK718" s="9"/>
      <c r="AL718" s="273"/>
      <c r="AM718" s="273"/>
      <c r="AN718" s="9"/>
      <c r="AO718" s="273"/>
      <c r="AP718" s="273"/>
      <c r="AQ718" s="9"/>
      <c r="AR718" s="273"/>
      <c r="AS718" s="39"/>
    </row>
    <row r="719" spans="1:45" ht="12.75">
      <c r="A719" s="160"/>
      <c r="B719" s="273"/>
      <c r="C719" s="273"/>
      <c r="D719" s="273"/>
      <c r="E719" s="273"/>
      <c r="F719" s="273"/>
      <c r="G719" s="273"/>
      <c r="H719" s="273"/>
      <c r="I719" s="2"/>
      <c r="J719" s="17"/>
      <c r="K719" s="10"/>
      <c r="L719" s="10"/>
      <c r="M719" s="10"/>
      <c r="N719" s="10"/>
      <c r="O719" s="10"/>
      <c r="P719" s="10"/>
      <c r="Q719" s="10"/>
      <c r="R719" s="2"/>
      <c r="S719" s="273"/>
      <c r="T719" s="273"/>
      <c r="U719" s="273"/>
      <c r="V719" s="9"/>
      <c r="W719" s="273"/>
      <c r="X719" s="273"/>
      <c r="Y719" s="9"/>
      <c r="Z719" s="273"/>
      <c r="AA719" s="273"/>
      <c r="AB719" s="9"/>
      <c r="AC719" s="273"/>
      <c r="AD719" s="273"/>
      <c r="AE719" s="9"/>
      <c r="AF719" s="273"/>
      <c r="AG719" s="273"/>
      <c r="AH719" s="9"/>
      <c r="AI719" s="273"/>
      <c r="AJ719" s="273"/>
      <c r="AK719" s="9"/>
      <c r="AL719" s="273"/>
      <c r="AM719" s="273"/>
      <c r="AN719" s="9"/>
      <c r="AO719" s="273"/>
      <c r="AP719" s="273"/>
      <c r="AQ719" s="9"/>
      <c r="AR719" s="273"/>
      <c r="AS719" s="39"/>
    </row>
    <row r="720" spans="1:45" ht="12.75">
      <c r="A720" s="160"/>
      <c r="B720" s="273"/>
      <c r="C720" s="273"/>
      <c r="D720" s="273"/>
      <c r="E720" s="273"/>
      <c r="F720" s="273"/>
      <c r="G720" s="273"/>
      <c r="H720" s="273"/>
      <c r="I720" s="2"/>
      <c r="J720" s="17"/>
      <c r="K720" s="10"/>
      <c r="L720" s="10"/>
      <c r="M720" s="10"/>
      <c r="N720" s="10"/>
      <c r="O720" s="10"/>
      <c r="P720" s="10"/>
      <c r="Q720" s="10"/>
      <c r="R720" s="2"/>
      <c r="S720" s="273"/>
      <c r="T720" s="273"/>
      <c r="U720" s="273"/>
      <c r="V720" s="9"/>
      <c r="W720" s="273"/>
      <c r="X720" s="273"/>
      <c r="Y720" s="9"/>
      <c r="Z720" s="273"/>
      <c r="AA720" s="273"/>
      <c r="AB720" s="9"/>
      <c r="AC720" s="273"/>
      <c r="AD720" s="273"/>
      <c r="AE720" s="9"/>
      <c r="AF720" s="273"/>
      <c r="AG720" s="273"/>
      <c r="AH720" s="9"/>
      <c r="AI720" s="273"/>
      <c r="AJ720" s="273"/>
      <c r="AK720" s="9"/>
      <c r="AL720" s="273"/>
      <c r="AM720" s="273"/>
      <c r="AN720" s="9"/>
      <c r="AO720" s="273"/>
      <c r="AP720" s="273"/>
      <c r="AQ720" s="9"/>
      <c r="AR720" s="273"/>
      <c r="AS720" s="39"/>
    </row>
    <row r="721" spans="1:45" ht="12.75">
      <c r="A721" s="160"/>
      <c r="B721" s="273"/>
      <c r="C721" s="273"/>
      <c r="D721" s="273"/>
      <c r="E721" s="273"/>
      <c r="F721" s="273"/>
      <c r="G721" s="273"/>
      <c r="H721" s="273"/>
      <c r="I721" s="2"/>
      <c r="J721" s="17"/>
      <c r="K721" s="10"/>
      <c r="L721" s="10"/>
      <c r="M721" s="10"/>
      <c r="N721" s="10"/>
      <c r="O721" s="10"/>
      <c r="P721" s="10"/>
      <c r="Q721" s="10"/>
      <c r="R721" s="2"/>
      <c r="S721" s="273"/>
      <c r="T721" s="273"/>
      <c r="U721" s="273"/>
      <c r="V721" s="9"/>
      <c r="W721" s="273"/>
      <c r="X721" s="273"/>
      <c r="Y721" s="9"/>
      <c r="Z721" s="273"/>
      <c r="AA721" s="273"/>
      <c r="AB721" s="9"/>
      <c r="AC721" s="273"/>
      <c r="AD721" s="273"/>
      <c r="AE721" s="9"/>
      <c r="AF721" s="273"/>
      <c r="AG721" s="273"/>
      <c r="AH721" s="9"/>
      <c r="AI721" s="273"/>
      <c r="AJ721" s="273"/>
      <c r="AK721" s="9"/>
      <c r="AL721" s="273"/>
      <c r="AM721" s="273"/>
      <c r="AN721" s="9"/>
      <c r="AO721" s="273"/>
      <c r="AP721" s="273"/>
      <c r="AQ721" s="9"/>
      <c r="AR721" s="273"/>
      <c r="AS721" s="39"/>
    </row>
    <row r="722" spans="1:45" ht="12.75">
      <c r="A722" s="160"/>
      <c r="B722" s="273"/>
      <c r="C722" s="273"/>
      <c r="D722" s="273"/>
      <c r="E722" s="273"/>
      <c r="F722" s="273"/>
      <c r="G722" s="273"/>
      <c r="H722" s="273"/>
      <c r="I722" s="2"/>
      <c r="J722" s="17"/>
      <c r="K722" s="10"/>
      <c r="L722" s="10"/>
      <c r="M722" s="10"/>
      <c r="N722" s="10"/>
      <c r="O722" s="10"/>
      <c r="P722" s="10"/>
      <c r="Q722" s="10"/>
      <c r="R722" s="2"/>
      <c r="S722" s="273"/>
      <c r="T722" s="273"/>
      <c r="U722" s="273"/>
      <c r="V722" s="9"/>
      <c r="W722" s="273"/>
      <c r="X722" s="273"/>
      <c r="Y722" s="9"/>
      <c r="Z722" s="273"/>
      <c r="AA722" s="273"/>
      <c r="AB722" s="9"/>
      <c r="AC722" s="273"/>
      <c r="AD722" s="273"/>
      <c r="AE722" s="9"/>
      <c r="AF722" s="273"/>
      <c r="AG722" s="273"/>
      <c r="AH722" s="9"/>
      <c r="AI722" s="273"/>
      <c r="AJ722" s="273"/>
      <c r="AK722" s="9"/>
      <c r="AL722" s="273"/>
      <c r="AM722" s="273"/>
      <c r="AN722" s="9"/>
      <c r="AO722" s="273"/>
      <c r="AP722" s="273"/>
      <c r="AQ722" s="9"/>
      <c r="AR722" s="273"/>
      <c r="AS722" s="39"/>
    </row>
    <row r="723" spans="1:45" ht="12.75">
      <c r="A723" s="160"/>
      <c r="B723" s="273"/>
      <c r="C723" s="273"/>
      <c r="D723" s="273"/>
      <c r="E723" s="273"/>
      <c r="F723" s="273"/>
      <c r="G723" s="273"/>
      <c r="H723" s="273"/>
      <c r="I723" s="2"/>
      <c r="J723" s="17"/>
      <c r="K723" s="10"/>
      <c r="L723" s="10"/>
      <c r="M723" s="10"/>
      <c r="N723" s="10"/>
      <c r="O723" s="10"/>
      <c r="P723" s="10"/>
      <c r="Q723" s="10"/>
      <c r="R723" s="2"/>
      <c r="S723" s="273"/>
      <c r="T723" s="273"/>
      <c r="U723" s="273"/>
      <c r="V723" s="9"/>
      <c r="W723" s="273"/>
      <c r="X723" s="273"/>
      <c r="Y723" s="9"/>
      <c r="Z723" s="273"/>
      <c r="AA723" s="273"/>
      <c r="AB723" s="9"/>
      <c r="AC723" s="273"/>
      <c r="AD723" s="273"/>
      <c r="AE723" s="9"/>
      <c r="AF723" s="273"/>
      <c r="AG723" s="273"/>
      <c r="AH723" s="9"/>
      <c r="AI723" s="273"/>
      <c r="AJ723" s="273"/>
      <c r="AK723" s="9"/>
      <c r="AL723" s="273"/>
      <c r="AM723" s="273"/>
      <c r="AN723" s="9"/>
      <c r="AO723" s="273"/>
      <c r="AP723" s="273"/>
      <c r="AQ723" s="9"/>
      <c r="AR723" s="273"/>
      <c r="AS723" s="39"/>
    </row>
    <row r="724" spans="1:45" ht="12.75">
      <c r="A724" s="160"/>
      <c r="B724" s="273"/>
      <c r="C724" s="273"/>
      <c r="D724" s="273"/>
      <c r="E724" s="273"/>
      <c r="F724" s="273"/>
      <c r="G724" s="273"/>
      <c r="H724" s="273"/>
      <c r="I724" s="2"/>
      <c r="J724" s="17"/>
      <c r="K724" s="10"/>
      <c r="L724" s="10"/>
      <c r="M724" s="10"/>
      <c r="N724" s="10"/>
      <c r="O724" s="10"/>
      <c r="P724" s="10"/>
      <c r="Q724" s="10"/>
      <c r="R724" s="2"/>
      <c r="S724" s="273"/>
      <c r="T724" s="273"/>
      <c r="U724" s="273"/>
      <c r="V724" s="9"/>
      <c r="W724" s="273"/>
      <c r="X724" s="273"/>
      <c r="Y724" s="9"/>
      <c r="Z724" s="273"/>
      <c r="AA724" s="273"/>
      <c r="AB724" s="9"/>
      <c r="AC724" s="273"/>
      <c r="AD724" s="273"/>
      <c r="AE724" s="9"/>
      <c r="AF724" s="273"/>
      <c r="AG724" s="273"/>
      <c r="AH724" s="9"/>
      <c r="AI724" s="273"/>
      <c r="AJ724" s="273"/>
      <c r="AK724" s="9"/>
      <c r="AL724" s="273"/>
      <c r="AM724" s="273"/>
      <c r="AN724" s="9"/>
      <c r="AO724" s="273"/>
      <c r="AP724" s="273"/>
      <c r="AQ724" s="9"/>
      <c r="AR724" s="273"/>
      <c r="AS724" s="39"/>
    </row>
    <row r="725" spans="1:45" ht="12.75">
      <c r="A725" s="160"/>
      <c r="B725" s="273"/>
      <c r="C725" s="273"/>
      <c r="D725" s="273"/>
      <c r="E725" s="273"/>
      <c r="F725" s="273"/>
      <c r="G725" s="273"/>
      <c r="H725" s="273"/>
      <c r="I725" s="2"/>
      <c r="J725" s="17"/>
      <c r="K725" s="10"/>
      <c r="L725" s="10"/>
      <c r="M725" s="10"/>
      <c r="N725" s="10"/>
      <c r="O725" s="10"/>
      <c r="P725" s="10"/>
      <c r="Q725" s="10"/>
      <c r="R725" s="2"/>
      <c r="S725" s="273"/>
      <c r="T725" s="273"/>
      <c r="U725" s="273"/>
      <c r="V725" s="9"/>
      <c r="W725" s="273"/>
      <c r="X725" s="273"/>
      <c r="Y725" s="9"/>
      <c r="Z725" s="273"/>
      <c r="AA725" s="273"/>
      <c r="AB725" s="9"/>
      <c r="AC725" s="273"/>
      <c r="AD725" s="273"/>
      <c r="AE725" s="9"/>
      <c r="AF725" s="273"/>
      <c r="AG725" s="273"/>
      <c r="AH725" s="9"/>
      <c r="AI725" s="273"/>
      <c r="AJ725" s="273"/>
      <c r="AK725" s="9"/>
      <c r="AL725" s="273"/>
      <c r="AM725" s="273"/>
      <c r="AN725" s="9"/>
      <c r="AO725" s="273"/>
      <c r="AP725" s="273"/>
      <c r="AQ725" s="9"/>
      <c r="AR725" s="273"/>
      <c r="AS725" s="39"/>
    </row>
    <row r="726" spans="1:45" ht="12.75">
      <c r="A726" s="160"/>
      <c r="B726" s="273"/>
      <c r="C726" s="273"/>
      <c r="D726" s="273"/>
      <c r="E726" s="273"/>
      <c r="F726" s="273"/>
      <c r="G726" s="273"/>
      <c r="H726" s="273"/>
      <c r="I726" s="2"/>
      <c r="J726" s="17"/>
      <c r="K726" s="10"/>
      <c r="L726" s="10"/>
      <c r="M726" s="10"/>
      <c r="N726" s="10"/>
      <c r="O726" s="10"/>
      <c r="P726" s="10"/>
      <c r="Q726" s="10"/>
      <c r="R726" s="2"/>
      <c r="S726" s="273"/>
      <c r="T726" s="273"/>
      <c r="U726" s="273"/>
      <c r="V726" s="9"/>
      <c r="W726" s="273"/>
      <c r="X726" s="273"/>
      <c r="Y726" s="9"/>
      <c r="Z726" s="273"/>
      <c r="AA726" s="273"/>
      <c r="AB726" s="9"/>
      <c r="AC726" s="273"/>
      <c r="AD726" s="273"/>
      <c r="AE726" s="9"/>
      <c r="AF726" s="273"/>
      <c r="AG726" s="273"/>
      <c r="AH726" s="9"/>
      <c r="AI726" s="273"/>
      <c r="AJ726" s="273"/>
      <c r="AK726" s="9"/>
      <c r="AL726" s="273"/>
      <c r="AM726" s="273"/>
      <c r="AN726" s="9"/>
      <c r="AO726" s="273"/>
      <c r="AP726" s="273"/>
      <c r="AQ726" s="9"/>
      <c r="AR726" s="273"/>
      <c r="AS726" s="39"/>
    </row>
    <row r="727" spans="1:45" ht="12.75">
      <c r="A727" s="160"/>
      <c r="B727" s="273"/>
      <c r="C727" s="273"/>
      <c r="D727" s="273"/>
      <c r="E727" s="273"/>
      <c r="F727" s="273"/>
      <c r="G727" s="273"/>
      <c r="H727" s="273"/>
      <c r="I727" s="2"/>
      <c r="J727" s="17"/>
      <c r="K727" s="10"/>
      <c r="L727" s="10"/>
      <c r="M727" s="10"/>
      <c r="N727" s="10"/>
      <c r="O727" s="10"/>
      <c r="P727" s="10"/>
      <c r="Q727" s="10"/>
      <c r="R727" s="2"/>
      <c r="S727" s="273"/>
      <c r="T727" s="273"/>
      <c r="U727" s="273"/>
      <c r="V727" s="9"/>
      <c r="W727" s="273"/>
      <c r="X727" s="273"/>
      <c r="Y727" s="9"/>
      <c r="Z727" s="273"/>
      <c r="AA727" s="273"/>
      <c r="AB727" s="9"/>
      <c r="AC727" s="273"/>
      <c r="AD727" s="273"/>
      <c r="AE727" s="9"/>
      <c r="AF727" s="273"/>
      <c r="AG727" s="273"/>
      <c r="AH727" s="9"/>
      <c r="AI727" s="273"/>
      <c r="AJ727" s="273"/>
      <c r="AK727" s="9"/>
      <c r="AL727" s="273"/>
      <c r="AM727" s="273"/>
      <c r="AN727" s="9"/>
      <c r="AO727" s="273"/>
      <c r="AP727" s="273"/>
      <c r="AQ727" s="9"/>
      <c r="AR727" s="273"/>
      <c r="AS727" s="39"/>
    </row>
    <row r="728" spans="1:45" ht="12.75">
      <c r="A728" s="160"/>
      <c r="B728" s="273"/>
      <c r="C728" s="273"/>
      <c r="D728" s="273"/>
      <c r="E728" s="273"/>
      <c r="F728" s="273"/>
      <c r="G728" s="273"/>
      <c r="H728" s="273"/>
      <c r="I728" s="2"/>
      <c r="J728" s="17"/>
      <c r="K728" s="10"/>
      <c r="L728" s="10"/>
      <c r="M728" s="10"/>
      <c r="N728" s="10"/>
      <c r="O728" s="10"/>
      <c r="P728" s="10"/>
      <c r="Q728" s="10"/>
      <c r="R728" s="2"/>
      <c r="S728" s="273"/>
      <c r="T728" s="273"/>
      <c r="U728" s="273"/>
      <c r="V728" s="9"/>
      <c r="W728" s="273"/>
      <c r="X728" s="273"/>
      <c r="Y728" s="9"/>
      <c r="Z728" s="273"/>
      <c r="AA728" s="273"/>
      <c r="AB728" s="9"/>
      <c r="AC728" s="273"/>
      <c r="AD728" s="273"/>
      <c r="AE728" s="9"/>
      <c r="AF728" s="273"/>
      <c r="AG728" s="273"/>
      <c r="AH728" s="9"/>
      <c r="AI728" s="273"/>
      <c r="AJ728" s="273"/>
      <c r="AK728" s="9"/>
      <c r="AL728" s="273"/>
      <c r="AM728" s="273"/>
      <c r="AN728" s="9"/>
      <c r="AO728" s="273"/>
      <c r="AP728" s="273"/>
      <c r="AQ728" s="9"/>
      <c r="AR728" s="273"/>
      <c r="AS728" s="39"/>
    </row>
    <row r="729" spans="1:45" ht="12.75">
      <c r="A729" s="160"/>
      <c r="B729" s="273"/>
      <c r="C729" s="273"/>
      <c r="D729" s="273"/>
      <c r="E729" s="273"/>
      <c r="F729" s="273"/>
      <c r="G729" s="273"/>
      <c r="H729" s="273"/>
      <c r="I729" s="2"/>
      <c r="J729" s="17"/>
      <c r="K729" s="10"/>
      <c r="L729" s="10"/>
      <c r="M729" s="10"/>
      <c r="N729" s="10"/>
      <c r="O729" s="10"/>
      <c r="P729" s="10"/>
      <c r="Q729" s="10"/>
      <c r="R729" s="2"/>
      <c r="S729" s="273"/>
      <c r="T729" s="273"/>
      <c r="U729" s="273"/>
      <c r="V729" s="9"/>
      <c r="W729" s="273"/>
      <c r="X729" s="273"/>
      <c r="Y729" s="9"/>
      <c r="Z729" s="273"/>
      <c r="AA729" s="273"/>
      <c r="AB729" s="9"/>
      <c r="AC729" s="273"/>
      <c r="AD729" s="273"/>
      <c r="AE729" s="9"/>
      <c r="AF729" s="273"/>
      <c r="AG729" s="273"/>
      <c r="AH729" s="9"/>
      <c r="AI729" s="273"/>
      <c r="AJ729" s="273"/>
      <c r="AK729" s="9"/>
      <c r="AL729" s="273"/>
      <c r="AM729" s="273"/>
      <c r="AN729" s="9"/>
      <c r="AO729" s="273"/>
      <c r="AP729" s="273"/>
      <c r="AQ729" s="9"/>
      <c r="AR729" s="273"/>
      <c r="AS729" s="39"/>
    </row>
    <row r="730" spans="1:45" ht="12.75">
      <c r="A730" s="160"/>
      <c r="B730" s="273"/>
      <c r="C730" s="273"/>
      <c r="D730" s="273"/>
      <c r="E730" s="273"/>
      <c r="F730" s="273"/>
      <c r="G730" s="273"/>
      <c r="H730" s="273"/>
      <c r="I730" s="2"/>
      <c r="J730" s="17"/>
      <c r="K730" s="10"/>
      <c r="L730" s="10"/>
      <c r="M730" s="10"/>
      <c r="N730" s="10"/>
      <c r="O730" s="10"/>
      <c r="P730" s="10"/>
      <c r="Q730" s="10"/>
      <c r="R730" s="2"/>
      <c r="S730" s="273"/>
      <c r="T730" s="273"/>
      <c r="U730" s="273"/>
      <c r="V730" s="9"/>
      <c r="W730" s="273"/>
      <c r="X730" s="273"/>
      <c r="Y730" s="9"/>
      <c r="Z730" s="273"/>
      <c r="AA730" s="273"/>
      <c r="AB730" s="9"/>
      <c r="AC730" s="273"/>
      <c r="AD730" s="273"/>
      <c r="AE730" s="9"/>
      <c r="AF730" s="273"/>
      <c r="AG730" s="273"/>
      <c r="AH730" s="9"/>
      <c r="AI730" s="273"/>
      <c r="AJ730" s="273"/>
      <c r="AK730" s="9"/>
      <c r="AL730" s="273"/>
      <c r="AM730" s="273"/>
      <c r="AN730" s="9"/>
      <c r="AO730" s="273"/>
      <c r="AP730" s="273"/>
      <c r="AQ730" s="9"/>
      <c r="AR730" s="273"/>
      <c r="AS730" s="39"/>
    </row>
    <row r="731" spans="1:45" ht="12.75">
      <c r="A731" s="160"/>
      <c r="B731" s="273"/>
      <c r="C731" s="273"/>
      <c r="D731" s="273"/>
      <c r="E731" s="273"/>
      <c r="F731" s="273"/>
      <c r="G731" s="273"/>
      <c r="H731" s="273"/>
      <c r="I731" s="2"/>
      <c r="J731" s="17"/>
      <c r="K731" s="10"/>
      <c r="L731" s="10"/>
      <c r="M731" s="10"/>
      <c r="N731" s="10"/>
      <c r="O731" s="10"/>
      <c r="P731" s="10"/>
      <c r="Q731" s="10"/>
      <c r="R731" s="2"/>
      <c r="S731" s="273"/>
      <c r="T731" s="273"/>
      <c r="U731" s="273"/>
      <c r="V731" s="9"/>
      <c r="W731" s="273"/>
      <c r="X731" s="273"/>
      <c r="Y731" s="9"/>
      <c r="Z731" s="273"/>
      <c r="AA731" s="273"/>
      <c r="AB731" s="9"/>
      <c r="AC731" s="273"/>
      <c r="AD731" s="273"/>
      <c r="AE731" s="9"/>
      <c r="AF731" s="273"/>
      <c r="AG731" s="273"/>
      <c r="AH731" s="9"/>
      <c r="AI731" s="273"/>
      <c r="AJ731" s="273"/>
      <c r="AK731" s="9"/>
      <c r="AL731" s="273"/>
      <c r="AM731" s="273"/>
      <c r="AN731" s="9"/>
      <c r="AO731" s="273"/>
      <c r="AP731" s="273"/>
      <c r="AQ731" s="9"/>
      <c r="AR731" s="273"/>
      <c r="AS731" s="39"/>
    </row>
    <row r="732" spans="1:45" ht="12.75">
      <c r="A732" s="160"/>
      <c r="B732" s="273"/>
      <c r="C732" s="273"/>
      <c r="D732" s="273"/>
      <c r="E732" s="273"/>
      <c r="F732" s="273"/>
      <c r="G732" s="273"/>
      <c r="H732" s="273"/>
      <c r="I732" s="2"/>
      <c r="J732" s="17"/>
      <c r="K732" s="10"/>
      <c r="L732" s="10"/>
      <c r="M732" s="10"/>
      <c r="N732" s="10"/>
      <c r="O732" s="10"/>
      <c r="P732" s="10"/>
      <c r="Q732" s="10"/>
      <c r="R732" s="2"/>
      <c r="S732" s="273"/>
      <c r="T732" s="273"/>
      <c r="U732" s="273"/>
      <c r="V732" s="9"/>
      <c r="W732" s="273"/>
      <c r="X732" s="273"/>
      <c r="Y732" s="9"/>
      <c r="Z732" s="273"/>
      <c r="AA732" s="273"/>
      <c r="AB732" s="9"/>
      <c r="AC732" s="273"/>
      <c r="AD732" s="273"/>
      <c r="AE732" s="9"/>
      <c r="AF732" s="273"/>
      <c r="AG732" s="273"/>
      <c r="AH732" s="9"/>
      <c r="AI732" s="273"/>
      <c r="AJ732" s="273"/>
      <c r="AK732" s="9"/>
      <c r="AL732" s="273"/>
      <c r="AM732" s="273"/>
      <c r="AN732" s="9"/>
      <c r="AO732" s="273"/>
      <c r="AP732" s="273"/>
      <c r="AQ732" s="9"/>
      <c r="AR732" s="273"/>
      <c r="AS732" s="39"/>
    </row>
    <row r="733" spans="1:45" ht="12.75">
      <c r="A733" s="160"/>
      <c r="B733" s="273"/>
      <c r="C733" s="273"/>
      <c r="D733" s="273"/>
      <c r="E733" s="273"/>
      <c r="F733" s="273"/>
      <c r="G733" s="273"/>
      <c r="H733" s="273"/>
      <c r="I733" s="2"/>
      <c r="J733" s="17"/>
      <c r="K733" s="10"/>
      <c r="L733" s="10"/>
      <c r="M733" s="10"/>
      <c r="N733" s="10"/>
      <c r="O733" s="10"/>
      <c r="P733" s="10"/>
      <c r="Q733" s="10"/>
      <c r="R733" s="2"/>
      <c r="S733" s="273"/>
      <c r="T733" s="273"/>
      <c r="U733" s="273"/>
      <c r="V733" s="9"/>
      <c r="W733" s="273"/>
      <c r="X733" s="273"/>
      <c r="Y733" s="9"/>
      <c r="Z733" s="273"/>
      <c r="AA733" s="273"/>
      <c r="AB733" s="9"/>
      <c r="AC733" s="273"/>
      <c r="AD733" s="273"/>
      <c r="AE733" s="9"/>
      <c r="AF733" s="273"/>
      <c r="AG733" s="273"/>
      <c r="AH733" s="9"/>
      <c r="AI733" s="273"/>
      <c r="AJ733" s="273"/>
      <c r="AK733" s="9"/>
      <c r="AL733" s="273"/>
      <c r="AM733" s="273"/>
      <c r="AN733" s="9"/>
      <c r="AO733" s="273"/>
      <c r="AP733" s="273"/>
      <c r="AQ733" s="9"/>
      <c r="AR733" s="273"/>
      <c r="AS733" s="39"/>
    </row>
    <row r="734" spans="1:45" ht="12.75">
      <c r="A734" s="160"/>
      <c r="B734" s="273"/>
      <c r="C734" s="273"/>
      <c r="D734" s="273"/>
      <c r="E734" s="273"/>
      <c r="F734" s="273"/>
      <c r="G734" s="273"/>
      <c r="H734" s="273"/>
      <c r="I734" s="2"/>
      <c r="J734" s="17"/>
      <c r="K734" s="10"/>
      <c r="L734" s="10"/>
      <c r="M734" s="10"/>
      <c r="N734" s="10"/>
      <c r="O734" s="10"/>
      <c r="P734" s="10"/>
      <c r="Q734" s="10"/>
      <c r="R734" s="2"/>
      <c r="S734" s="273"/>
      <c r="T734" s="273"/>
      <c r="U734" s="273"/>
      <c r="V734" s="9"/>
      <c r="W734" s="273"/>
      <c r="X734" s="273"/>
      <c r="Y734" s="9"/>
      <c r="Z734" s="273"/>
      <c r="AA734" s="273"/>
      <c r="AB734" s="9"/>
      <c r="AC734" s="273"/>
      <c r="AD734" s="273"/>
      <c r="AE734" s="9"/>
      <c r="AF734" s="273"/>
      <c r="AG734" s="273"/>
      <c r="AH734" s="9"/>
      <c r="AI734" s="273"/>
      <c r="AJ734" s="273"/>
      <c r="AK734" s="9"/>
      <c r="AL734" s="273"/>
      <c r="AM734" s="273"/>
      <c r="AN734" s="9"/>
      <c r="AO734" s="273"/>
      <c r="AP734" s="273"/>
      <c r="AQ734" s="9"/>
      <c r="AR734" s="273"/>
      <c r="AS734" s="39"/>
    </row>
    <row r="735" spans="1:45" ht="12.75">
      <c r="A735" s="160"/>
      <c r="B735" s="273"/>
      <c r="C735" s="273"/>
      <c r="D735" s="273"/>
      <c r="E735" s="273"/>
      <c r="F735" s="273"/>
      <c r="G735" s="273"/>
      <c r="H735" s="273"/>
      <c r="I735" s="2"/>
      <c r="J735" s="17"/>
      <c r="K735" s="10"/>
      <c r="L735" s="10"/>
      <c r="M735" s="10"/>
      <c r="N735" s="10"/>
      <c r="O735" s="10"/>
      <c r="P735" s="10"/>
      <c r="Q735" s="10"/>
      <c r="R735" s="2"/>
      <c r="S735" s="273"/>
      <c r="T735" s="273"/>
      <c r="U735" s="273"/>
      <c r="V735" s="9"/>
      <c r="W735" s="273"/>
      <c r="X735" s="273"/>
      <c r="Y735" s="9"/>
      <c r="Z735" s="273"/>
      <c r="AA735" s="273"/>
      <c r="AB735" s="9"/>
      <c r="AC735" s="273"/>
      <c r="AD735" s="273"/>
      <c r="AE735" s="9"/>
      <c r="AF735" s="273"/>
      <c r="AG735" s="273"/>
      <c r="AH735" s="9"/>
      <c r="AI735" s="273"/>
      <c r="AJ735" s="273"/>
      <c r="AK735" s="9"/>
      <c r="AL735" s="273"/>
      <c r="AM735" s="273"/>
      <c r="AN735" s="9"/>
      <c r="AO735" s="273"/>
      <c r="AP735" s="273"/>
      <c r="AQ735" s="9"/>
      <c r="AR735" s="273"/>
      <c r="AS735" s="39"/>
    </row>
    <row r="736" spans="1:45" ht="12.75">
      <c r="A736" s="160"/>
      <c r="B736" s="273"/>
      <c r="C736" s="273"/>
      <c r="D736" s="273"/>
      <c r="E736" s="273"/>
      <c r="F736" s="273"/>
      <c r="G736" s="273"/>
      <c r="H736" s="273"/>
      <c r="I736" s="2"/>
      <c r="J736" s="17"/>
      <c r="K736" s="10"/>
      <c r="L736" s="10"/>
      <c r="M736" s="10"/>
      <c r="N736" s="10"/>
      <c r="O736" s="10"/>
      <c r="P736" s="10"/>
      <c r="Q736" s="10"/>
      <c r="R736" s="2"/>
      <c r="S736" s="273"/>
      <c r="T736" s="273"/>
      <c r="U736" s="273"/>
      <c r="V736" s="9"/>
      <c r="W736" s="273"/>
      <c r="X736" s="273"/>
      <c r="Y736" s="9"/>
      <c r="Z736" s="273"/>
      <c r="AA736" s="273"/>
      <c r="AB736" s="9"/>
      <c r="AC736" s="273"/>
      <c r="AD736" s="273"/>
      <c r="AE736" s="9"/>
      <c r="AF736" s="273"/>
      <c r="AG736" s="273"/>
      <c r="AH736" s="9"/>
      <c r="AI736" s="273"/>
      <c r="AJ736" s="273"/>
      <c r="AK736" s="9"/>
      <c r="AL736" s="273"/>
      <c r="AM736" s="273"/>
      <c r="AN736" s="9"/>
      <c r="AO736" s="273"/>
      <c r="AP736" s="273"/>
      <c r="AQ736" s="9"/>
      <c r="AR736" s="273"/>
      <c r="AS736" s="39"/>
    </row>
    <row r="737" spans="1:45" ht="12.75">
      <c r="A737" s="160"/>
      <c r="B737" s="273"/>
      <c r="C737" s="273"/>
      <c r="D737" s="273"/>
      <c r="E737" s="273"/>
      <c r="F737" s="273"/>
      <c r="G737" s="273"/>
      <c r="H737" s="273"/>
      <c r="I737" s="2"/>
      <c r="J737" s="17"/>
      <c r="K737" s="10"/>
      <c r="L737" s="10"/>
      <c r="M737" s="10"/>
      <c r="N737" s="10"/>
      <c r="O737" s="10"/>
      <c r="P737" s="10"/>
      <c r="Q737" s="10"/>
      <c r="R737" s="2"/>
      <c r="S737" s="273"/>
      <c r="T737" s="273"/>
      <c r="U737" s="273"/>
      <c r="V737" s="9"/>
      <c r="W737" s="273"/>
      <c r="X737" s="273"/>
      <c r="Y737" s="9"/>
      <c r="Z737" s="273"/>
      <c r="AA737" s="273"/>
      <c r="AB737" s="9"/>
      <c r="AC737" s="273"/>
      <c r="AD737" s="273"/>
      <c r="AE737" s="9"/>
      <c r="AF737" s="273"/>
      <c r="AG737" s="273"/>
      <c r="AH737" s="9"/>
      <c r="AI737" s="273"/>
      <c r="AJ737" s="273"/>
      <c r="AK737" s="9"/>
      <c r="AL737" s="273"/>
      <c r="AM737" s="273"/>
      <c r="AN737" s="9"/>
      <c r="AO737" s="273"/>
      <c r="AP737" s="273"/>
      <c r="AQ737" s="9"/>
      <c r="AR737" s="273"/>
      <c r="AS737" s="39"/>
    </row>
    <row r="738" spans="1:45" ht="12.75">
      <c r="A738" s="160"/>
      <c r="B738" s="273"/>
      <c r="C738" s="273"/>
      <c r="D738" s="273"/>
      <c r="E738" s="273"/>
      <c r="F738" s="273"/>
      <c r="G738" s="273"/>
      <c r="H738" s="273"/>
      <c r="I738" s="2"/>
      <c r="J738" s="17"/>
      <c r="K738" s="10"/>
      <c r="L738" s="10"/>
      <c r="M738" s="10"/>
      <c r="N738" s="10"/>
      <c r="O738" s="10"/>
      <c r="P738" s="10"/>
      <c r="Q738" s="10"/>
      <c r="R738" s="2"/>
      <c r="S738" s="273"/>
      <c r="T738" s="273"/>
      <c r="U738" s="273"/>
      <c r="V738" s="9"/>
      <c r="W738" s="273"/>
      <c r="X738" s="273"/>
      <c r="Y738" s="9"/>
      <c r="Z738" s="273"/>
      <c r="AA738" s="273"/>
      <c r="AB738" s="9"/>
      <c r="AC738" s="273"/>
      <c r="AD738" s="273"/>
      <c r="AE738" s="9"/>
      <c r="AF738" s="273"/>
      <c r="AG738" s="273"/>
      <c r="AH738" s="9"/>
      <c r="AI738" s="273"/>
      <c r="AJ738" s="273"/>
      <c r="AK738" s="9"/>
      <c r="AL738" s="273"/>
      <c r="AM738" s="273"/>
      <c r="AN738" s="9"/>
      <c r="AO738" s="273"/>
      <c r="AP738" s="273"/>
      <c r="AQ738" s="9"/>
      <c r="AR738" s="273"/>
      <c r="AS738" s="39"/>
    </row>
    <row r="739" spans="1:45" ht="12.75">
      <c r="A739" s="160"/>
      <c r="B739" s="273"/>
      <c r="C739" s="273"/>
      <c r="D739" s="273"/>
      <c r="E739" s="273"/>
      <c r="F739" s="273"/>
      <c r="G739" s="273"/>
      <c r="H739" s="273"/>
      <c r="I739" s="2"/>
      <c r="J739" s="17"/>
      <c r="K739" s="10"/>
      <c r="L739" s="10"/>
      <c r="M739" s="10"/>
      <c r="N739" s="10"/>
      <c r="O739" s="10"/>
      <c r="P739" s="10"/>
      <c r="Q739" s="10"/>
      <c r="R739" s="2"/>
      <c r="S739" s="273"/>
      <c r="T739" s="273"/>
      <c r="U739" s="273"/>
      <c r="V739" s="9"/>
      <c r="W739" s="273"/>
      <c r="X739" s="273"/>
      <c r="Y739" s="9"/>
      <c r="Z739" s="273"/>
      <c r="AA739" s="273"/>
      <c r="AB739" s="9"/>
      <c r="AC739" s="273"/>
      <c r="AD739" s="273"/>
      <c r="AE739" s="9"/>
      <c r="AF739" s="273"/>
      <c r="AG739" s="273"/>
      <c r="AH739" s="9"/>
      <c r="AI739" s="273"/>
      <c r="AJ739" s="273"/>
      <c r="AK739" s="9"/>
      <c r="AL739" s="273"/>
      <c r="AM739" s="273"/>
      <c r="AN739" s="9"/>
      <c r="AO739" s="273"/>
      <c r="AP739" s="273"/>
      <c r="AQ739" s="9"/>
      <c r="AR739" s="273"/>
      <c r="AS739" s="39"/>
    </row>
    <row r="740" spans="1:45" ht="12.75">
      <c r="A740" s="160"/>
      <c r="B740" s="273"/>
      <c r="C740" s="273"/>
      <c r="D740" s="273"/>
      <c r="E740" s="273"/>
      <c r="F740" s="273"/>
      <c r="G740" s="273"/>
      <c r="H740" s="273"/>
      <c r="I740" s="2"/>
      <c r="J740" s="17"/>
      <c r="K740" s="10"/>
      <c r="L740" s="10"/>
      <c r="M740" s="10"/>
      <c r="N740" s="10"/>
      <c r="O740" s="10"/>
      <c r="P740" s="10"/>
      <c r="Q740" s="10"/>
      <c r="R740" s="2"/>
      <c r="S740" s="273"/>
      <c r="T740" s="273"/>
      <c r="U740" s="273"/>
      <c r="V740" s="9"/>
      <c r="W740" s="273"/>
      <c r="X740" s="273"/>
      <c r="Y740" s="9"/>
      <c r="Z740" s="273"/>
      <c r="AA740" s="273"/>
      <c r="AB740" s="9"/>
      <c r="AC740" s="273"/>
      <c r="AD740" s="273"/>
      <c r="AE740" s="9"/>
      <c r="AF740" s="273"/>
      <c r="AG740" s="273"/>
      <c r="AH740" s="9"/>
      <c r="AI740" s="273"/>
      <c r="AJ740" s="273"/>
      <c r="AK740" s="9"/>
      <c r="AL740" s="273"/>
      <c r="AM740" s="273"/>
      <c r="AN740" s="9"/>
      <c r="AO740" s="273"/>
      <c r="AP740" s="273"/>
      <c r="AQ740" s="9"/>
      <c r="AR740" s="273"/>
      <c r="AS740" s="39"/>
    </row>
    <row r="741" spans="1:45" ht="12.75">
      <c r="A741" s="160"/>
      <c r="B741" s="273"/>
      <c r="C741" s="273"/>
      <c r="D741" s="273"/>
      <c r="E741" s="273"/>
      <c r="F741" s="273"/>
      <c r="G741" s="273"/>
      <c r="H741" s="273"/>
      <c r="I741" s="2"/>
      <c r="J741" s="17"/>
      <c r="K741" s="10"/>
      <c r="L741" s="10"/>
      <c r="M741" s="10"/>
      <c r="N741" s="10"/>
      <c r="O741" s="10"/>
      <c r="P741" s="10"/>
      <c r="Q741" s="10"/>
      <c r="R741" s="2"/>
      <c r="S741" s="273"/>
      <c r="T741" s="273"/>
      <c r="U741" s="273"/>
      <c r="V741" s="9"/>
      <c r="W741" s="273"/>
      <c r="X741" s="273"/>
      <c r="Y741" s="9"/>
      <c r="Z741" s="273"/>
      <c r="AA741" s="273"/>
      <c r="AB741" s="9"/>
      <c r="AC741" s="273"/>
      <c r="AD741" s="273"/>
      <c r="AE741" s="9"/>
      <c r="AF741" s="273"/>
      <c r="AG741" s="273"/>
      <c r="AH741" s="9"/>
      <c r="AI741" s="273"/>
      <c r="AJ741" s="273"/>
      <c r="AK741" s="9"/>
      <c r="AL741" s="273"/>
      <c r="AM741" s="273"/>
      <c r="AN741" s="9"/>
      <c r="AO741" s="273"/>
      <c r="AP741" s="273"/>
      <c r="AQ741" s="9"/>
      <c r="AR741" s="273"/>
      <c r="AS741" s="39"/>
    </row>
    <row r="742" spans="1:45" ht="12.75">
      <c r="A742" s="160"/>
      <c r="B742" s="273"/>
      <c r="C742" s="273"/>
      <c r="D742" s="273"/>
      <c r="E742" s="273"/>
      <c r="F742" s="273"/>
      <c r="G742" s="273"/>
      <c r="H742" s="273"/>
      <c r="I742" s="2"/>
      <c r="J742" s="17"/>
      <c r="K742" s="10"/>
      <c r="L742" s="10"/>
      <c r="M742" s="10"/>
      <c r="N742" s="10"/>
      <c r="O742" s="10"/>
      <c r="P742" s="10"/>
      <c r="Q742" s="10"/>
      <c r="R742" s="2"/>
      <c r="S742" s="273"/>
      <c r="T742" s="273"/>
      <c r="U742" s="273"/>
      <c r="V742" s="9"/>
      <c r="W742" s="273"/>
      <c r="X742" s="273"/>
      <c r="Y742" s="9"/>
      <c r="Z742" s="273"/>
      <c r="AA742" s="273"/>
      <c r="AB742" s="9"/>
      <c r="AC742" s="273"/>
      <c r="AD742" s="273"/>
      <c r="AE742" s="9"/>
      <c r="AF742" s="273"/>
      <c r="AG742" s="273"/>
      <c r="AH742" s="9"/>
      <c r="AI742" s="273"/>
      <c r="AJ742" s="273"/>
      <c r="AK742" s="9"/>
      <c r="AL742" s="273"/>
      <c r="AM742" s="273"/>
      <c r="AN742" s="9"/>
      <c r="AO742" s="273"/>
      <c r="AP742" s="273"/>
      <c r="AQ742" s="9"/>
      <c r="AR742" s="273"/>
      <c r="AS742" s="39"/>
    </row>
    <row r="743" spans="1:45" ht="12.75">
      <c r="A743" s="160"/>
      <c r="B743" s="273"/>
      <c r="C743" s="273"/>
      <c r="D743" s="273"/>
      <c r="E743" s="273"/>
      <c r="F743" s="273"/>
      <c r="G743" s="273"/>
      <c r="H743" s="273"/>
      <c r="I743" s="2"/>
      <c r="J743" s="17"/>
      <c r="K743" s="10"/>
      <c r="L743" s="10"/>
      <c r="M743" s="10"/>
      <c r="N743" s="10"/>
      <c r="O743" s="10"/>
      <c r="P743" s="10"/>
      <c r="Q743" s="10"/>
      <c r="R743" s="2"/>
      <c r="S743" s="273"/>
      <c r="T743" s="273"/>
      <c r="U743" s="273"/>
      <c r="V743" s="9"/>
      <c r="W743" s="273"/>
      <c r="X743" s="273"/>
      <c r="Y743" s="9"/>
      <c r="Z743" s="273"/>
      <c r="AA743" s="273"/>
      <c r="AB743" s="9"/>
      <c r="AC743" s="273"/>
      <c r="AD743" s="273"/>
      <c r="AE743" s="9"/>
      <c r="AF743" s="273"/>
      <c r="AG743" s="273"/>
      <c r="AH743" s="9"/>
      <c r="AI743" s="273"/>
      <c r="AJ743" s="273"/>
      <c r="AK743" s="9"/>
      <c r="AL743" s="273"/>
      <c r="AM743" s="273"/>
      <c r="AN743" s="9"/>
      <c r="AO743" s="273"/>
      <c r="AP743" s="273"/>
      <c r="AQ743" s="9"/>
      <c r="AR743" s="273"/>
      <c r="AS743" s="39"/>
    </row>
    <row r="744" spans="1:45" ht="12.75">
      <c r="A744" s="160"/>
      <c r="B744" s="273"/>
      <c r="C744" s="273"/>
      <c r="D744" s="273"/>
      <c r="E744" s="273"/>
      <c r="F744" s="273"/>
      <c r="G744" s="273"/>
      <c r="H744" s="273"/>
      <c r="I744" s="2"/>
      <c r="J744" s="17"/>
      <c r="K744" s="10"/>
      <c r="L744" s="10"/>
      <c r="M744" s="10"/>
      <c r="N744" s="10"/>
      <c r="O744" s="10"/>
      <c r="P744" s="10"/>
      <c r="Q744" s="10"/>
      <c r="R744" s="2"/>
      <c r="S744" s="273"/>
      <c r="T744" s="273"/>
      <c r="U744" s="273"/>
      <c r="V744" s="9"/>
      <c r="W744" s="273"/>
      <c r="X744" s="273"/>
      <c r="Y744" s="9"/>
      <c r="Z744" s="273"/>
      <c r="AA744" s="273"/>
      <c r="AB744" s="9"/>
      <c r="AC744" s="273"/>
      <c r="AD744" s="273"/>
      <c r="AE744" s="9"/>
      <c r="AF744" s="273"/>
      <c r="AG744" s="273"/>
      <c r="AH744" s="9"/>
      <c r="AI744" s="273"/>
      <c r="AJ744" s="273"/>
      <c r="AK744" s="9"/>
      <c r="AL744" s="273"/>
      <c r="AM744" s="273"/>
      <c r="AN744" s="9"/>
      <c r="AO744" s="273"/>
      <c r="AP744" s="273"/>
      <c r="AQ744" s="9"/>
      <c r="AR744" s="273"/>
      <c r="AS744" s="39"/>
    </row>
    <row r="745" spans="1:45" ht="12.75">
      <c r="A745" s="160"/>
      <c r="B745" s="273"/>
      <c r="C745" s="273"/>
      <c r="D745" s="273"/>
      <c r="E745" s="273"/>
      <c r="F745" s="273"/>
      <c r="G745" s="273"/>
      <c r="H745" s="273"/>
      <c r="I745" s="2"/>
      <c r="J745" s="17"/>
      <c r="K745" s="10"/>
      <c r="L745" s="10"/>
      <c r="M745" s="10"/>
      <c r="N745" s="10"/>
      <c r="O745" s="10"/>
      <c r="P745" s="10"/>
      <c r="Q745" s="10"/>
      <c r="R745" s="2"/>
      <c r="S745" s="273"/>
      <c r="T745" s="273"/>
      <c r="U745" s="273"/>
      <c r="V745" s="9"/>
      <c r="W745" s="273"/>
      <c r="X745" s="273"/>
      <c r="Y745" s="9"/>
      <c r="Z745" s="273"/>
      <c r="AA745" s="273"/>
      <c r="AB745" s="9"/>
      <c r="AC745" s="273"/>
      <c r="AD745" s="273"/>
      <c r="AE745" s="9"/>
      <c r="AF745" s="273"/>
      <c r="AG745" s="273"/>
      <c r="AH745" s="9"/>
      <c r="AI745" s="273"/>
      <c r="AJ745" s="273"/>
      <c r="AK745" s="9"/>
      <c r="AL745" s="273"/>
      <c r="AM745" s="273"/>
      <c r="AN745" s="9"/>
      <c r="AO745" s="273"/>
      <c r="AP745" s="273"/>
      <c r="AQ745" s="9"/>
      <c r="AR745" s="273"/>
      <c r="AS745" s="39"/>
    </row>
    <row r="746" spans="1:45" ht="12.75">
      <c r="A746" s="160"/>
      <c r="B746" s="273"/>
      <c r="C746" s="273"/>
      <c r="D746" s="273"/>
      <c r="E746" s="273"/>
      <c r="F746" s="273"/>
      <c r="G746" s="273"/>
      <c r="H746" s="273"/>
      <c r="I746" s="2"/>
      <c r="J746" s="17"/>
      <c r="K746" s="10"/>
      <c r="L746" s="10"/>
      <c r="M746" s="10"/>
      <c r="N746" s="10"/>
      <c r="O746" s="10"/>
      <c r="P746" s="10"/>
      <c r="Q746" s="10"/>
      <c r="R746" s="2"/>
      <c r="S746" s="273"/>
      <c r="T746" s="273"/>
      <c r="U746" s="273"/>
      <c r="V746" s="9"/>
      <c r="W746" s="273"/>
      <c r="X746" s="273"/>
      <c r="Y746" s="9"/>
      <c r="Z746" s="273"/>
      <c r="AA746" s="273"/>
      <c r="AB746" s="9"/>
      <c r="AC746" s="273"/>
      <c r="AD746" s="273"/>
      <c r="AE746" s="9"/>
      <c r="AF746" s="273"/>
      <c r="AG746" s="273"/>
      <c r="AH746" s="9"/>
      <c r="AI746" s="273"/>
      <c r="AJ746" s="273"/>
      <c r="AK746" s="9"/>
      <c r="AL746" s="273"/>
      <c r="AM746" s="273"/>
      <c r="AN746" s="9"/>
      <c r="AO746" s="273"/>
      <c r="AP746" s="273"/>
      <c r="AQ746" s="9"/>
      <c r="AR746" s="273"/>
      <c r="AS746" s="39"/>
    </row>
    <row r="747" spans="1:45" ht="12.75">
      <c r="A747" s="160"/>
      <c r="B747" s="273"/>
      <c r="C747" s="273"/>
      <c r="D747" s="273"/>
      <c r="E747" s="273"/>
      <c r="F747" s="273"/>
      <c r="G747" s="273"/>
      <c r="H747" s="273"/>
      <c r="I747" s="2"/>
      <c r="J747" s="17"/>
      <c r="K747" s="10"/>
      <c r="L747" s="10"/>
      <c r="M747" s="10"/>
      <c r="N747" s="10"/>
      <c r="O747" s="10"/>
      <c r="P747" s="10"/>
      <c r="Q747" s="10"/>
      <c r="R747" s="2"/>
      <c r="S747" s="273"/>
      <c r="T747" s="273"/>
      <c r="U747" s="273"/>
      <c r="V747" s="9"/>
      <c r="W747" s="273"/>
      <c r="X747" s="273"/>
      <c r="Y747" s="9"/>
      <c r="Z747" s="273"/>
      <c r="AA747" s="273"/>
      <c r="AB747" s="9"/>
      <c r="AC747" s="273"/>
      <c r="AD747" s="273"/>
      <c r="AE747" s="9"/>
      <c r="AF747" s="273"/>
      <c r="AG747" s="273"/>
      <c r="AH747" s="9"/>
      <c r="AI747" s="273"/>
      <c r="AJ747" s="273"/>
      <c r="AK747" s="9"/>
      <c r="AL747" s="273"/>
      <c r="AM747" s="273"/>
      <c r="AN747" s="9"/>
      <c r="AO747" s="273"/>
      <c r="AP747" s="273"/>
      <c r="AQ747" s="9"/>
      <c r="AR747" s="273"/>
      <c r="AS747" s="39"/>
    </row>
    <row r="748" spans="1:45" ht="12.75">
      <c r="A748" s="160"/>
      <c r="B748" s="273"/>
      <c r="C748" s="273"/>
      <c r="D748" s="273"/>
      <c r="E748" s="273"/>
      <c r="F748" s="273"/>
      <c r="G748" s="273"/>
      <c r="H748" s="273"/>
      <c r="I748" s="2"/>
      <c r="J748" s="17"/>
      <c r="K748" s="10"/>
      <c r="L748" s="10"/>
      <c r="M748" s="10"/>
      <c r="N748" s="10"/>
      <c r="O748" s="10"/>
      <c r="P748" s="10"/>
      <c r="Q748" s="10"/>
      <c r="R748" s="2"/>
      <c r="S748" s="273"/>
      <c r="T748" s="273"/>
      <c r="U748" s="273"/>
      <c r="V748" s="9"/>
      <c r="W748" s="273"/>
      <c r="X748" s="273"/>
      <c r="Y748" s="9"/>
      <c r="Z748" s="273"/>
      <c r="AA748" s="273"/>
      <c r="AB748" s="9"/>
      <c r="AC748" s="273"/>
      <c r="AD748" s="273"/>
      <c r="AE748" s="9"/>
      <c r="AF748" s="273"/>
      <c r="AG748" s="273"/>
      <c r="AH748" s="9"/>
      <c r="AI748" s="273"/>
      <c r="AJ748" s="273"/>
      <c r="AK748" s="9"/>
      <c r="AL748" s="273"/>
      <c r="AM748" s="273"/>
      <c r="AN748" s="9"/>
      <c r="AO748" s="273"/>
      <c r="AP748" s="273"/>
      <c r="AQ748" s="9"/>
      <c r="AR748" s="273"/>
      <c r="AS748" s="39"/>
    </row>
    <row r="749" spans="1:45" ht="12.75">
      <c r="A749" s="160"/>
      <c r="B749" s="273"/>
      <c r="C749" s="273"/>
      <c r="D749" s="273"/>
      <c r="E749" s="273"/>
      <c r="F749" s="273"/>
      <c r="G749" s="273"/>
      <c r="H749" s="273"/>
      <c r="I749" s="2"/>
      <c r="J749" s="17"/>
      <c r="K749" s="10"/>
      <c r="L749" s="10"/>
      <c r="M749" s="10"/>
      <c r="N749" s="10"/>
      <c r="O749" s="10"/>
      <c r="P749" s="10"/>
      <c r="Q749" s="10"/>
      <c r="R749" s="2"/>
      <c r="S749" s="273"/>
      <c r="T749" s="273"/>
      <c r="U749" s="273"/>
      <c r="V749" s="9"/>
      <c r="W749" s="273"/>
      <c r="X749" s="273"/>
      <c r="Y749" s="9"/>
      <c r="Z749" s="273"/>
      <c r="AA749" s="273"/>
      <c r="AB749" s="9"/>
      <c r="AC749" s="273"/>
      <c r="AD749" s="273"/>
      <c r="AE749" s="9"/>
      <c r="AF749" s="273"/>
      <c r="AG749" s="273"/>
      <c r="AH749" s="9"/>
      <c r="AI749" s="273"/>
      <c r="AJ749" s="273"/>
      <c r="AK749" s="9"/>
      <c r="AL749" s="273"/>
      <c r="AM749" s="273"/>
      <c r="AN749" s="9"/>
      <c r="AO749" s="273"/>
      <c r="AP749" s="273"/>
      <c r="AQ749" s="9"/>
      <c r="AR749" s="273"/>
      <c r="AS749" s="39"/>
    </row>
    <row r="750" spans="1:45" ht="12.75">
      <c r="A750" s="160"/>
      <c r="B750" s="273"/>
      <c r="C750" s="273"/>
      <c r="D750" s="273"/>
      <c r="E750" s="273"/>
      <c r="F750" s="273"/>
      <c r="G750" s="273"/>
      <c r="H750" s="273"/>
      <c r="I750" s="2"/>
      <c r="J750" s="17"/>
      <c r="K750" s="10"/>
      <c r="L750" s="10"/>
      <c r="M750" s="10"/>
      <c r="N750" s="10"/>
      <c r="O750" s="10"/>
      <c r="P750" s="10"/>
      <c r="Q750" s="10"/>
      <c r="R750" s="2"/>
      <c r="S750" s="273"/>
      <c r="T750" s="273"/>
      <c r="U750" s="273"/>
      <c r="V750" s="9"/>
      <c r="W750" s="273"/>
      <c r="X750" s="273"/>
      <c r="Y750" s="9"/>
      <c r="Z750" s="273"/>
      <c r="AA750" s="273"/>
      <c r="AB750" s="9"/>
      <c r="AC750" s="273"/>
      <c r="AD750" s="273"/>
      <c r="AE750" s="9"/>
      <c r="AF750" s="273"/>
      <c r="AG750" s="273"/>
      <c r="AH750" s="9"/>
      <c r="AI750" s="273"/>
      <c r="AJ750" s="273"/>
      <c r="AK750" s="9"/>
      <c r="AL750" s="273"/>
      <c r="AM750" s="273"/>
      <c r="AN750" s="9"/>
      <c r="AO750" s="273"/>
      <c r="AP750" s="273"/>
      <c r="AQ750" s="9"/>
      <c r="AR750" s="273"/>
      <c r="AS750" s="39"/>
    </row>
    <row r="751" spans="1:45" ht="12.75">
      <c r="A751" s="160"/>
      <c r="B751" s="273"/>
      <c r="C751" s="273"/>
      <c r="D751" s="273"/>
      <c r="E751" s="273"/>
      <c r="F751" s="273"/>
      <c r="G751" s="273"/>
      <c r="H751" s="273"/>
      <c r="I751" s="2"/>
      <c r="J751" s="17"/>
      <c r="K751" s="10"/>
      <c r="L751" s="10"/>
      <c r="M751" s="10"/>
      <c r="N751" s="10"/>
      <c r="O751" s="10"/>
      <c r="P751" s="10"/>
      <c r="Q751" s="10"/>
      <c r="R751" s="2"/>
      <c r="S751" s="273"/>
      <c r="T751" s="273"/>
      <c r="U751" s="273"/>
      <c r="V751" s="9"/>
      <c r="W751" s="273"/>
      <c r="X751" s="273"/>
      <c r="Y751" s="9"/>
      <c r="Z751" s="273"/>
      <c r="AA751" s="273"/>
      <c r="AB751" s="9"/>
      <c r="AC751" s="273"/>
      <c r="AD751" s="273"/>
      <c r="AE751" s="9"/>
      <c r="AF751" s="273"/>
      <c r="AG751" s="273"/>
      <c r="AH751" s="9"/>
      <c r="AI751" s="273"/>
      <c r="AJ751" s="273"/>
      <c r="AK751" s="9"/>
      <c r="AL751" s="273"/>
      <c r="AM751" s="273"/>
      <c r="AN751" s="9"/>
      <c r="AO751" s="273"/>
      <c r="AP751" s="273"/>
      <c r="AQ751" s="9"/>
      <c r="AR751" s="273"/>
      <c r="AS751" s="39"/>
    </row>
    <row r="752" spans="1:45" ht="12.75">
      <c r="A752" s="160"/>
      <c r="B752" s="273"/>
      <c r="C752" s="273"/>
      <c r="D752" s="273"/>
      <c r="E752" s="273"/>
      <c r="F752" s="273"/>
      <c r="G752" s="273"/>
      <c r="H752" s="273"/>
      <c r="I752" s="2"/>
      <c r="J752" s="17"/>
      <c r="K752" s="10"/>
      <c r="L752" s="10"/>
      <c r="M752" s="10"/>
      <c r="N752" s="10"/>
      <c r="O752" s="10"/>
      <c r="P752" s="10"/>
      <c r="Q752" s="10"/>
      <c r="R752" s="2"/>
      <c r="S752" s="273"/>
      <c r="T752" s="273"/>
      <c r="U752" s="273"/>
      <c r="V752" s="9"/>
      <c r="W752" s="273"/>
      <c r="X752" s="273"/>
      <c r="Y752" s="9"/>
      <c r="Z752" s="273"/>
      <c r="AA752" s="273"/>
      <c r="AB752" s="9"/>
      <c r="AC752" s="273"/>
      <c r="AD752" s="273"/>
      <c r="AE752" s="9"/>
      <c r="AF752" s="273"/>
      <c r="AG752" s="273"/>
      <c r="AH752" s="9"/>
      <c r="AI752" s="273"/>
      <c r="AJ752" s="273"/>
      <c r="AK752" s="9"/>
      <c r="AL752" s="273"/>
      <c r="AM752" s="273"/>
      <c r="AN752" s="9"/>
      <c r="AO752" s="273"/>
      <c r="AP752" s="273"/>
      <c r="AQ752" s="9"/>
      <c r="AR752" s="273"/>
      <c r="AS752" s="39"/>
    </row>
    <row r="753" spans="1:45" ht="12.75">
      <c r="A753" s="160"/>
      <c r="B753" s="273"/>
      <c r="C753" s="273"/>
      <c r="D753" s="273"/>
      <c r="E753" s="273"/>
      <c r="F753" s="273"/>
      <c r="G753" s="273"/>
      <c r="H753" s="273"/>
      <c r="I753" s="2"/>
      <c r="J753" s="17"/>
      <c r="K753" s="10"/>
      <c r="L753" s="10"/>
      <c r="M753" s="10"/>
      <c r="N753" s="10"/>
      <c r="O753" s="10"/>
      <c r="P753" s="10"/>
      <c r="Q753" s="10"/>
      <c r="R753" s="2"/>
      <c r="S753" s="273"/>
      <c r="T753" s="273"/>
      <c r="U753" s="273"/>
      <c r="V753" s="9"/>
      <c r="W753" s="273"/>
      <c r="X753" s="273"/>
      <c r="Y753" s="9"/>
      <c r="Z753" s="273"/>
      <c r="AA753" s="273"/>
      <c r="AB753" s="9"/>
      <c r="AC753" s="273"/>
      <c r="AD753" s="273"/>
      <c r="AE753" s="9"/>
      <c r="AF753" s="273"/>
      <c r="AG753" s="273"/>
      <c r="AH753" s="9"/>
      <c r="AI753" s="273"/>
      <c r="AJ753" s="273"/>
      <c r="AK753" s="9"/>
      <c r="AL753" s="273"/>
      <c r="AM753" s="273"/>
      <c r="AN753" s="9"/>
      <c r="AO753" s="273"/>
      <c r="AP753" s="273"/>
      <c r="AQ753" s="9"/>
      <c r="AR753" s="273"/>
      <c r="AS753" s="39"/>
    </row>
    <row r="754" spans="1:45" ht="12.75">
      <c r="A754" s="160"/>
      <c r="B754" s="273"/>
      <c r="C754" s="273"/>
      <c r="D754" s="273"/>
      <c r="E754" s="273"/>
      <c r="F754" s="273"/>
      <c r="G754" s="273"/>
      <c r="H754" s="273"/>
      <c r="I754" s="2"/>
      <c r="J754" s="17"/>
      <c r="K754" s="10"/>
      <c r="L754" s="10"/>
      <c r="M754" s="10"/>
      <c r="N754" s="10"/>
      <c r="O754" s="10"/>
      <c r="P754" s="10"/>
      <c r="Q754" s="10"/>
      <c r="R754" s="2"/>
      <c r="S754" s="273"/>
      <c r="T754" s="273"/>
      <c r="U754" s="273"/>
      <c r="V754" s="9"/>
      <c r="W754" s="273"/>
      <c r="X754" s="273"/>
      <c r="Y754" s="9"/>
      <c r="Z754" s="273"/>
      <c r="AA754" s="273"/>
      <c r="AB754" s="9"/>
      <c r="AC754" s="273"/>
      <c r="AD754" s="273"/>
      <c r="AE754" s="9"/>
      <c r="AF754" s="273"/>
      <c r="AG754" s="273"/>
      <c r="AH754" s="9"/>
      <c r="AI754" s="273"/>
      <c r="AJ754" s="273"/>
      <c r="AK754" s="9"/>
      <c r="AL754" s="273"/>
      <c r="AM754" s="273"/>
      <c r="AN754" s="9"/>
      <c r="AO754" s="273"/>
      <c r="AP754" s="273"/>
      <c r="AQ754" s="9"/>
      <c r="AR754" s="273"/>
      <c r="AS754" s="39"/>
    </row>
    <row r="755" spans="1:45" ht="12.75">
      <c r="A755" s="160"/>
      <c r="B755" s="273"/>
      <c r="C755" s="273"/>
      <c r="D755" s="273"/>
      <c r="E755" s="273"/>
      <c r="F755" s="273"/>
      <c r="G755" s="273"/>
      <c r="H755" s="273"/>
      <c r="I755" s="2"/>
      <c r="J755" s="17"/>
      <c r="K755" s="10"/>
      <c r="L755" s="10"/>
      <c r="M755" s="10"/>
      <c r="N755" s="10"/>
      <c r="O755" s="10"/>
      <c r="P755" s="10"/>
      <c r="Q755" s="10"/>
      <c r="R755" s="2"/>
      <c r="S755" s="273"/>
      <c r="T755" s="273"/>
      <c r="U755" s="273"/>
      <c r="V755" s="9"/>
      <c r="W755" s="273"/>
      <c r="X755" s="273"/>
      <c r="Y755" s="9"/>
      <c r="Z755" s="273"/>
      <c r="AA755" s="273"/>
      <c r="AB755" s="9"/>
      <c r="AC755" s="273"/>
      <c r="AD755" s="273"/>
      <c r="AE755" s="9"/>
      <c r="AF755" s="273"/>
      <c r="AG755" s="273"/>
      <c r="AH755" s="9"/>
      <c r="AI755" s="273"/>
      <c r="AJ755" s="273"/>
      <c r="AK755" s="9"/>
      <c r="AL755" s="273"/>
      <c r="AM755" s="273"/>
      <c r="AN755" s="9"/>
      <c r="AO755" s="273"/>
      <c r="AP755" s="273"/>
      <c r="AQ755" s="9"/>
      <c r="AR755" s="273"/>
      <c r="AS755" s="39"/>
    </row>
    <row r="756" spans="1:45" ht="12.75">
      <c r="A756" s="160"/>
      <c r="B756" s="273"/>
      <c r="C756" s="273"/>
      <c r="D756" s="273"/>
      <c r="E756" s="273"/>
      <c r="F756" s="273"/>
      <c r="G756" s="273"/>
      <c r="H756" s="273"/>
      <c r="I756" s="2"/>
      <c r="J756" s="17"/>
      <c r="K756" s="10"/>
      <c r="L756" s="10"/>
      <c r="M756" s="10"/>
      <c r="N756" s="10"/>
      <c r="O756" s="10"/>
      <c r="P756" s="10"/>
      <c r="Q756" s="10"/>
      <c r="R756" s="2"/>
      <c r="S756" s="273"/>
      <c r="T756" s="273"/>
      <c r="U756" s="273"/>
      <c r="V756" s="9"/>
      <c r="W756" s="273"/>
      <c r="X756" s="273"/>
      <c r="Y756" s="9"/>
      <c r="Z756" s="273"/>
      <c r="AA756" s="273"/>
      <c r="AB756" s="9"/>
      <c r="AC756" s="273"/>
      <c r="AD756" s="273"/>
      <c r="AE756" s="9"/>
      <c r="AF756" s="273"/>
      <c r="AG756" s="273"/>
      <c r="AH756" s="9"/>
      <c r="AI756" s="273"/>
      <c r="AJ756" s="273"/>
      <c r="AK756" s="9"/>
      <c r="AL756" s="273"/>
      <c r="AM756" s="273"/>
      <c r="AN756" s="9"/>
      <c r="AO756" s="273"/>
      <c r="AP756" s="273"/>
      <c r="AQ756" s="9"/>
      <c r="AR756" s="273"/>
      <c r="AS756" s="39"/>
    </row>
    <row r="757" spans="1:45" ht="12.75">
      <c r="A757" s="160"/>
      <c r="B757" s="273"/>
      <c r="C757" s="273"/>
      <c r="D757" s="273"/>
      <c r="E757" s="273"/>
      <c r="F757" s="273"/>
      <c r="G757" s="273"/>
      <c r="H757" s="273"/>
      <c r="I757" s="2"/>
      <c r="J757" s="17"/>
      <c r="K757" s="10"/>
      <c r="L757" s="10"/>
      <c r="M757" s="10"/>
      <c r="N757" s="10"/>
      <c r="O757" s="10"/>
      <c r="P757" s="10"/>
      <c r="Q757" s="10"/>
      <c r="R757" s="2"/>
      <c r="S757" s="273"/>
      <c r="T757" s="273"/>
      <c r="U757" s="273"/>
      <c r="V757" s="9"/>
      <c r="W757" s="273"/>
      <c r="X757" s="273"/>
      <c r="Y757" s="9"/>
      <c r="Z757" s="273"/>
      <c r="AA757" s="273"/>
      <c r="AB757" s="9"/>
      <c r="AC757" s="273"/>
      <c r="AD757" s="273"/>
      <c r="AE757" s="9"/>
      <c r="AF757" s="273"/>
      <c r="AG757" s="273"/>
      <c r="AH757" s="9"/>
      <c r="AI757" s="273"/>
      <c r="AJ757" s="273"/>
      <c r="AK757" s="9"/>
      <c r="AL757" s="273"/>
      <c r="AM757" s="273"/>
      <c r="AN757" s="9"/>
      <c r="AO757" s="273"/>
      <c r="AP757" s="273"/>
      <c r="AQ757" s="9"/>
      <c r="AR757" s="273"/>
      <c r="AS757" s="39"/>
    </row>
    <row r="758" spans="1:45" ht="12.75">
      <c r="A758" s="160"/>
      <c r="B758" s="273"/>
      <c r="C758" s="273"/>
      <c r="D758" s="273"/>
      <c r="E758" s="273"/>
      <c r="F758" s="273"/>
      <c r="G758" s="273"/>
      <c r="H758" s="273"/>
      <c r="I758" s="2"/>
      <c r="J758" s="17"/>
      <c r="K758" s="10"/>
      <c r="L758" s="10"/>
      <c r="M758" s="10"/>
      <c r="N758" s="10"/>
      <c r="O758" s="10"/>
      <c r="P758" s="10"/>
      <c r="Q758" s="10"/>
      <c r="R758" s="2"/>
      <c r="S758" s="273"/>
      <c r="T758" s="273"/>
      <c r="U758" s="273"/>
      <c r="V758" s="9"/>
      <c r="W758" s="273"/>
      <c r="X758" s="273"/>
      <c r="Y758" s="9"/>
      <c r="Z758" s="273"/>
      <c r="AA758" s="273"/>
      <c r="AB758" s="9"/>
      <c r="AC758" s="273"/>
      <c r="AD758" s="273"/>
      <c r="AE758" s="9"/>
      <c r="AF758" s="273"/>
      <c r="AG758" s="273"/>
      <c r="AH758" s="9"/>
      <c r="AI758" s="273"/>
      <c r="AJ758" s="273"/>
      <c r="AK758" s="9"/>
      <c r="AL758" s="273"/>
      <c r="AM758" s="273"/>
      <c r="AN758" s="9"/>
      <c r="AO758" s="273"/>
      <c r="AP758" s="273"/>
      <c r="AQ758" s="9"/>
      <c r="AR758" s="273"/>
      <c r="AS758" s="39"/>
    </row>
    <row r="759" spans="1:45" ht="12.75">
      <c r="A759" s="160"/>
      <c r="B759" s="273"/>
      <c r="C759" s="273"/>
      <c r="D759" s="273"/>
      <c r="E759" s="273"/>
      <c r="F759" s="273"/>
      <c r="G759" s="273"/>
      <c r="H759" s="273"/>
      <c r="I759" s="2"/>
      <c r="J759" s="17"/>
      <c r="K759" s="10"/>
      <c r="L759" s="10"/>
      <c r="M759" s="10"/>
      <c r="N759" s="10"/>
      <c r="O759" s="10"/>
      <c r="P759" s="10"/>
      <c r="Q759" s="10"/>
      <c r="R759" s="2"/>
      <c r="S759" s="273"/>
      <c r="T759" s="273"/>
      <c r="U759" s="273"/>
      <c r="V759" s="9"/>
      <c r="W759" s="273"/>
      <c r="X759" s="273"/>
      <c r="Y759" s="9"/>
      <c r="Z759" s="273"/>
      <c r="AA759" s="273"/>
      <c r="AB759" s="9"/>
      <c r="AC759" s="273"/>
      <c r="AD759" s="273"/>
      <c r="AE759" s="9"/>
      <c r="AF759" s="273"/>
      <c r="AG759" s="273"/>
      <c r="AH759" s="9"/>
      <c r="AI759" s="273"/>
      <c r="AJ759" s="273"/>
      <c r="AK759" s="9"/>
      <c r="AL759" s="273"/>
      <c r="AM759" s="273"/>
      <c r="AN759" s="9"/>
      <c r="AO759" s="273"/>
      <c r="AP759" s="273"/>
      <c r="AQ759" s="9"/>
      <c r="AR759" s="273"/>
      <c r="AS759" s="39"/>
    </row>
    <row r="760" spans="1:45" ht="12.75">
      <c r="A760" s="160"/>
      <c r="B760" s="273"/>
      <c r="C760" s="273"/>
      <c r="D760" s="273"/>
      <c r="E760" s="273"/>
      <c r="F760" s="273"/>
      <c r="G760" s="273"/>
      <c r="H760" s="273"/>
      <c r="I760" s="2"/>
      <c r="J760" s="17"/>
      <c r="K760" s="10"/>
      <c r="L760" s="10"/>
      <c r="M760" s="10"/>
      <c r="N760" s="10"/>
      <c r="O760" s="10"/>
      <c r="P760" s="10"/>
      <c r="Q760" s="10"/>
      <c r="R760" s="2"/>
      <c r="S760" s="273"/>
      <c r="T760" s="273"/>
      <c r="U760" s="273"/>
      <c r="V760" s="9"/>
      <c r="W760" s="273"/>
      <c r="X760" s="273"/>
      <c r="Y760" s="9"/>
      <c r="Z760" s="273"/>
      <c r="AA760" s="273"/>
      <c r="AB760" s="9"/>
      <c r="AC760" s="273"/>
      <c r="AD760" s="273"/>
      <c r="AE760" s="9"/>
      <c r="AF760" s="273"/>
      <c r="AG760" s="273"/>
      <c r="AH760" s="9"/>
      <c r="AI760" s="273"/>
      <c r="AJ760" s="273"/>
      <c r="AK760" s="9"/>
      <c r="AL760" s="273"/>
      <c r="AM760" s="273"/>
      <c r="AN760" s="9"/>
      <c r="AO760" s="273"/>
      <c r="AP760" s="273"/>
      <c r="AQ760" s="9"/>
      <c r="AR760" s="273"/>
      <c r="AS760" s="39"/>
    </row>
    <row r="761" spans="1:45" ht="12.75">
      <c r="A761" s="160"/>
      <c r="B761" s="273"/>
      <c r="C761" s="273"/>
      <c r="D761" s="273"/>
      <c r="E761" s="273"/>
      <c r="F761" s="273"/>
      <c r="G761" s="273"/>
      <c r="H761" s="273"/>
      <c r="I761" s="2"/>
      <c r="J761" s="17"/>
      <c r="K761" s="10"/>
      <c r="L761" s="10"/>
      <c r="M761" s="10"/>
      <c r="N761" s="10"/>
      <c r="O761" s="10"/>
      <c r="P761" s="10"/>
      <c r="Q761" s="10"/>
      <c r="R761" s="2"/>
      <c r="S761" s="273"/>
      <c r="T761" s="273"/>
      <c r="U761" s="273"/>
      <c r="V761" s="9"/>
      <c r="W761" s="273"/>
      <c r="X761" s="273"/>
      <c r="Y761" s="9"/>
      <c r="Z761" s="273"/>
      <c r="AA761" s="273"/>
      <c r="AB761" s="9"/>
      <c r="AC761" s="273"/>
      <c r="AD761" s="273"/>
      <c r="AE761" s="9"/>
      <c r="AF761" s="273"/>
      <c r="AG761" s="273"/>
      <c r="AH761" s="9"/>
      <c r="AI761" s="273"/>
      <c r="AJ761" s="273"/>
      <c r="AK761" s="9"/>
      <c r="AL761" s="273"/>
      <c r="AM761" s="273"/>
      <c r="AN761" s="9"/>
      <c r="AO761" s="273"/>
      <c r="AP761" s="273"/>
      <c r="AQ761" s="9"/>
      <c r="AR761" s="273"/>
      <c r="AS761" s="39"/>
    </row>
    <row r="762" spans="1:45" ht="12.75">
      <c r="A762" s="160"/>
      <c r="B762" s="273"/>
      <c r="C762" s="273"/>
      <c r="D762" s="273"/>
      <c r="E762" s="273"/>
      <c r="F762" s="273"/>
      <c r="G762" s="273"/>
      <c r="H762" s="273"/>
      <c r="I762" s="2"/>
      <c r="J762" s="17"/>
      <c r="K762" s="10"/>
      <c r="L762" s="10"/>
      <c r="M762" s="10"/>
      <c r="N762" s="10"/>
      <c r="O762" s="10"/>
      <c r="P762" s="10"/>
      <c r="Q762" s="10"/>
      <c r="R762" s="2"/>
      <c r="S762" s="273"/>
      <c r="T762" s="273"/>
      <c r="U762" s="273"/>
      <c r="V762" s="9"/>
      <c r="W762" s="273"/>
      <c r="X762" s="273"/>
      <c r="Y762" s="9"/>
      <c r="Z762" s="273"/>
      <c r="AA762" s="273"/>
      <c r="AB762" s="9"/>
      <c r="AC762" s="273"/>
      <c r="AD762" s="273"/>
      <c r="AE762" s="9"/>
      <c r="AF762" s="273"/>
      <c r="AG762" s="273"/>
      <c r="AH762" s="9"/>
      <c r="AI762" s="273"/>
      <c r="AJ762" s="273"/>
      <c r="AK762" s="9"/>
      <c r="AL762" s="273"/>
      <c r="AM762" s="273"/>
      <c r="AN762" s="9"/>
      <c r="AO762" s="273"/>
      <c r="AP762" s="273"/>
      <c r="AQ762" s="9"/>
      <c r="AR762" s="273"/>
      <c r="AS762" s="39"/>
    </row>
    <row r="763" spans="1:45" ht="12.75">
      <c r="A763" s="160"/>
      <c r="B763" s="273"/>
      <c r="C763" s="273"/>
      <c r="D763" s="273"/>
      <c r="E763" s="273"/>
      <c r="F763" s="273"/>
      <c r="G763" s="273"/>
      <c r="H763" s="273"/>
      <c r="I763" s="2"/>
      <c r="J763" s="17"/>
      <c r="K763" s="10"/>
      <c r="L763" s="10"/>
      <c r="M763" s="10"/>
      <c r="N763" s="10"/>
      <c r="O763" s="10"/>
      <c r="P763" s="10"/>
      <c r="Q763" s="10"/>
      <c r="R763" s="2"/>
      <c r="S763" s="273"/>
      <c r="T763" s="273"/>
      <c r="U763" s="273"/>
      <c r="V763" s="9"/>
      <c r="W763" s="273"/>
      <c r="X763" s="273"/>
      <c r="Y763" s="9"/>
      <c r="Z763" s="273"/>
      <c r="AA763" s="273"/>
      <c r="AB763" s="9"/>
      <c r="AC763" s="273"/>
      <c r="AD763" s="273"/>
      <c r="AE763" s="9"/>
      <c r="AF763" s="273"/>
      <c r="AG763" s="273"/>
      <c r="AH763" s="9"/>
      <c r="AI763" s="273"/>
      <c r="AJ763" s="273"/>
      <c r="AK763" s="9"/>
      <c r="AL763" s="273"/>
      <c r="AM763" s="273"/>
      <c r="AN763" s="9"/>
      <c r="AO763" s="273"/>
      <c r="AP763" s="273"/>
      <c r="AQ763" s="9"/>
      <c r="AR763" s="273"/>
      <c r="AS763" s="39"/>
    </row>
    <row r="764" spans="1:45" ht="12.75">
      <c r="A764" s="160"/>
      <c r="B764" s="273"/>
      <c r="C764" s="273"/>
      <c r="D764" s="273"/>
      <c r="E764" s="273"/>
      <c r="F764" s="273"/>
      <c r="G764" s="273"/>
      <c r="H764" s="273"/>
      <c r="I764" s="2"/>
      <c r="J764" s="17"/>
      <c r="K764" s="10"/>
      <c r="L764" s="10"/>
      <c r="M764" s="10"/>
      <c r="N764" s="10"/>
      <c r="O764" s="10"/>
      <c r="P764" s="10"/>
      <c r="Q764" s="10"/>
      <c r="R764" s="2"/>
      <c r="S764" s="273"/>
      <c r="T764" s="273"/>
      <c r="U764" s="273"/>
      <c r="V764" s="9"/>
      <c r="W764" s="273"/>
      <c r="X764" s="273"/>
      <c r="Y764" s="9"/>
      <c r="Z764" s="273"/>
      <c r="AA764" s="273"/>
      <c r="AB764" s="9"/>
      <c r="AC764" s="273"/>
      <c r="AD764" s="273"/>
      <c r="AE764" s="9"/>
      <c r="AF764" s="273"/>
      <c r="AG764" s="273"/>
      <c r="AH764" s="9"/>
      <c r="AI764" s="273"/>
      <c r="AJ764" s="273"/>
      <c r="AK764" s="9"/>
      <c r="AL764" s="273"/>
      <c r="AM764" s="273"/>
      <c r="AN764" s="9"/>
      <c r="AO764" s="273"/>
      <c r="AP764" s="273"/>
      <c r="AQ764" s="9"/>
      <c r="AR764" s="273"/>
      <c r="AS764" s="39"/>
    </row>
    <row r="765" spans="1:45" ht="12.75">
      <c r="A765" s="160"/>
      <c r="B765" s="273"/>
      <c r="C765" s="273"/>
      <c r="D765" s="273"/>
      <c r="E765" s="273"/>
      <c r="F765" s="273"/>
      <c r="G765" s="273"/>
      <c r="H765" s="273"/>
      <c r="I765" s="2"/>
      <c r="J765" s="17"/>
      <c r="K765" s="10"/>
      <c r="L765" s="10"/>
      <c r="M765" s="10"/>
      <c r="N765" s="10"/>
      <c r="O765" s="10"/>
      <c r="P765" s="10"/>
      <c r="Q765" s="10"/>
      <c r="R765" s="2"/>
      <c r="S765" s="273"/>
      <c r="T765" s="273"/>
      <c r="U765" s="273"/>
      <c r="V765" s="9"/>
      <c r="W765" s="273"/>
      <c r="X765" s="273"/>
      <c r="Y765" s="9"/>
      <c r="Z765" s="273"/>
      <c r="AA765" s="273"/>
      <c r="AB765" s="9"/>
      <c r="AC765" s="273"/>
      <c r="AD765" s="273"/>
      <c r="AE765" s="9"/>
      <c r="AF765" s="273"/>
      <c r="AG765" s="273"/>
      <c r="AH765" s="9"/>
      <c r="AI765" s="273"/>
      <c r="AJ765" s="273"/>
      <c r="AK765" s="9"/>
      <c r="AL765" s="273"/>
      <c r="AM765" s="273"/>
      <c r="AN765" s="9"/>
      <c r="AO765" s="273"/>
      <c r="AP765" s="273"/>
      <c r="AQ765" s="9"/>
      <c r="AR765" s="273"/>
      <c r="AS765" s="39"/>
    </row>
    <row r="766" spans="1:45" ht="12.75">
      <c r="A766" s="160"/>
      <c r="B766" s="273"/>
      <c r="C766" s="273"/>
      <c r="D766" s="273"/>
      <c r="E766" s="273"/>
      <c r="F766" s="273"/>
      <c r="G766" s="273"/>
      <c r="H766" s="273"/>
      <c r="I766" s="2"/>
      <c r="J766" s="17"/>
      <c r="K766" s="10"/>
      <c r="L766" s="10"/>
      <c r="M766" s="10"/>
      <c r="N766" s="10"/>
      <c r="O766" s="10"/>
      <c r="P766" s="10"/>
      <c r="Q766" s="10"/>
      <c r="R766" s="2"/>
      <c r="S766" s="273"/>
      <c r="T766" s="273"/>
      <c r="U766" s="273"/>
      <c r="V766" s="9"/>
      <c r="W766" s="273"/>
      <c r="X766" s="273"/>
      <c r="Y766" s="9"/>
      <c r="Z766" s="273"/>
      <c r="AA766" s="273"/>
      <c r="AB766" s="9"/>
      <c r="AC766" s="273"/>
      <c r="AD766" s="273"/>
      <c r="AE766" s="9"/>
      <c r="AF766" s="273"/>
      <c r="AG766" s="273"/>
      <c r="AH766" s="9"/>
      <c r="AI766" s="273"/>
      <c r="AJ766" s="273"/>
      <c r="AK766" s="9"/>
      <c r="AL766" s="273"/>
      <c r="AM766" s="273"/>
      <c r="AN766" s="9"/>
      <c r="AO766" s="273"/>
      <c r="AP766" s="273"/>
      <c r="AQ766" s="9"/>
      <c r="AR766" s="273"/>
      <c r="AS766" s="39"/>
    </row>
    <row r="767" spans="1:45" ht="12.75">
      <c r="A767" s="160"/>
      <c r="B767" s="273"/>
      <c r="C767" s="273"/>
      <c r="D767" s="273"/>
      <c r="E767" s="273"/>
      <c r="F767" s="273"/>
      <c r="G767" s="273"/>
      <c r="H767" s="273"/>
      <c r="I767" s="2"/>
      <c r="J767" s="17"/>
      <c r="K767" s="10"/>
      <c r="L767" s="10"/>
      <c r="M767" s="10"/>
      <c r="N767" s="10"/>
      <c r="O767" s="10"/>
      <c r="P767" s="10"/>
      <c r="Q767" s="10"/>
      <c r="R767" s="2"/>
      <c r="S767" s="273"/>
      <c r="T767" s="273"/>
      <c r="U767" s="273"/>
      <c r="V767" s="9"/>
      <c r="W767" s="273"/>
      <c r="X767" s="273"/>
      <c r="Y767" s="9"/>
      <c r="Z767" s="273"/>
      <c r="AA767" s="273"/>
      <c r="AB767" s="9"/>
      <c r="AC767" s="273"/>
      <c r="AD767" s="273"/>
      <c r="AE767" s="9"/>
      <c r="AF767" s="273"/>
      <c r="AG767" s="273"/>
      <c r="AH767" s="9"/>
      <c r="AI767" s="273"/>
      <c r="AJ767" s="273"/>
      <c r="AK767" s="9"/>
      <c r="AL767" s="273"/>
      <c r="AM767" s="273"/>
      <c r="AN767" s="9"/>
      <c r="AO767" s="273"/>
      <c r="AP767" s="273"/>
      <c r="AQ767" s="9"/>
      <c r="AR767" s="273"/>
      <c r="AS767" s="39"/>
    </row>
    <row r="768" spans="1:45" ht="12.75">
      <c r="A768" s="160"/>
      <c r="B768" s="273"/>
      <c r="C768" s="273"/>
      <c r="D768" s="273"/>
      <c r="E768" s="273"/>
      <c r="F768" s="273"/>
      <c r="G768" s="273"/>
      <c r="H768" s="273"/>
      <c r="I768" s="2"/>
      <c r="J768" s="17"/>
      <c r="K768" s="10"/>
      <c r="L768" s="10"/>
      <c r="M768" s="10"/>
      <c r="N768" s="10"/>
      <c r="O768" s="10"/>
      <c r="P768" s="10"/>
      <c r="Q768" s="10"/>
      <c r="R768" s="2"/>
      <c r="S768" s="273"/>
      <c r="T768" s="273"/>
      <c r="U768" s="273"/>
      <c r="V768" s="9"/>
      <c r="W768" s="273"/>
      <c r="X768" s="273"/>
      <c r="Y768" s="9"/>
      <c r="Z768" s="273"/>
      <c r="AA768" s="273"/>
      <c r="AB768" s="9"/>
      <c r="AC768" s="273"/>
      <c r="AD768" s="273"/>
      <c r="AE768" s="9"/>
      <c r="AF768" s="273"/>
      <c r="AG768" s="273"/>
      <c r="AH768" s="9"/>
      <c r="AI768" s="273"/>
      <c r="AJ768" s="273"/>
      <c r="AK768" s="9"/>
      <c r="AL768" s="273"/>
      <c r="AM768" s="273"/>
      <c r="AN768" s="9"/>
      <c r="AO768" s="273"/>
      <c r="AP768" s="273"/>
      <c r="AQ768" s="9"/>
      <c r="AR768" s="273"/>
      <c r="AS768" s="39"/>
    </row>
    <row r="769" spans="1:45" ht="12.75">
      <c r="A769" s="160"/>
      <c r="B769" s="273"/>
      <c r="C769" s="273"/>
      <c r="D769" s="273"/>
      <c r="E769" s="273"/>
      <c r="F769" s="273"/>
      <c r="G769" s="273"/>
      <c r="H769" s="273"/>
      <c r="I769" s="2"/>
      <c r="J769" s="17"/>
      <c r="K769" s="10"/>
      <c r="L769" s="10"/>
      <c r="M769" s="10"/>
      <c r="N769" s="10"/>
      <c r="O769" s="10"/>
      <c r="P769" s="10"/>
      <c r="Q769" s="10"/>
      <c r="R769" s="2"/>
      <c r="S769" s="273"/>
      <c r="T769" s="273"/>
      <c r="U769" s="273"/>
      <c r="V769" s="9"/>
      <c r="W769" s="273"/>
      <c r="X769" s="273"/>
      <c r="Y769" s="9"/>
      <c r="Z769" s="273"/>
      <c r="AA769" s="273"/>
      <c r="AB769" s="9"/>
      <c r="AC769" s="273"/>
      <c r="AD769" s="273"/>
      <c r="AE769" s="9"/>
      <c r="AF769" s="273"/>
      <c r="AG769" s="273"/>
      <c r="AH769" s="9"/>
      <c r="AI769" s="273"/>
      <c r="AJ769" s="273"/>
      <c r="AK769" s="9"/>
      <c r="AL769" s="273"/>
      <c r="AM769" s="273"/>
      <c r="AN769" s="9"/>
      <c r="AO769" s="273"/>
      <c r="AP769" s="273"/>
      <c r="AQ769" s="9"/>
      <c r="AR769" s="273"/>
      <c r="AS769" s="39"/>
    </row>
    <row r="770" spans="1:45" ht="12.75">
      <c r="A770" s="160"/>
      <c r="B770" s="273"/>
      <c r="C770" s="273"/>
      <c r="D770" s="273"/>
      <c r="E770" s="273"/>
      <c r="F770" s="273"/>
      <c r="G770" s="273"/>
      <c r="H770" s="273"/>
      <c r="I770" s="2"/>
      <c r="J770" s="17"/>
      <c r="K770" s="10"/>
      <c r="L770" s="10"/>
      <c r="M770" s="10"/>
      <c r="N770" s="10"/>
      <c r="O770" s="10"/>
      <c r="P770" s="10"/>
      <c r="Q770" s="10"/>
      <c r="R770" s="2"/>
      <c r="S770" s="273"/>
      <c r="T770" s="273"/>
      <c r="U770" s="273"/>
      <c r="V770" s="9"/>
      <c r="W770" s="273"/>
      <c r="X770" s="273"/>
      <c r="Y770" s="9"/>
      <c r="Z770" s="273"/>
      <c r="AA770" s="273"/>
      <c r="AB770" s="9"/>
      <c r="AC770" s="273"/>
      <c r="AD770" s="273"/>
      <c r="AE770" s="9"/>
      <c r="AF770" s="273"/>
      <c r="AG770" s="273"/>
      <c r="AH770" s="9"/>
      <c r="AI770" s="273"/>
      <c r="AJ770" s="273"/>
      <c r="AK770" s="9"/>
      <c r="AL770" s="273"/>
      <c r="AM770" s="273"/>
      <c r="AN770" s="9"/>
      <c r="AO770" s="273"/>
      <c r="AP770" s="273"/>
      <c r="AQ770" s="9"/>
      <c r="AR770" s="273"/>
      <c r="AS770" s="39"/>
    </row>
    <row r="771" spans="1:45" ht="12.75">
      <c r="A771" s="160"/>
      <c r="B771" s="273"/>
      <c r="C771" s="273"/>
      <c r="D771" s="273"/>
      <c r="E771" s="273"/>
      <c r="F771" s="273"/>
      <c r="G771" s="273"/>
      <c r="H771" s="273"/>
      <c r="I771" s="2"/>
      <c r="J771" s="17"/>
      <c r="K771" s="10"/>
      <c r="L771" s="10"/>
      <c r="M771" s="10"/>
      <c r="N771" s="10"/>
      <c r="O771" s="10"/>
      <c r="P771" s="10"/>
      <c r="Q771" s="10"/>
      <c r="R771" s="2"/>
      <c r="S771" s="273"/>
      <c r="T771" s="273"/>
      <c r="U771" s="273"/>
      <c r="V771" s="9"/>
      <c r="W771" s="273"/>
      <c r="X771" s="273"/>
      <c r="Y771" s="9"/>
      <c r="Z771" s="273"/>
      <c r="AA771" s="273"/>
      <c r="AB771" s="9"/>
      <c r="AC771" s="273"/>
      <c r="AD771" s="273"/>
      <c r="AE771" s="9"/>
      <c r="AF771" s="273"/>
      <c r="AG771" s="273"/>
      <c r="AH771" s="9"/>
      <c r="AI771" s="273"/>
      <c r="AJ771" s="273"/>
      <c r="AK771" s="9"/>
      <c r="AL771" s="273"/>
      <c r="AM771" s="273"/>
      <c r="AN771" s="9"/>
      <c r="AO771" s="273"/>
      <c r="AP771" s="273"/>
      <c r="AQ771" s="9"/>
      <c r="AR771" s="273"/>
      <c r="AS771" s="39"/>
    </row>
    <row r="772" spans="1:45" ht="12.75">
      <c r="A772" s="160"/>
      <c r="B772" s="273"/>
      <c r="C772" s="273"/>
      <c r="D772" s="273"/>
      <c r="E772" s="273"/>
      <c r="F772" s="273"/>
      <c r="G772" s="273"/>
      <c r="H772" s="273"/>
      <c r="I772" s="2"/>
      <c r="J772" s="17"/>
      <c r="K772" s="10"/>
      <c r="L772" s="10"/>
      <c r="M772" s="10"/>
      <c r="N772" s="10"/>
      <c r="O772" s="10"/>
      <c r="P772" s="10"/>
      <c r="Q772" s="10"/>
      <c r="R772" s="2"/>
      <c r="S772" s="273"/>
      <c r="T772" s="273"/>
      <c r="U772" s="273"/>
      <c r="V772" s="9"/>
      <c r="W772" s="273"/>
      <c r="X772" s="273"/>
      <c r="Y772" s="9"/>
      <c r="Z772" s="273"/>
      <c r="AA772" s="273"/>
      <c r="AB772" s="9"/>
      <c r="AC772" s="273"/>
      <c r="AD772" s="273"/>
      <c r="AE772" s="9"/>
      <c r="AF772" s="273"/>
      <c r="AG772" s="273"/>
      <c r="AH772" s="9"/>
      <c r="AI772" s="273"/>
      <c r="AJ772" s="273"/>
      <c r="AK772" s="9"/>
      <c r="AL772" s="273"/>
      <c r="AM772" s="273"/>
      <c r="AN772" s="9"/>
      <c r="AO772" s="273"/>
      <c r="AP772" s="273"/>
      <c r="AQ772" s="9"/>
      <c r="AR772" s="273"/>
      <c r="AS772" s="39"/>
    </row>
    <row r="773" spans="1:45" ht="12.75">
      <c r="A773" s="160"/>
      <c r="B773" s="273"/>
      <c r="C773" s="273"/>
      <c r="D773" s="273"/>
      <c r="E773" s="273"/>
      <c r="F773" s="273"/>
      <c r="G773" s="273"/>
      <c r="H773" s="273"/>
      <c r="I773" s="2"/>
      <c r="J773" s="17"/>
      <c r="K773" s="10"/>
      <c r="L773" s="10"/>
      <c r="M773" s="10"/>
      <c r="N773" s="10"/>
      <c r="O773" s="10"/>
      <c r="P773" s="10"/>
      <c r="Q773" s="10"/>
      <c r="R773" s="2"/>
      <c r="S773" s="273"/>
      <c r="T773" s="273"/>
      <c r="U773" s="273"/>
      <c r="V773" s="9"/>
      <c r="W773" s="273"/>
      <c r="X773" s="273"/>
      <c r="Y773" s="9"/>
      <c r="Z773" s="273"/>
      <c r="AA773" s="273"/>
      <c r="AB773" s="9"/>
      <c r="AC773" s="273"/>
      <c r="AD773" s="273"/>
      <c r="AE773" s="9"/>
      <c r="AF773" s="273"/>
      <c r="AG773" s="273"/>
      <c r="AH773" s="9"/>
      <c r="AI773" s="273"/>
      <c r="AJ773" s="273"/>
      <c r="AK773" s="9"/>
      <c r="AL773" s="273"/>
      <c r="AM773" s="273"/>
      <c r="AN773" s="9"/>
      <c r="AO773" s="273"/>
      <c r="AP773" s="273"/>
      <c r="AQ773" s="9"/>
      <c r="AR773" s="273"/>
      <c r="AS773" s="39"/>
    </row>
    <row r="774" spans="1:45" ht="12.75">
      <c r="A774" s="160"/>
      <c r="B774" s="273"/>
      <c r="C774" s="273"/>
      <c r="D774" s="273"/>
      <c r="E774" s="273"/>
      <c r="F774" s="273"/>
      <c r="G774" s="273"/>
      <c r="H774" s="273"/>
      <c r="I774" s="2"/>
      <c r="J774" s="17"/>
      <c r="K774" s="10"/>
      <c r="L774" s="10"/>
      <c r="M774" s="10"/>
      <c r="N774" s="10"/>
      <c r="O774" s="10"/>
      <c r="P774" s="10"/>
      <c r="Q774" s="10"/>
      <c r="R774" s="2"/>
      <c r="S774" s="273"/>
      <c r="T774" s="273"/>
      <c r="U774" s="273"/>
      <c r="V774" s="9"/>
      <c r="W774" s="273"/>
      <c r="X774" s="273"/>
      <c r="Y774" s="9"/>
      <c r="Z774" s="273"/>
      <c r="AA774" s="273"/>
      <c r="AB774" s="9"/>
      <c r="AC774" s="273"/>
      <c r="AD774" s="273"/>
      <c r="AE774" s="9"/>
      <c r="AF774" s="273"/>
      <c r="AG774" s="273"/>
      <c r="AH774" s="9"/>
      <c r="AI774" s="273"/>
      <c r="AJ774" s="273"/>
      <c r="AK774" s="9"/>
      <c r="AL774" s="273"/>
      <c r="AM774" s="273"/>
      <c r="AN774" s="9"/>
      <c r="AO774" s="273"/>
      <c r="AP774" s="273"/>
      <c r="AQ774" s="9"/>
      <c r="AR774" s="273"/>
      <c r="AS774" s="39"/>
    </row>
    <row r="775" spans="1:45" ht="12.75">
      <c r="A775" s="160"/>
      <c r="B775" s="273"/>
      <c r="C775" s="273"/>
      <c r="D775" s="273"/>
      <c r="E775" s="273"/>
      <c r="F775" s="273"/>
      <c r="G775" s="273"/>
      <c r="H775" s="273"/>
      <c r="I775" s="2"/>
      <c r="J775" s="17"/>
      <c r="K775" s="10"/>
      <c r="L775" s="10"/>
      <c r="M775" s="10"/>
      <c r="N775" s="10"/>
      <c r="O775" s="10"/>
      <c r="P775" s="10"/>
      <c r="Q775" s="10"/>
      <c r="R775" s="2"/>
      <c r="S775" s="273"/>
      <c r="T775" s="273"/>
      <c r="U775" s="273"/>
      <c r="V775" s="9"/>
      <c r="W775" s="273"/>
      <c r="X775" s="273"/>
      <c r="Y775" s="9"/>
      <c r="Z775" s="273"/>
      <c r="AA775" s="273"/>
      <c r="AB775" s="9"/>
      <c r="AC775" s="273"/>
      <c r="AD775" s="273"/>
      <c r="AE775" s="9"/>
      <c r="AF775" s="273"/>
      <c r="AG775" s="273"/>
      <c r="AH775" s="9"/>
      <c r="AI775" s="273"/>
      <c r="AJ775" s="273"/>
      <c r="AK775" s="9"/>
      <c r="AL775" s="273"/>
      <c r="AM775" s="273"/>
      <c r="AN775" s="9"/>
      <c r="AO775" s="273"/>
      <c r="AP775" s="273"/>
      <c r="AQ775" s="9"/>
      <c r="AR775" s="273"/>
      <c r="AS775" s="39"/>
    </row>
    <row r="776" spans="1:45" ht="12.75">
      <c r="A776" s="160"/>
      <c r="B776" s="273"/>
      <c r="C776" s="273"/>
      <c r="D776" s="273"/>
      <c r="E776" s="273"/>
      <c r="F776" s="273"/>
      <c r="G776" s="273"/>
      <c r="H776" s="273"/>
      <c r="I776" s="2"/>
      <c r="J776" s="17"/>
      <c r="K776" s="10"/>
      <c r="L776" s="10"/>
      <c r="M776" s="10"/>
      <c r="N776" s="10"/>
      <c r="O776" s="10"/>
      <c r="P776" s="10"/>
      <c r="Q776" s="10"/>
      <c r="R776" s="2"/>
      <c r="S776" s="273"/>
      <c r="T776" s="273"/>
      <c r="U776" s="273"/>
      <c r="V776" s="9"/>
      <c r="W776" s="273"/>
      <c r="X776" s="273"/>
      <c r="Y776" s="9"/>
      <c r="Z776" s="273"/>
      <c r="AA776" s="273"/>
      <c r="AB776" s="9"/>
      <c r="AC776" s="273"/>
      <c r="AD776" s="273"/>
      <c r="AE776" s="9"/>
      <c r="AF776" s="273"/>
      <c r="AG776" s="273"/>
      <c r="AH776" s="9"/>
      <c r="AI776" s="273"/>
      <c r="AJ776" s="273"/>
      <c r="AK776" s="9"/>
      <c r="AL776" s="273"/>
      <c r="AM776" s="273"/>
      <c r="AN776" s="9"/>
      <c r="AO776" s="273"/>
      <c r="AP776" s="273"/>
      <c r="AQ776" s="9"/>
      <c r="AR776" s="273"/>
      <c r="AS776" s="39"/>
    </row>
    <row r="777" spans="1:45" ht="12.75">
      <c r="A777" s="160"/>
      <c r="B777" s="273"/>
      <c r="C777" s="273"/>
      <c r="D777" s="273"/>
      <c r="E777" s="273"/>
      <c r="F777" s="273"/>
      <c r="G777" s="273"/>
      <c r="H777" s="273"/>
      <c r="I777" s="2"/>
      <c r="J777" s="17"/>
      <c r="K777" s="10"/>
      <c r="L777" s="10"/>
      <c r="M777" s="10"/>
      <c r="N777" s="10"/>
      <c r="O777" s="10"/>
      <c r="P777" s="10"/>
      <c r="Q777" s="10"/>
      <c r="R777" s="2"/>
      <c r="S777" s="273"/>
      <c r="T777" s="273"/>
      <c r="U777" s="273"/>
      <c r="V777" s="9"/>
      <c r="W777" s="273"/>
      <c r="X777" s="273"/>
      <c r="Y777" s="9"/>
      <c r="Z777" s="273"/>
      <c r="AA777" s="273"/>
      <c r="AB777" s="9"/>
      <c r="AC777" s="273"/>
      <c r="AD777" s="273"/>
      <c r="AE777" s="9"/>
      <c r="AF777" s="273"/>
      <c r="AG777" s="273"/>
      <c r="AH777" s="9"/>
      <c r="AI777" s="273"/>
      <c r="AJ777" s="273"/>
      <c r="AK777" s="9"/>
      <c r="AL777" s="273"/>
      <c r="AM777" s="273"/>
      <c r="AN777" s="9"/>
      <c r="AO777" s="273"/>
      <c r="AP777" s="273"/>
      <c r="AQ777" s="9"/>
      <c r="AR777" s="273"/>
      <c r="AS777" s="39"/>
    </row>
    <row r="778" spans="1:45" ht="12.75">
      <c r="A778" s="160"/>
      <c r="B778" s="273"/>
      <c r="C778" s="273"/>
      <c r="D778" s="273"/>
      <c r="E778" s="273"/>
      <c r="F778" s="273"/>
      <c r="G778" s="273"/>
      <c r="H778" s="273"/>
      <c r="I778" s="2"/>
      <c r="J778" s="17"/>
      <c r="K778" s="10"/>
      <c r="L778" s="10"/>
      <c r="M778" s="10"/>
      <c r="N778" s="10"/>
      <c r="O778" s="10"/>
      <c r="P778" s="10"/>
      <c r="Q778" s="10"/>
      <c r="R778" s="2"/>
      <c r="S778" s="273"/>
      <c r="T778" s="273"/>
      <c r="U778" s="273"/>
      <c r="V778" s="9"/>
      <c r="W778" s="273"/>
      <c r="X778" s="273"/>
      <c r="Y778" s="9"/>
      <c r="Z778" s="273"/>
      <c r="AA778" s="273"/>
      <c r="AB778" s="9"/>
      <c r="AC778" s="273"/>
      <c r="AD778" s="273"/>
      <c r="AE778" s="9"/>
      <c r="AF778" s="273"/>
      <c r="AG778" s="273"/>
      <c r="AH778" s="9"/>
      <c r="AI778" s="273"/>
      <c r="AJ778" s="273"/>
      <c r="AK778" s="9"/>
      <c r="AL778" s="273"/>
      <c r="AM778" s="273"/>
      <c r="AN778" s="9"/>
      <c r="AO778" s="273"/>
      <c r="AP778" s="273"/>
      <c r="AQ778" s="9"/>
      <c r="AR778" s="273"/>
      <c r="AS778" s="39"/>
    </row>
    <row r="779" spans="1:45" ht="12.75">
      <c r="A779" s="160"/>
      <c r="B779" s="273"/>
      <c r="C779" s="273"/>
      <c r="D779" s="273"/>
      <c r="E779" s="273"/>
      <c r="F779" s="273"/>
      <c r="G779" s="273"/>
      <c r="H779" s="273"/>
      <c r="I779" s="2"/>
      <c r="J779" s="17"/>
      <c r="K779" s="10"/>
      <c r="L779" s="10"/>
      <c r="M779" s="10"/>
      <c r="N779" s="10"/>
      <c r="O779" s="10"/>
      <c r="P779" s="10"/>
      <c r="Q779" s="10"/>
      <c r="R779" s="2"/>
      <c r="S779" s="273"/>
      <c r="T779" s="273"/>
      <c r="U779" s="273"/>
      <c r="V779" s="9"/>
      <c r="W779" s="273"/>
      <c r="X779" s="273"/>
      <c r="Y779" s="9"/>
      <c r="Z779" s="273"/>
      <c r="AA779" s="273"/>
      <c r="AB779" s="9"/>
      <c r="AC779" s="273"/>
      <c r="AD779" s="273"/>
      <c r="AE779" s="9"/>
      <c r="AF779" s="273"/>
      <c r="AG779" s="273"/>
      <c r="AH779" s="9"/>
      <c r="AI779" s="273"/>
      <c r="AJ779" s="273"/>
      <c r="AK779" s="9"/>
      <c r="AL779" s="273"/>
      <c r="AM779" s="273"/>
      <c r="AN779" s="9"/>
      <c r="AO779" s="273"/>
      <c r="AP779" s="273"/>
      <c r="AQ779" s="9"/>
      <c r="AR779" s="273"/>
      <c r="AS779" s="39"/>
    </row>
    <row r="780" spans="1:45" ht="12.75">
      <c r="A780" s="160"/>
      <c r="B780" s="273"/>
      <c r="C780" s="273"/>
      <c r="D780" s="273"/>
      <c r="E780" s="273"/>
      <c r="F780" s="273"/>
      <c r="G780" s="273"/>
      <c r="H780" s="273"/>
      <c r="I780" s="2"/>
      <c r="J780" s="17"/>
      <c r="K780" s="10"/>
      <c r="L780" s="10"/>
      <c r="M780" s="10"/>
      <c r="N780" s="10"/>
      <c r="O780" s="10"/>
      <c r="P780" s="10"/>
      <c r="Q780" s="10"/>
      <c r="R780" s="2"/>
      <c r="S780" s="273"/>
      <c r="T780" s="273"/>
      <c r="U780" s="273"/>
      <c r="V780" s="9"/>
      <c r="W780" s="273"/>
      <c r="X780" s="273"/>
      <c r="Y780" s="9"/>
      <c r="Z780" s="273"/>
      <c r="AA780" s="273"/>
      <c r="AB780" s="9"/>
      <c r="AC780" s="273"/>
      <c r="AD780" s="273"/>
      <c r="AE780" s="9"/>
      <c r="AF780" s="273"/>
      <c r="AG780" s="273"/>
      <c r="AH780" s="9"/>
      <c r="AI780" s="273"/>
      <c r="AJ780" s="273"/>
      <c r="AK780" s="9"/>
      <c r="AL780" s="273"/>
      <c r="AM780" s="273"/>
      <c r="AN780" s="9"/>
      <c r="AO780" s="273"/>
      <c r="AP780" s="273"/>
      <c r="AQ780" s="9"/>
      <c r="AR780" s="273"/>
      <c r="AS780" s="39"/>
    </row>
    <row r="781" spans="1:45" ht="12.75">
      <c r="A781" s="160"/>
      <c r="B781" s="273"/>
      <c r="C781" s="273"/>
      <c r="D781" s="273"/>
      <c r="E781" s="273"/>
      <c r="F781" s="273"/>
      <c r="G781" s="273"/>
      <c r="H781" s="273"/>
      <c r="I781" s="2"/>
      <c r="J781" s="17"/>
      <c r="K781" s="10"/>
      <c r="L781" s="10"/>
      <c r="M781" s="10"/>
      <c r="N781" s="10"/>
      <c r="O781" s="10"/>
      <c r="P781" s="10"/>
      <c r="Q781" s="10"/>
      <c r="R781" s="2"/>
      <c r="S781" s="273"/>
      <c r="T781" s="273"/>
      <c r="U781" s="273"/>
      <c r="V781" s="9"/>
      <c r="W781" s="273"/>
      <c r="X781" s="273"/>
      <c r="Y781" s="9"/>
      <c r="Z781" s="273"/>
      <c r="AA781" s="273"/>
      <c r="AB781" s="9"/>
      <c r="AC781" s="273"/>
      <c r="AD781" s="273"/>
      <c r="AE781" s="9"/>
      <c r="AF781" s="273"/>
      <c r="AG781" s="273"/>
      <c r="AH781" s="9"/>
      <c r="AI781" s="273"/>
      <c r="AJ781" s="273"/>
      <c r="AK781" s="9"/>
      <c r="AL781" s="273"/>
      <c r="AM781" s="273"/>
      <c r="AN781" s="9"/>
      <c r="AO781" s="273"/>
      <c r="AP781" s="273"/>
      <c r="AQ781" s="9"/>
      <c r="AR781" s="273"/>
      <c r="AS781" s="39"/>
    </row>
    <row r="782" spans="1:45" ht="12.75">
      <c r="A782" s="160"/>
      <c r="B782" s="273"/>
      <c r="C782" s="273"/>
      <c r="D782" s="273"/>
      <c r="E782" s="273"/>
      <c r="F782" s="273"/>
      <c r="G782" s="273"/>
      <c r="H782" s="273"/>
      <c r="I782" s="2"/>
      <c r="J782" s="17"/>
      <c r="K782" s="10"/>
      <c r="L782" s="10"/>
      <c r="M782" s="10"/>
      <c r="N782" s="10"/>
      <c r="O782" s="10"/>
      <c r="P782" s="10"/>
      <c r="Q782" s="10"/>
      <c r="R782" s="2"/>
      <c r="S782" s="273"/>
      <c r="T782" s="273"/>
      <c r="U782" s="273"/>
      <c r="V782" s="9"/>
      <c r="W782" s="273"/>
      <c r="X782" s="273"/>
      <c r="Y782" s="9"/>
      <c r="Z782" s="273"/>
      <c r="AA782" s="273"/>
      <c r="AB782" s="9"/>
      <c r="AC782" s="273"/>
      <c r="AD782" s="273"/>
      <c r="AE782" s="9"/>
      <c r="AF782" s="273"/>
      <c r="AG782" s="273"/>
      <c r="AH782" s="9"/>
      <c r="AI782" s="273"/>
      <c r="AJ782" s="273"/>
      <c r="AK782" s="9"/>
      <c r="AL782" s="273"/>
      <c r="AM782" s="273"/>
      <c r="AN782" s="9"/>
      <c r="AO782" s="273"/>
      <c r="AP782" s="273"/>
      <c r="AQ782" s="9"/>
      <c r="AR782" s="273"/>
      <c r="AS782" s="39"/>
    </row>
    <row r="783" spans="1:45" ht="12.75">
      <c r="A783" s="160"/>
      <c r="B783" s="273"/>
      <c r="C783" s="273"/>
      <c r="D783" s="273"/>
      <c r="E783" s="273"/>
      <c r="F783" s="273"/>
      <c r="G783" s="273"/>
      <c r="H783" s="273"/>
      <c r="I783" s="2"/>
      <c r="J783" s="17"/>
      <c r="K783" s="10"/>
      <c r="L783" s="10"/>
      <c r="M783" s="10"/>
      <c r="N783" s="10"/>
      <c r="O783" s="10"/>
      <c r="P783" s="10"/>
      <c r="Q783" s="10"/>
      <c r="R783" s="2"/>
      <c r="S783" s="273"/>
      <c r="T783" s="273"/>
      <c r="U783" s="273"/>
      <c r="V783" s="9"/>
      <c r="W783" s="273"/>
      <c r="X783" s="273"/>
      <c r="Y783" s="9"/>
      <c r="Z783" s="273"/>
      <c r="AA783" s="273"/>
      <c r="AB783" s="9"/>
      <c r="AC783" s="273"/>
      <c r="AD783" s="273"/>
      <c r="AE783" s="9"/>
      <c r="AF783" s="273"/>
      <c r="AG783" s="273"/>
      <c r="AH783" s="9"/>
      <c r="AI783" s="273"/>
      <c r="AJ783" s="273"/>
      <c r="AK783" s="9"/>
      <c r="AL783" s="273"/>
      <c r="AM783" s="273"/>
      <c r="AN783" s="9"/>
      <c r="AO783" s="273"/>
      <c r="AP783" s="273"/>
      <c r="AQ783" s="9"/>
      <c r="AR783" s="273"/>
      <c r="AS783" s="39"/>
    </row>
    <row r="784" spans="1:45" ht="12.75">
      <c r="A784" s="160"/>
      <c r="B784" s="273"/>
      <c r="C784" s="273"/>
      <c r="D784" s="273"/>
      <c r="E784" s="273"/>
      <c r="F784" s="273"/>
      <c r="G784" s="273"/>
      <c r="H784" s="273"/>
      <c r="I784" s="2"/>
      <c r="J784" s="17"/>
      <c r="K784" s="10"/>
      <c r="L784" s="10"/>
      <c r="M784" s="10"/>
      <c r="N784" s="10"/>
      <c r="O784" s="10"/>
      <c r="P784" s="10"/>
      <c r="Q784" s="10"/>
      <c r="R784" s="2"/>
      <c r="S784" s="273"/>
      <c r="T784" s="273"/>
      <c r="U784" s="273"/>
      <c r="V784" s="9"/>
      <c r="W784" s="273"/>
      <c r="X784" s="273"/>
      <c r="Y784" s="9"/>
      <c r="Z784" s="273"/>
      <c r="AA784" s="273"/>
      <c r="AB784" s="9"/>
      <c r="AC784" s="273"/>
      <c r="AD784" s="273"/>
      <c r="AE784" s="9"/>
      <c r="AF784" s="273"/>
      <c r="AG784" s="273"/>
      <c r="AH784" s="9"/>
      <c r="AI784" s="273"/>
      <c r="AJ784" s="273"/>
      <c r="AK784" s="9"/>
      <c r="AL784" s="273"/>
      <c r="AM784" s="273"/>
      <c r="AN784" s="9"/>
      <c r="AO784" s="273"/>
      <c r="AP784" s="273"/>
      <c r="AQ784" s="9"/>
      <c r="AR784" s="273"/>
      <c r="AS784" s="39"/>
    </row>
    <row r="785" spans="1:45" ht="12.75">
      <c r="A785" s="160"/>
      <c r="B785" s="273"/>
      <c r="C785" s="273"/>
      <c r="D785" s="273"/>
      <c r="E785" s="273"/>
      <c r="F785" s="273"/>
      <c r="G785" s="273"/>
      <c r="H785" s="273"/>
      <c r="I785" s="2"/>
      <c r="J785" s="17"/>
      <c r="K785" s="10"/>
      <c r="L785" s="10"/>
      <c r="M785" s="10"/>
      <c r="N785" s="10"/>
      <c r="O785" s="10"/>
      <c r="P785" s="10"/>
      <c r="Q785" s="10"/>
      <c r="R785" s="2"/>
      <c r="S785" s="273"/>
      <c r="T785" s="273"/>
      <c r="U785" s="273"/>
      <c r="V785" s="9"/>
      <c r="W785" s="273"/>
      <c r="X785" s="273"/>
      <c r="Y785" s="9"/>
      <c r="Z785" s="273"/>
      <c r="AA785" s="273"/>
      <c r="AB785" s="9"/>
      <c r="AC785" s="273"/>
      <c r="AD785" s="273"/>
      <c r="AE785" s="9"/>
      <c r="AF785" s="273"/>
      <c r="AG785" s="273"/>
      <c r="AH785" s="9"/>
      <c r="AI785" s="273"/>
      <c r="AJ785" s="273"/>
      <c r="AK785" s="9"/>
      <c r="AL785" s="273"/>
      <c r="AM785" s="273"/>
      <c r="AN785" s="9"/>
      <c r="AO785" s="273"/>
      <c r="AP785" s="273"/>
      <c r="AQ785" s="9"/>
      <c r="AR785" s="273"/>
      <c r="AS785" s="39"/>
    </row>
    <row r="786" spans="1:45" ht="12.75">
      <c r="A786" s="160"/>
      <c r="B786" s="273"/>
      <c r="C786" s="273"/>
      <c r="D786" s="273"/>
      <c r="E786" s="273"/>
      <c r="F786" s="273"/>
      <c r="G786" s="273"/>
      <c r="H786" s="273"/>
      <c r="I786" s="2"/>
      <c r="J786" s="17"/>
      <c r="K786" s="10"/>
      <c r="L786" s="10"/>
      <c r="M786" s="10"/>
      <c r="N786" s="10"/>
      <c r="O786" s="10"/>
      <c r="P786" s="10"/>
      <c r="Q786" s="10"/>
      <c r="R786" s="2"/>
      <c r="S786" s="273"/>
      <c r="T786" s="273"/>
      <c r="U786" s="273"/>
      <c r="V786" s="9"/>
      <c r="W786" s="273"/>
      <c r="X786" s="273"/>
      <c r="Y786" s="9"/>
      <c r="Z786" s="273"/>
      <c r="AA786" s="273"/>
      <c r="AB786" s="9"/>
      <c r="AC786" s="273"/>
      <c r="AD786" s="273"/>
      <c r="AE786" s="9"/>
      <c r="AF786" s="273"/>
      <c r="AG786" s="273"/>
      <c r="AH786" s="9"/>
      <c r="AI786" s="273"/>
      <c r="AJ786" s="273"/>
      <c r="AK786" s="9"/>
      <c r="AL786" s="273"/>
      <c r="AM786" s="273"/>
      <c r="AN786" s="9"/>
      <c r="AO786" s="273"/>
      <c r="AP786" s="273"/>
      <c r="AQ786" s="9"/>
      <c r="AR786" s="273"/>
      <c r="AS786" s="39"/>
    </row>
    <row r="787" spans="1:45" ht="12.75">
      <c r="A787" s="160"/>
      <c r="B787" s="273"/>
      <c r="C787" s="273"/>
      <c r="D787" s="273"/>
      <c r="E787" s="273"/>
      <c r="F787" s="273"/>
      <c r="G787" s="273"/>
      <c r="H787" s="273"/>
      <c r="I787" s="2"/>
      <c r="J787" s="17"/>
      <c r="K787" s="10"/>
      <c r="L787" s="10"/>
      <c r="M787" s="10"/>
      <c r="N787" s="10"/>
      <c r="O787" s="10"/>
      <c r="P787" s="10"/>
      <c r="Q787" s="10"/>
      <c r="R787" s="2"/>
      <c r="S787" s="273"/>
      <c r="T787" s="273"/>
      <c r="U787" s="273"/>
      <c r="V787" s="9"/>
      <c r="W787" s="273"/>
      <c r="X787" s="273"/>
      <c r="Y787" s="9"/>
      <c r="Z787" s="273"/>
      <c r="AA787" s="273"/>
      <c r="AB787" s="9"/>
      <c r="AC787" s="273"/>
      <c r="AD787" s="273"/>
      <c r="AE787" s="9"/>
      <c r="AF787" s="273"/>
      <c r="AG787" s="273"/>
      <c r="AH787" s="9"/>
      <c r="AI787" s="273"/>
      <c r="AJ787" s="273"/>
      <c r="AK787" s="9"/>
      <c r="AL787" s="273"/>
      <c r="AM787" s="273"/>
      <c r="AN787" s="9"/>
      <c r="AO787" s="273"/>
      <c r="AP787" s="273"/>
      <c r="AQ787" s="9"/>
      <c r="AR787" s="273"/>
      <c r="AS787" s="39"/>
    </row>
    <row r="788" spans="1:45" ht="12.75">
      <c r="A788" s="160"/>
      <c r="B788" s="273"/>
      <c r="C788" s="273"/>
      <c r="D788" s="273"/>
      <c r="E788" s="273"/>
      <c r="F788" s="273"/>
      <c r="G788" s="273"/>
      <c r="H788" s="273"/>
      <c r="I788" s="2"/>
      <c r="J788" s="17"/>
      <c r="K788" s="10"/>
      <c r="L788" s="10"/>
      <c r="M788" s="10"/>
      <c r="N788" s="10"/>
      <c r="O788" s="10"/>
      <c r="P788" s="10"/>
      <c r="Q788" s="10"/>
      <c r="R788" s="2"/>
      <c r="S788" s="273"/>
      <c r="T788" s="273"/>
      <c r="U788" s="273"/>
      <c r="V788" s="9"/>
      <c r="W788" s="273"/>
      <c r="X788" s="273"/>
      <c r="Y788" s="9"/>
      <c r="Z788" s="273"/>
      <c r="AA788" s="273"/>
      <c r="AB788" s="9"/>
      <c r="AC788" s="273"/>
      <c r="AD788" s="273"/>
      <c r="AE788" s="9"/>
      <c r="AF788" s="273"/>
      <c r="AG788" s="273"/>
      <c r="AH788" s="9"/>
      <c r="AI788" s="273"/>
      <c r="AJ788" s="273"/>
      <c r="AK788" s="9"/>
      <c r="AL788" s="273"/>
      <c r="AM788" s="273"/>
      <c r="AN788" s="9"/>
      <c r="AO788" s="273"/>
      <c r="AP788" s="273"/>
      <c r="AQ788" s="9"/>
      <c r="AR788" s="273"/>
      <c r="AS788" s="39"/>
    </row>
    <row r="789" spans="1:45" ht="12.75">
      <c r="A789" s="160"/>
      <c r="B789" s="273"/>
      <c r="C789" s="273"/>
      <c r="D789" s="273"/>
      <c r="E789" s="273"/>
      <c r="F789" s="273"/>
      <c r="G789" s="273"/>
      <c r="H789" s="273"/>
      <c r="I789" s="2"/>
      <c r="J789" s="17"/>
      <c r="K789" s="10"/>
      <c r="L789" s="10"/>
      <c r="M789" s="10"/>
      <c r="N789" s="10"/>
      <c r="O789" s="10"/>
      <c r="P789" s="10"/>
      <c r="Q789" s="10"/>
      <c r="R789" s="2"/>
      <c r="S789" s="273"/>
      <c r="T789" s="273"/>
      <c r="U789" s="273"/>
      <c r="V789" s="9"/>
      <c r="W789" s="273"/>
      <c r="X789" s="273"/>
      <c r="Y789" s="9"/>
      <c r="Z789" s="273"/>
      <c r="AA789" s="273"/>
      <c r="AB789" s="9"/>
      <c r="AC789" s="273"/>
      <c r="AD789" s="273"/>
      <c r="AE789" s="9"/>
      <c r="AF789" s="273"/>
      <c r="AG789" s="273"/>
      <c r="AH789" s="9"/>
      <c r="AI789" s="273"/>
      <c r="AJ789" s="273"/>
      <c r="AK789" s="9"/>
      <c r="AL789" s="273"/>
      <c r="AM789" s="273"/>
      <c r="AN789" s="9"/>
      <c r="AO789" s="273"/>
      <c r="AP789" s="273"/>
      <c r="AQ789" s="9"/>
      <c r="AR789" s="273"/>
      <c r="AS789" s="39"/>
    </row>
    <row r="790" spans="1:45" ht="12.75">
      <c r="A790" s="160"/>
      <c r="B790" s="273"/>
      <c r="C790" s="273"/>
      <c r="D790" s="273"/>
      <c r="E790" s="273"/>
      <c r="F790" s="273"/>
      <c r="G790" s="273"/>
      <c r="H790" s="273"/>
      <c r="I790" s="2"/>
      <c r="J790" s="17"/>
      <c r="K790" s="10"/>
      <c r="L790" s="10"/>
      <c r="M790" s="10"/>
      <c r="N790" s="10"/>
      <c r="O790" s="10"/>
      <c r="P790" s="10"/>
      <c r="Q790" s="10"/>
      <c r="R790" s="2"/>
      <c r="S790" s="273"/>
      <c r="T790" s="273"/>
      <c r="U790" s="273"/>
      <c r="V790" s="9"/>
      <c r="W790" s="273"/>
      <c r="X790" s="273"/>
      <c r="Y790" s="9"/>
      <c r="Z790" s="273"/>
      <c r="AA790" s="273"/>
      <c r="AB790" s="9"/>
      <c r="AC790" s="273"/>
      <c r="AD790" s="273"/>
      <c r="AE790" s="9"/>
      <c r="AF790" s="273"/>
      <c r="AG790" s="273"/>
      <c r="AH790" s="9"/>
      <c r="AI790" s="273"/>
      <c r="AJ790" s="273"/>
      <c r="AK790" s="9"/>
      <c r="AL790" s="273"/>
      <c r="AM790" s="273"/>
      <c r="AN790" s="9"/>
      <c r="AO790" s="273"/>
      <c r="AP790" s="273"/>
      <c r="AQ790" s="9"/>
      <c r="AR790" s="273"/>
      <c r="AS790" s="39"/>
    </row>
    <row r="791" spans="1:45" ht="12.75">
      <c r="A791" s="160"/>
      <c r="B791" s="273"/>
      <c r="C791" s="273"/>
      <c r="D791" s="273"/>
      <c r="E791" s="273"/>
      <c r="F791" s="273"/>
      <c r="G791" s="273"/>
      <c r="H791" s="273"/>
      <c r="I791" s="2"/>
      <c r="J791" s="17"/>
      <c r="K791" s="10"/>
      <c r="L791" s="10"/>
      <c r="M791" s="10"/>
      <c r="N791" s="10"/>
      <c r="O791" s="10"/>
      <c r="P791" s="10"/>
      <c r="Q791" s="10"/>
      <c r="R791" s="2"/>
      <c r="S791" s="273"/>
      <c r="T791" s="273"/>
      <c r="U791" s="273"/>
      <c r="V791" s="9"/>
      <c r="W791" s="273"/>
      <c r="X791" s="273"/>
      <c r="Y791" s="9"/>
      <c r="Z791" s="273"/>
      <c r="AA791" s="273"/>
      <c r="AB791" s="9"/>
      <c r="AC791" s="273"/>
      <c r="AD791" s="273"/>
      <c r="AE791" s="9"/>
      <c r="AF791" s="273"/>
      <c r="AG791" s="273"/>
      <c r="AH791" s="9"/>
      <c r="AI791" s="273"/>
      <c r="AJ791" s="273"/>
      <c r="AK791" s="9"/>
      <c r="AL791" s="273"/>
      <c r="AM791" s="273"/>
      <c r="AN791" s="9"/>
      <c r="AO791" s="273"/>
      <c r="AP791" s="273"/>
      <c r="AQ791" s="9"/>
      <c r="AR791" s="273"/>
      <c r="AS791" s="39"/>
    </row>
    <row r="792" spans="1:45" ht="12.75">
      <c r="A792" s="160"/>
      <c r="B792" s="273"/>
      <c r="C792" s="273"/>
      <c r="D792" s="273"/>
      <c r="E792" s="273"/>
      <c r="F792" s="273"/>
      <c r="G792" s="273"/>
      <c r="H792" s="273"/>
      <c r="I792" s="2"/>
      <c r="J792" s="17"/>
      <c r="K792" s="10"/>
      <c r="L792" s="10"/>
      <c r="M792" s="10"/>
      <c r="N792" s="10"/>
      <c r="O792" s="10"/>
      <c r="P792" s="10"/>
      <c r="Q792" s="10"/>
      <c r="R792" s="2"/>
      <c r="S792" s="273"/>
      <c r="T792" s="273"/>
      <c r="U792" s="273"/>
      <c r="V792" s="9"/>
      <c r="W792" s="273"/>
      <c r="X792" s="273"/>
      <c r="Y792" s="9"/>
      <c r="Z792" s="273"/>
      <c r="AA792" s="273"/>
      <c r="AB792" s="9"/>
      <c r="AC792" s="273"/>
      <c r="AD792" s="273"/>
      <c r="AE792" s="9"/>
      <c r="AF792" s="273"/>
      <c r="AG792" s="273"/>
      <c r="AH792" s="9"/>
      <c r="AI792" s="273"/>
      <c r="AJ792" s="273"/>
      <c r="AK792" s="9"/>
      <c r="AL792" s="273"/>
      <c r="AM792" s="273"/>
      <c r="AN792" s="9"/>
      <c r="AO792" s="273"/>
      <c r="AP792" s="273"/>
      <c r="AQ792" s="9"/>
      <c r="AR792" s="273"/>
      <c r="AS792" s="39"/>
    </row>
    <row r="793" spans="1:45" ht="12.75">
      <c r="A793" s="160"/>
      <c r="B793" s="273"/>
      <c r="C793" s="273"/>
      <c r="D793" s="273"/>
      <c r="E793" s="273"/>
      <c r="F793" s="273"/>
      <c r="G793" s="273"/>
      <c r="H793" s="273"/>
      <c r="I793" s="2"/>
      <c r="J793" s="17"/>
      <c r="K793" s="10"/>
      <c r="L793" s="10"/>
      <c r="M793" s="10"/>
      <c r="N793" s="10"/>
      <c r="O793" s="10"/>
      <c r="P793" s="10"/>
      <c r="Q793" s="10"/>
      <c r="R793" s="2"/>
      <c r="S793" s="273"/>
      <c r="T793" s="273"/>
      <c r="U793" s="273"/>
      <c r="V793" s="9"/>
      <c r="W793" s="273"/>
      <c r="X793" s="273"/>
      <c r="Y793" s="9"/>
      <c r="Z793" s="273"/>
      <c r="AA793" s="273"/>
      <c r="AB793" s="9"/>
      <c r="AC793" s="273"/>
      <c r="AD793" s="273"/>
      <c r="AE793" s="9"/>
      <c r="AF793" s="273"/>
      <c r="AG793" s="273"/>
      <c r="AH793" s="9"/>
      <c r="AI793" s="273"/>
      <c r="AJ793" s="273"/>
      <c r="AK793" s="9"/>
      <c r="AL793" s="273"/>
      <c r="AM793" s="273"/>
      <c r="AN793" s="9"/>
      <c r="AO793" s="273"/>
      <c r="AP793" s="273"/>
      <c r="AQ793" s="9"/>
      <c r="AR793" s="273"/>
      <c r="AS793" s="39"/>
    </row>
    <row r="794" spans="1:45" ht="12.75">
      <c r="A794" s="160"/>
      <c r="B794" s="273"/>
      <c r="C794" s="273"/>
      <c r="D794" s="273"/>
      <c r="E794" s="273"/>
      <c r="F794" s="273"/>
      <c r="G794" s="273"/>
      <c r="H794" s="273"/>
      <c r="I794" s="2"/>
      <c r="J794" s="17"/>
      <c r="K794" s="10"/>
      <c r="L794" s="10"/>
      <c r="M794" s="10"/>
      <c r="N794" s="10"/>
      <c r="O794" s="10"/>
      <c r="P794" s="10"/>
      <c r="Q794" s="10"/>
      <c r="R794" s="2"/>
      <c r="S794" s="273"/>
      <c r="T794" s="273"/>
      <c r="U794" s="273"/>
      <c r="V794" s="9"/>
      <c r="W794" s="273"/>
      <c r="X794" s="273"/>
      <c r="Y794" s="9"/>
      <c r="Z794" s="273"/>
      <c r="AA794" s="273"/>
      <c r="AB794" s="9"/>
      <c r="AC794" s="273"/>
      <c r="AD794" s="273"/>
      <c r="AE794" s="9"/>
      <c r="AF794" s="273"/>
      <c r="AG794" s="273"/>
      <c r="AH794" s="9"/>
      <c r="AI794" s="273"/>
      <c r="AJ794" s="273"/>
      <c r="AK794" s="9"/>
      <c r="AL794" s="273"/>
      <c r="AM794" s="273"/>
      <c r="AN794" s="9"/>
      <c r="AO794" s="273"/>
      <c r="AP794" s="273"/>
      <c r="AQ794" s="9"/>
      <c r="AR794" s="273"/>
      <c r="AS794" s="39"/>
    </row>
    <row r="795" spans="1:45" ht="12.75">
      <c r="A795" s="160"/>
      <c r="B795" s="273"/>
      <c r="C795" s="273"/>
      <c r="D795" s="273"/>
      <c r="E795" s="273"/>
      <c r="F795" s="273"/>
      <c r="G795" s="273"/>
      <c r="H795" s="273"/>
      <c r="I795" s="2"/>
      <c r="J795" s="17"/>
      <c r="K795" s="10"/>
      <c r="L795" s="10"/>
      <c r="M795" s="10"/>
      <c r="N795" s="10"/>
      <c r="O795" s="10"/>
      <c r="P795" s="10"/>
      <c r="Q795" s="10"/>
      <c r="R795" s="2"/>
      <c r="S795" s="273"/>
      <c r="T795" s="273"/>
      <c r="U795" s="273"/>
      <c r="V795" s="9"/>
      <c r="W795" s="273"/>
      <c r="X795" s="273"/>
      <c r="Y795" s="9"/>
      <c r="Z795" s="273"/>
      <c r="AA795" s="273"/>
      <c r="AB795" s="9"/>
      <c r="AC795" s="273"/>
      <c r="AD795" s="273"/>
      <c r="AE795" s="9"/>
      <c r="AF795" s="273"/>
      <c r="AG795" s="273"/>
      <c r="AH795" s="9"/>
      <c r="AI795" s="273"/>
      <c r="AJ795" s="273"/>
      <c r="AK795" s="9"/>
      <c r="AL795" s="273"/>
      <c r="AM795" s="273"/>
      <c r="AN795" s="9"/>
      <c r="AO795" s="273"/>
      <c r="AP795" s="273"/>
      <c r="AQ795" s="9"/>
      <c r="AR795" s="273"/>
      <c r="AS795" s="39"/>
    </row>
    <row r="796" spans="1:45" ht="12.75">
      <c r="A796" s="160"/>
      <c r="B796" s="273"/>
      <c r="C796" s="273"/>
      <c r="D796" s="273"/>
      <c r="E796" s="273"/>
      <c r="F796" s="273"/>
      <c r="G796" s="273"/>
      <c r="H796" s="273"/>
      <c r="I796" s="2"/>
      <c r="J796" s="17"/>
      <c r="K796" s="10"/>
      <c r="L796" s="10"/>
      <c r="M796" s="10"/>
      <c r="N796" s="10"/>
      <c r="O796" s="10"/>
      <c r="P796" s="10"/>
      <c r="Q796" s="10"/>
      <c r="R796" s="2"/>
      <c r="S796" s="273"/>
      <c r="T796" s="273"/>
      <c r="U796" s="273"/>
      <c r="V796" s="9"/>
      <c r="W796" s="273"/>
      <c r="X796" s="273"/>
      <c r="Y796" s="9"/>
      <c r="Z796" s="273"/>
      <c r="AA796" s="273"/>
      <c r="AB796" s="9"/>
      <c r="AC796" s="273"/>
      <c r="AD796" s="273"/>
      <c r="AE796" s="9"/>
      <c r="AF796" s="273"/>
      <c r="AG796" s="273"/>
      <c r="AH796" s="9"/>
      <c r="AI796" s="273"/>
      <c r="AJ796" s="273"/>
      <c r="AK796" s="9"/>
      <c r="AL796" s="273"/>
      <c r="AM796" s="273"/>
      <c r="AN796" s="9"/>
      <c r="AO796" s="273"/>
      <c r="AP796" s="273"/>
      <c r="AQ796" s="9"/>
      <c r="AR796" s="273"/>
      <c r="AS796" s="39"/>
    </row>
    <row r="797" spans="1:45" ht="12.75">
      <c r="A797" s="160"/>
      <c r="B797" s="273"/>
      <c r="C797" s="273"/>
      <c r="D797" s="273"/>
      <c r="E797" s="273"/>
      <c r="F797" s="273"/>
      <c r="G797" s="273"/>
      <c r="H797" s="273"/>
      <c r="I797" s="2"/>
      <c r="J797" s="17"/>
      <c r="K797" s="10"/>
      <c r="L797" s="10"/>
      <c r="M797" s="10"/>
      <c r="N797" s="10"/>
      <c r="O797" s="10"/>
      <c r="P797" s="10"/>
      <c r="Q797" s="10"/>
      <c r="R797" s="2"/>
      <c r="S797" s="273"/>
      <c r="T797" s="273"/>
      <c r="U797" s="273"/>
      <c r="V797" s="9"/>
      <c r="W797" s="273"/>
      <c r="X797" s="273"/>
      <c r="Y797" s="9"/>
      <c r="Z797" s="273"/>
      <c r="AA797" s="273"/>
      <c r="AB797" s="9"/>
      <c r="AC797" s="273"/>
      <c r="AD797" s="273"/>
      <c r="AE797" s="9"/>
      <c r="AF797" s="273"/>
      <c r="AG797" s="273"/>
      <c r="AH797" s="9"/>
      <c r="AI797" s="273"/>
      <c r="AJ797" s="273"/>
      <c r="AK797" s="9"/>
      <c r="AL797" s="273"/>
      <c r="AM797" s="273"/>
      <c r="AN797" s="9"/>
      <c r="AO797" s="273"/>
      <c r="AP797" s="273"/>
      <c r="AQ797" s="9"/>
      <c r="AR797" s="273"/>
      <c r="AS797" s="39"/>
    </row>
    <row r="798" spans="1:45" ht="12.75">
      <c r="A798" s="160"/>
      <c r="B798" s="273"/>
      <c r="C798" s="273"/>
      <c r="D798" s="273"/>
      <c r="E798" s="273"/>
      <c r="F798" s="273"/>
      <c r="G798" s="273"/>
      <c r="H798" s="273"/>
      <c r="I798" s="2"/>
      <c r="J798" s="17"/>
      <c r="K798" s="10"/>
      <c r="L798" s="10"/>
      <c r="M798" s="10"/>
      <c r="N798" s="10"/>
      <c r="O798" s="10"/>
      <c r="P798" s="10"/>
      <c r="Q798" s="10"/>
      <c r="R798" s="2"/>
      <c r="S798" s="273"/>
      <c r="T798" s="273"/>
      <c r="U798" s="273"/>
      <c r="V798" s="9"/>
      <c r="W798" s="273"/>
      <c r="X798" s="273"/>
      <c r="Y798" s="9"/>
      <c r="Z798" s="273"/>
      <c r="AA798" s="273"/>
      <c r="AB798" s="9"/>
      <c r="AC798" s="273"/>
      <c r="AD798" s="273"/>
      <c r="AE798" s="9"/>
      <c r="AF798" s="273"/>
      <c r="AG798" s="273"/>
      <c r="AH798" s="9"/>
      <c r="AI798" s="273"/>
      <c r="AJ798" s="273"/>
      <c r="AK798" s="9"/>
      <c r="AL798" s="273"/>
      <c r="AM798" s="273"/>
      <c r="AN798" s="9"/>
      <c r="AO798" s="273"/>
      <c r="AP798" s="273"/>
      <c r="AQ798" s="9"/>
      <c r="AR798" s="273"/>
      <c r="AS798" s="39"/>
    </row>
    <row r="799" spans="1:45" ht="12.75">
      <c r="A799" s="160"/>
      <c r="B799" s="273"/>
      <c r="C799" s="273"/>
      <c r="D799" s="273"/>
      <c r="E799" s="273"/>
      <c r="F799" s="273"/>
      <c r="G799" s="273"/>
      <c r="H799" s="273"/>
      <c r="I799" s="2"/>
      <c r="J799" s="17"/>
      <c r="K799" s="10"/>
      <c r="L799" s="10"/>
      <c r="M799" s="10"/>
      <c r="N799" s="10"/>
      <c r="O799" s="10"/>
      <c r="P799" s="10"/>
      <c r="Q799" s="10"/>
      <c r="R799" s="2"/>
      <c r="S799" s="273"/>
      <c r="T799" s="273"/>
      <c r="U799" s="273"/>
      <c r="V799" s="9"/>
      <c r="W799" s="273"/>
      <c r="X799" s="273"/>
      <c r="Y799" s="9"/>
      <c r="Z799" s="273"/>
      <c r="AA799" s="273"/>
      <c r="AB799" s="9"/>
      <c r="AC799" s="273"/>
      <c r="AD799" s="273"/>
      <c r="AE799" s="9"/>
      <c r="AF799" s="273"/>
      <c r="AG799" s="273"/>
      <c r="AH799" s="9"/>
      <c r="AI799" s="273"/>
      <c r="AJ799" s="273"/>
      <c r="AK799" s="9"/>
      <c r="AL799" s="273"/>
      <c r="AM799" s="273"/>
      <c r="AN799" s="9"/>
      <c r="AO799" s="273"/>
      <c r="AP799" s="273"/>
      <c r="AQ799" s="9"/>
      <c r="AR799" s="273"/>
      <c r="AS799" s="39"/>
    </row>
    <row r="800" spans="1:45" ht="12.75">
      <c r="A800" s="160"/>
      <c r="B800" s="273"/>
      <c r="C800" s="273"/>
      <c r="D800" s="273"/>
      <c r="E800" s="273"/>
      <c r="F800" s="273"/>
      <c r="G800" s="273"/>
      <c r="H800" s="273"/>
      <c r="I800" s="2"/>
      <c r="J800" s="17"/>
      <c r="K800" s="10"/>
      <c r="L800" s="10"/>
      <c r="M800" s="10"/>
      <c r="N800" s="10"/>
      <c r="O800" s="10"/>
      <c r="P800" s="10"/>
      <c r="Q800" s="10"/>
      <c r="R800" s="2"/>
      <c r="S800" s="273"/>
      <c r="T800" s="273"/>
      <c r="U800" s="273"/>
      <c r="V800" s="9"/>
      <c r="W800" s="273"/>
      <c r="X800" s="273"/>
      <c r="Y800" s="9"/>
      <c r="Z800" s="273"/>
      <c r="AA800" s="273"/>
      <c r="AB800" s="9"/>
      <c r="AC800" s="273"/>
      <c r="AD800" s="273"/>
      <c r="AE800" s="9"/>
      <c r="AF800" s="273"/>
      <c r="AG800" s="273"/>
      <c r="AH800" s="9"/>
      <c r="AI800" s="273"/>
      <c r="AJ800" s="273"/>
      <c r="AK800" s="9"/>
      <c r="AL800" s="273"/>
      <c r="AM800" s="273"/>
      <c r="AN800" s="9"/>
      <c r="AO800" s="273"/>
      <c r="AP800" s="273"/>
      <c r="AQ800" s="9"/>
      <c r="AR800" s="273"/>
      <c r="AS800" s="39"/>
    </row>
    <row r="801" spans="1:45" ht="12.75">
      <c r="A801" s="160"/>
      <c r="B801" s="273"/>
      <c r="C801" s="273"/>
      <c r="D801" s="273"/>
      <c r="E801" s="273"/>
      <c r="F801" s="273"/>
      <c r="G801" s="273"/>
      <c r="H801" s="273"/>
      <c r="I801" s="2"/>
      <c r="J801" s="17"/>
      <c r="K801" s="10"/>
      <c r="L801" s="10"/>
      <c r="M801" s="10"/>
      <c r="N801" s="10"/>
      <c r="O801" s="10"/>
      <c r="P801" s="10"/>
      <c r="Q801" s="10"/>
      <c r="R801" s="2"/>
      <c r="S801" s="273"/>
      <c r="T801" s="273"/>
      <c r="U801" s="273"/>
      <c r="V801" s="9"/>
      <c r="W801" s="273"/>
      <c r="X801" s="273"/>
      <c r="Y801" s="9"/>
      <c r="Z801" s="273"/>
      <c r="AA801" s="273"/>
      <c r="AB801" s="9"/>
      <c r="AC801" s="273"/>
      <c r="AD801" s="273"/>
      <c r="AE801" s="9"/>
      <c r="AF801" s="273"/>
      <c r="AG801" s="273"/>
      <c r="AH801" s="9"/>
      <c r="AI801" s="273"/>
      <c r="AJ801" s="273"/>
      <c r="AK801" s="9"/>
      <c r="AL801" s="273"/>
      <c r="AM801" s="273"/>
      <c r="AN801" s="9"/>
      <c r="AO801" s="273"/>
      <c r="AP801" s="273"/>
      <c r="AQ801" s="9"/>
      <c r="AR801" s="273"/>
      <c r="AS801" s="39"/>
    </row>
    <row r="802" spans="1:45" ht="12.75">
      <c r="A802" s="160"/>
      <c r="B802" s="273"/>
      <c r="C802" s="273"/>
      <c r="D802" s="273"/>
      <c r="E802" s="273"/>
      <c r="F802" s="273"/>
      <c r="G802" s="273"/>
      <c r="H802" s="273"/>
      <c r="I802" s="2"/>
      <c r="J802" s="17"/>
      <c r="K802" s="10"/>
      <c r="L802" s="10"/>
      <c r="M802" s="10"/>
      <c r="N802" s="10"/>
      <c r="O802" s="10"/>
      <c r="P802" s="10"/>
      <c r="Q802" s="10"/>
      <c r="R802" s="2"/>
      <c r="S802" s="273"/>
      <c r="T802" s="273"/>
      <c r="U802" s="273"/>
      <c r="V802" s="9"/>
      <c r="W802" s="273"/>
      <c r="X802" s="273"/>
      <c r="Y802" s="9"/>
      <c r="Z802" s="273"/>
      <c r="AA802" s="273"/>
      <c r="AB802" s="9"/>
      <c r="AC802" s="273"/>
      <c r="AD802" s="273"/>
      <c r="AE802" s="9"/>
      <c r="AF802" s="273"/>
      <c r="AG802" s="273"/>
      <c r="AH802" s="9"/>
      <c r="AI802" s="273"/>
      <c r="AJ802" s="273"/>
      <c r="AK802" s="9"/>
      <c r="AL802" s="273"/>
      <c r="AM802" s="273"/>
      <c r="AN802" s="9"/>
      <c r="AO802" s="273"/>
      <c r="AP802" s="273"/>
      <c r="AQ802" s="9"/>
      <c r="AR802" s="273"/>
      <c r="AS802" s="39"/>
    </row>
    <row r="803" spans="1:45" ht="12.75">
      <c r="A803" s="160"/>
      <c r="B803" s="273"/>
      <c r="C803" s="273"/>
      <c r="D803" s="273"/>
      <c r="E803" s="273"/>
      <c r="F803" s="273"/>
      <c r="G803" s="273"/>
      <c r="H803" s="273"/>
      <c r="I803" s="2"/>
      <c r="J803" s="17"/>
      <c r="K803" s="10"/>
      <c r="L803" s="10"/>
      <c r="M803" s="10"/>
      <c r="N803" s="10"/>
      <c r="O803" s="10"/>
      <c r="P803" s="10"/>
      <c r="Q803" s="10"/>
      <c r="R803" s="2"/>
      <c r="S803" s="273"/>
      <c r="T803" s="273"/>
      <c r="U803" s="273"/>
      <c r="V803" s="9"/>
      <c r="W803" s="273"/>
      <c r="X803" s="273"/>
      <c r="Y803" s="9"/>
      <c r="Z803" s="273"/>
      <c r="AA803" s="273"/>
      <c r="AB803" s="9"/>
      <c r="AC803" s="273"/>
      <c r="AD803" s="273"/>
      <c r="AE803" s="9"/>
      <c r="AF803" s="273"/>
      <c r="AG803" s="273"/>
      <c r="AH803" s="9"/>
      <c r="AI803" s="273"/>
      <c r="AJ803" s="273"/>
      <c r="AK803" s="9"/>
      <c r="AL803" s="273"/>
      <c r="AM803" s="273"/>
      <c r="AN803" s="9"/>
      <c r="AO803" s="273"/>
      <c r="AP803" s="273"/>
      <c r="AQ803" s="9"/>
      <c r="AR803" s="273"/>
      <c r="AS803" s="39"/>
    </row>
    <row r="804" spans="1:45" ht="12.75">
      <c r="A804" s="160"/>
      <c r="B804" s="273"/>
      <c r="C804" s="273"/>
      <c r="D804" s="273"/>
      <c r="E804" s="273"/>
      <c r="F804" s="273"/>
      <c r="G804" s="273"/>
      <c r="H804" s="273"/>
      <c r="I804" s="2"/>
      <c r="J804" s="17"/>
      <c r="K804" s="10"/>
      <c r="L804" s="10"/>
      <c r="M804" s="10"/>
      <c r="N804" s="10"/>
      <c r="O804" s="10"/>
      <c r="P804" s="10"/>
      <c r="Q804" s="10"/>
      <c r="R804" s="2"/>
      <c r="S804" s="273"/>
      <c r="T804" s="273"/>
      <c r="U804" s="273"/>
      <c r="V804" s="9"/>
      <c r="W804" s="273"/>
      <c r="X804" s="273"/>
      <c r="Y804" s="9"/>
      <c r="Z804" s="273"/>
      <c r="AA804" s="273"/>
      <c r="AB804" s="9"/>
      <c r="AC804" s="273"/>
      <c r="AD804" s="273"/>
      <c r="AE804" s="9"/>
      <c r="AF804" s="273"/>
      <c r="AG804" s="273"/>
      <c r="AH804" s="9"/>
      <c r="AI804" s="273"/>
      <c r="AJ804" s="273"/>
      <c r="AK804" s="9"/>
      <c r="AL804" s="273"/>
      <c r="AM804" s="273"/>
      <c r="AN804" s="9"/>
      <c r="AO804" s="273"/>
      <c r="AP804" s="273"/>
      <c r="AQ804" s="9"/>
      <c r="AR804" s="273"/>
      <c r="AS804" s="39"/>
    </row>
    <row r="805" spans="1:45" ht="12.75">
      <c r="A805" s="160"/>
      <c r="B805" s="273"/>
      <c r="C805" s="273"/>
      <c r="D805" s="273"/>
      <c r="E805" s="273"/>
      <c r="F805" s="273"/>
      <c r="G805" s="273"/>
      <c r="H805" s="273"/>
      <c r="I805" s="2"/>
      <c r="J805" s="17"/>
      <c r="K805" s="10"/>
      <c r="L805" s="10"/>
      <c r="M805" s="10"/>
      <c r="N805" s="10"/>
      <c r="O805" s="10"/>
      <c r="P805" s="10"/>
      <c r="Q805" s="10"/>
      <c r="R805" s="2"/>
      <c r="S805" s="273"/>
      <c r="T805" s="273"/>
      <c r="U805" s="273"/>
      <c r="V805" s="9"/>
      <c r="W805" s="273"/>
      <c r="X805" s="273"/>
      <c r="Y805" s="9"/>
      <c r="Z805" s="273"/>
      <c r="AA805" s="273"/>
      <c r="AB805" s="9"/>
      <c r="AC805" s="273"/>
      <c r="AD805" s="273"/>
      <c r="AE805" s="9"/>
      <c r="AF805" s="273"/>
      <c r="AG805" s="273"/>
      <c r="AH805" s="9"/>
      <c r="AI805" s="273"/>
      <c r="AJ805" s="273"/>
      <c r="AK805" s="9"/>
      <c r="AL805" s="273"/>
      <c r="AM805" s="273"/>
      <c r="AN805" s="9"/>
      <c r="AO805" s="273"/>
      <c r="AP805" s="273"/>
      <c r="AQ805" s="9"/>
      <c r="AR805" s="273"/>
      <c r="AS805" s="39"/>
    </row>
    <row r="806" spans="1:45" ht="12.75">
      <c r="A806" s="160"/>
      <c r="B806" s="273"/>
      <c r="C806" s="273"/>
      <c r="D806" s="273"/>
      <c r="E806" s="273"/>
      <c r="F806" s="273"/>
      <c r="G806" s="273"/>
      <c r="H806" s="273"/>
      <c r="I806" s="2"/>
      <c r="J806" s="17"/>
      <c r="K806" s="10"/>
      <c r="L806" s="10"/>
      <c r="M806" s="10"/>
      <c r="N806" s="10"/>
      <c r="O806" s="10"/>
      <c r="P806" s="10"/>
      <c r="Q806" s="10"/>
      <c r="R806" s="2"/>
      <c r="S806" s="273"/>
      <c r="T806" s="273"/>
      <c r="U806" s="273"/>
      <c r="V806" s="9"/>
      <c r="W806" s="273"/>
      <c r="X806" s="273"/>
      <c r="Y806" s="9"/>
      <c r="Z806" s="273"/>
      <c r="AA806" s="273"/>
      <c r="AB806" s="9"/>
      <c r="AC806" s="273"/>
      <c r="AD806" s="273"/>
      <c r="AE806" s="9"/>
      <c r="AF806" s="273"/>
      <c r="AG806" s="273"/>
      <c r="AH806" s="9"/>
      <c r="AI806" s="273"/>
      <c r="AJ806" s="273"/>
      <c r="AK806" s="9"/>
      <c r="AL806" s="273"/>
      <c r="AM806" s="273"/>
      <c r="AN806" s="9"/>
      <c r="AO806" s="273"/>
      <c r="AP806" s="273"/>
      <c r="AQ806" s="9"/>
      <c r="AR806" s="273"/>
      <c r="AS806" s="39"/>
    </row>
    <row r="807" spans="1:45" ht="12.75">
      <c r="A807" s="160"/>
      <c r="B807" s="273"/>
      <c r="C807" s="273"/>
      <c r="D807" s="273"/>
      <c r="E807" s="273"/>
      <c r="F807" s="273"/>
      <c r="G807" s="273"/>
      <c r="H807" s="273"/>
      <c r="I807" s="2"/>
      <c r="J807" s="17"/>
      <c r="K807" s="10"/>
      <c r="L807" s="10"/>
      <c r="M807" s="10"/>
      <c r="N807" s="10"/>
      <c r="O807" s="10"/>
      <c r="P807" s="10"/>
      <c r="Q807" s="10"/>
      <c r="R807" s="2"/>
      <c r="S807" s="273"/>
      <c r="T807" s="273"/>
      <c r="U807" s="273"/>
      <c r="V807" s="9"/>
      <c r="W807" s="273"/>
      <c r="X807" s="273"/>
      <c r="Y807" s="9"/>
      <c r="Z807" s="273"/>
      <c r="AA807" s="273"/>
      <c r="AB807" s="9"/>
      <c r="AC807" s="273"/>
      <c r="AD807" s="273"/>
      <c r="AE807" s="9"/>
      <c r="AF807" s="273"/>
      <c r="AG807" s="273"/>
      <c r="AH807" s="9"/>
      <c r="AI807" s="273"/>
      <c r="AJ807" s="273"/>
      <c r="AK807" s="9"/>
      <c r="AL807" s="273"/>
      <c r="AM807" s="273"/>
      <c r="AN807" s="9"/>
      <c r="AO807" s="273"/>
      <c r="AP807" s="273"/>
      <c r="AQ807" s="9"/>
      <c r="AR807" s="273"/>
      <c r="AS807" s="39"/>
    </row>
    <row r="808" spans="1:45" ht="12.75">
      <c r="A808" s="160"/>
      <c r="B808" s="273"/>
      <c r="C808" s="273"/>
      <c r="D808" s="273"/>
      <c r="E808" s="273"/>
      <c r="F808" s="273"/>
      <c r="G808" s="273"/>
      <c r="H808" s="273"/>
      <c r="I808" s="2"/>
      <c r="J808" s="17"/>
      <c r="K808" s="10"/>
      <c r="L808" s="10"/>
      <c r="M808" s="10"/>
      <c r="N808" s="10"/>
      <c r="O808" s="10"/>
      <c r="P808" s="10"/>
      <c r="Q808" s="10"/>
      <c r="R808" s="2"/>
      <c r="S808" s="273"/>
      <c r="T808" s="273"/>
      <c r="U808" s="273"/>
      <c r="V808" s="9"/>
      <c r="W808" s="273"/>
      <c r="X808" s="273"/>
      <c r="Y808" s="9"/>
      <c r="Z808" s="273"/>
      <c r="AA808" s="273"/>
      <c r="AB808" s="9"/>
      <c r="AC808" s="273"/>
      <c r="AD808" s="273"/>
      <c r="AE808" s="9"/>
      <c r="AF808" s="273"/>
      <c r="AG808" s="273"/>
      <c r="AH808" s="9"/>
      <c r="AI808" s="273"/>
      <c r="AJ808" s="273"/>
      <c r="AK808" s="9"/>
      <c r="AL808" s="273"/>
      <c r="AM808" s="273"/>
      <c r="AN808" s="9"/>
      <c r="AO808" s="273"/>
      <c r="AP808" s="273"/>
      <c r="AQ808" s="9"/>
      <c r="AR808" s="273"/>
      <c r="AS808" s="39"/>
    </row>
    <row r="809" spans="1:45" ht="12.75">
      <c r="A809" s="160"/>
      <c r="B809" s="273"/>
      <c r="C809" s="273"/>
      <c r="D809" s="273"/>
      <c r="E809" s="273"/>
      <c r="F809" s="273"/>
      <c r="G809" s="273"/>
      <c r="H809" s="273"/>
      <c r="I809" s="2"/>
      <c r="J809" s="17"/>
      <c r="K809" s="10"/>
      <c r="L809" s="10"/>
      <c r="M809" s="10"/>
      <c r="N809" s="10"/>
      <c r="O809" s="10"/>
      <c r="P809" s="10"/>
      <c r="Q809" s="10"/>
      <c r="R809" s="2"/>
      <c r="S809" s="273"/>
      <c r="T809" s="273"/>
      <c r="U809" s="273"/>
      <c r="V809" s="9"/>
      <c r="W809" s="273"/>
      <c r="X809" s="273"/>
      <c r="Y809" s="9"/>
      <c r="Z809" s="273"/>
      <c r="AA809" s="273"/>
      <c r="AB809" s="9"/>
      <c r="AC809" s="273"/>
      <c r="AD809" s="273"/>
      <c r="AE809" s="9"/>
      <c r="AF809" s="273"/>
      <c r="AG809" s="273"/>
      <c r="AH809" s="9"/>
      <c r="AI809" s="273"/>
      <c r="AJ809" s="273"/>
      <c r="AK809" s="9"/>
      <c r="AL809" s="273"/>
      <c r="AM809" s="273"/>
      <c r="AN809" s="9"/>
      <c r="AO809" s="273"/>
      <c r="AP809" s="273"/>
      <c r="AQ809" s="9"/>
      <c r="AR809" s="273"/>
      <c r="AS809" s="39"/>
    </row>
    <row r="810" spans="1:45" ht="12.75">
      <c r="A810" s="160"/>
      <c r="B810" s="273"/>
      <c r="C810" s="273"/>
      <c r="D810" s="273"/>
      <c r="E810" s="273"/>
      <c r="F810" s="273"/>
      <c r="G810" s="273"/>
      <c r="H810" s="273"/>
      <c r="I810" s="2"/>
      <c r="J810" s="17"/>
      <c r="K810" s="10"/>
      <c r="L810" s="10"/>
      <c r="M810" s="10"/>
      <c r="N810" s="10"/>
      <c r="O810" s="10"/>
      <c r="P810" s="10"/>
      <c r="Q810" s="10"/>
      <c r="R810" s="2"/>
      <c r="S810" s="273"/>
      <c r="T810" s="273"/>
      <c r="U810" s="273"/>
      <c r="V810" s="9"/>
      <c r="W810" s="273"/>
      <c r="X810" s="273"/>
      <c r="Y810" s="9"/>
      <c r="Z810" s="273"/>
      <c r="AA810" s="273"/>
      <c r="AB810" s="9"/>
      <c r="AC810" s="273"/>
      <c r="AD810" s="273"/>
      <c r="AE810" s="9"/>
      <c r="AF810" s="273"/>
      <c r="AG810" s="273"/>
      <c r="AH810" s="9"/>
      <c r="AI810" s="273"/>
      <c r="AJ810" s="273"/>
      <c r="AK810" s="9"/>
      <c r="AL810" s="273"/>
      <c r="AM810" s="273"/>
      <c r="AN810" s="9"/>
      <c r="AO810" s="273"/>
      <c r="AP810" s="273"/>
      <c r="AQ810" s="9"/>
      <c r="AR810" s="273"/>
      <c r="AS810" s="39"/>
    </row>
    <row r="811" spans="1:45" ht="12.75">
      <c r="A811" s="160"/>
      <c r="B811" s="273"/>
      <c r="C811" s="273"/>
      <c r="D811" s="273"/>
      <c r="E811" s="273"/>
      <c r="F811" s="273"/>
      <c r="G811" s="273"/>
      <c r="H811" s="273"/>
      <c r="I811" s="2"/>
      <c r="J811" s="17"/>
      <c r="K811" s="10"/>
      <c r="L811" s="10"/>
      <c r="M811" s="10"/>
      <c r="N811" s="10"/>
      <c r="O811" s="10"/>
      <c r="P811" s="10"/>
      <c r="Q811" s="10"/>
      <c r="R811" s="2"/>
      <c r="S811" s="273"/>
      <c r="T811" s="273"/>
      <c r="U811" s="273"/>
      <c r="V811" s="9"/>
      <c r="W811" s="273"/>
      <c r="X811" s="273"/>
      <c r="Y811" s="9"/>
      <c r="Z811" s="273"/>
      <c r="AA811" s="273"/>
      <c r="AB811" s="9"/>
      <c r="AC811" s="273"/>
      <c r="AD811" s="273"/>
      <c r="AE811" s="9"/>
      <c r="AF811" s="273"/>
      <c r="AG811" s="273"/>
      <c r="AH811" s="9"/>
      <c r="AI811" s="273"/>
      <c r="AJ811" s="273"/>
      <c r="AK811" s="9"/>
      <c r="AL811" s="273"/>
      <c r="AM811" s="273"/>
      <c r="AN811" s="9"/>
      <c r="AO811" s="273"/>
      <c r="AP811" s="273"/>
      <c r="AQ811" s="9"/>
      <c r="AR811" s="273"/>
      <c r="AS811" s="39"/>
    </row>
    <row r="812" spans="1:45" ht="12.75">
      <c r="A812" s="160"/>
      <c r="B812" s="273"/>
      <c r="C812" s="273"/>
      <c r="D812" s="273"/>
      <c r="E812" s="273"/>
      <c r="F812" s="273"/>
      <c r="G812" s="273"/>
      <c r="H812" s="273"/>
      <c r="I812" s="2"/>
      <c r="J812" s="17"/>
      <c r="K812" s="10"/>
      <c r="L812" s="10"/>
      <c r="M812" s="10"/>
      <c r="N812" s="10"/>
      <c r="O812" s="10"/>
      <c r="P812" s="10"/>
      <c r="Q812" s="10"/>
      <c r="R812" s="2"/>
      <c r="S812" s="273"/>
      <c r="T812" s="273"/>
      <c r="U812" s="273"/>
      <c r="V812" s="9"/>
      <c r="W812" s="273"/>
      <c r="X812" s="273"/>
      <c r="Y812" s="9"/>
      <c r="Z812" s="273"/>
      <c r="AA812" s="273"/>
      <c r="AB812" s="9"/>
      <c r="AC812" s="273"/>
      <c r="AD812" s="273"/>
      <c r="AE812" s="9"/>
      <c r="AF812" s="273"/>
      <c r="AG812" s="273"/>
      <c r="AH812" s="9"/>
      <c r="AI812" s="273"/>
      <c r="AJ812" s="273"/>
      <c r="AK812" s="9"/>
      <c r="AL812" s="273"/>
      <c r="AM812" s="273"/>
      <c r="AN812" s="9"/>
      <c r="AO812" s="273"/>
      <c r="AP812" s="273"/>
      <c r="AQ812" s="9"/>
      <c r="AR812" s="273"/>
      <c r="AS812" s="39"/>
    </row>
    <row r="813" spans="1:45" ht="12.75">
      <c r="A813" s="160"/>
      <c r="B813" s="273"/>
      <c r="C813" s="273"/>
      <c r="D813" s="273"/>
      <c r="E813" s="273"/>
      <c r="F813" s="273"/>
      <c r="G813" s="273"/>
      <c r="H813" s="273"/>
      <c r="I813" s="2"/>
      <c r="J813" s="17"/>
      <c r="K813" s="10"/>
      <c r="L813" s="10"/>
      <c r="M813" s="10"/>
      <c r="N813" s="10"/>
      <c r="O813" s="10"/>
      <c r="P813" s="10"/>
      <c r="Q813" s="10"/>
      <c r="R813" s="2"/>
      <c r="S813" s="273"/>
      <c r="T813" s="273"/>
      <c r="U813" s="273"/>
      <c r="V813" s="9"/>
      <c r="W813" s="273"/>
      <c r="X813" s="273"/>
      <c r="Y813" s="9"/>
      <c r="Z813" s="273"/>
      <c r="AA813" s="273"/>
      <c r="AB813" s="9"/>
      <c r="AC813" s="273"/>
      <c r="AD813" s="273"/>
      <c r="AE813" s="9"/>
      <c r="AF813" s="273"/>
      <c r="AG813" s="273"/>
      <c r="AH813" s="9"/>
      <c r="AI813" s="273"/>
      <c r="AJ813" s="273"/>
      <c r="AK813" s="9"/>
      <c r="AL813" s="273"/>
      <c r="AM813" s="273"/>
      <c r="AN813" s="9"/>
      <c r="AO813" s="273"/>
      <c r="AP813" s="273"/>
      <c r="AQ813" s="9"/>
      <c r="AR813" s="273"/>
      <c r="AS813" s="39"/>
    </row>
    <row r="814" spans="1:45" ht="12.75">
      <c r="A814" s="160"/>
      <c r="B814" s="273"/>
      <c r="C814" s="273"/>
      <c r="D814" s="273"/>
      <c r="E814" s="273"/>
      <c r="F814" s="273"/>
      <c r="G814" s="273"/>
      <c r="H814" s="273"/>
      <c r="I814" s="2"/>
      <c r="J814" s="17"/>
      <c r="K814" s="10"/>
      <c r="L814" s="10"/>
      <c r="M814" s="10"/>
      <c r="N814" s="10"/>
      <c r="O814" s="10"/>
      <c r="P814" s="10"/>
      <c r="Q814" s="10"/>
      <c r="R814" s="2"/>
      <c r="S814" s="273"/>
      <c r="T814" s="273"/>
      <c r="U814" s="273"/>
      <c r="V814" s="9"/>
      <c r="W814" s="273"/>
      <c r="X814" s="273"/>
      <c r="Y814" s="9"/>
      <c r="Z814" s="273"/>
      <c r="AA814" s="273"/>
      <c r="AB814" s="9"/>
      <c r="AC814" s="273"/>
      <c r="AD814" s="273"/>
      <c r="AE814" s="9"/>
      <c r="AF814" s="273"/>
      <c r="AG814" s="273"/>
      <c r="AH814" s="9"/>
      <c r="AI814" s="273"/>
      <c r="AJ814" s="273"/>
      <c r="AK814" s="9"/>
      <c r="AL814" s="273"/>
      <c r="AM814" s="273"/>
      <c r="AN814" s="9"/>
      <c r="AO814" s="273"/>
      <c r="AP814" s="273"/>
      <c r="AQ814" s="9"/>
      <c r="AR814" s="273"/>
      <c r="AS814" s="39"/>
    </row>
    <row r="815" spans="1:45" ht="12.75">
      <c r="A815" s="160"/>
      <c r="B815" s="273"/>
      <c r="C815" s="273"/>
      <c r="D815" s="273"/>
      <c r="E815" s="273"/>
      <c r="F815" s="273"/>
      <c r="G815" s="273"/>
      <c r="H815" s="273"/>
      <c r="I815" s="2"/>
      <c r="J815" s="17"/>
      <c r="K815" s="10"/>
      <c r="L815" s="10"/>
      <c r="M815" s="10"/>
      <c r="N815" s="10"/>
      <c r="O815" s="10"/>
      <c r="P815" s="10"/>
      <c r="Q815" s="10"/>
      <c r="R815" s="2"/>
      <c r="S815" s="273"/>
      <c r="T815" s="273"/>
      <c r="U815" s="273"/>
      <c r="V815" s="9"/>
      <c r="W815" s="273"/>
      <c r="X815" s="273"/>
      <c r="Y815" s="9"/>
      <c r="Z815" s="273"/>
      <c r="AA815" s="273"/>
      <c r="AB815" s="9"/>
      <c r="AC815" s="273"/>
      <c r="AD815" s="273"/>
      <c r="AE815" s="9"/>
      <c r="AF815" s="273"/>
      <c r="AG815" s="273"/>
      <c r="AH815" s="9"/>
      <c r="AI815" s="273"/>
      <c r="AJ815" s="273"/>
      <c r="AK815" s="9"/>
      <c r="AL815" s="273"/>
      <c r="AM815" s="273"/>
      <c r="AN815" s="9"/>
      <c r="AO815" s="273"/>
      <c r="AP815" s="273"/>
      <c r="AQ815" s="9"/>
      <c r="AR815" s="273"/>
      <c r="AS815" s="39"/>
    </row>
    <row r="816" spans="1:45" ht="12.75">
      <c r="A816" s="160"/>
      <c r="B816" s="273"/>
      <c r="C816" s="273"/>
      <c r="D816" s="273"/>
      <c r="E816" s="273"/>
      <c r="F816" s="273"/>
      <c r="G816" s="273"/>
      <c r="H816" s="273"/>
      <c r="I816" s="2"/>
      <c r="J816" s="17"/>
      <c r="K816" s="10"/>
      <c r="L816" s="10"/>
      <c r="M816" s="10"/>
      <c r="N816" s="10"/>
      <c r="O816" s="10"/>
      <c r="P816" s="10"/>
      <c r="Q816" s="10"/>
      <c r="R816" s="2"/>
      <c r="S816" s="273"/>
      <c r="T816" s="273"/>
      <c r="U816" s="273"/>
      <c r="V816" s="9"/>
      <c r="W816" s="273"/>
      <c r="X816" s="273"/>
      <c r="Y816" s="9"/>
      <c r="Z816" s="273"/>
      <c r="AA816" s="273"/>
      <c r="AB816" s="9"/>
      <c r="AC816" s="273"/>
      <c r="AD816" s="273"/>
      <c r="AE816" s="9"/>
      <c r="AF816" s="273"/>
      <c r="AG816" s="273"/>
      <c r="AH816" s="9"/>
      <c r="AI816" s="273"/>
      <c r="AJ816" s="273"/>
      <c r="AK816" s="9"/>
      <c r="AL816" s="273"/>
      <c r="AM816" s="273"/>
      <c r="AN816" s="9"/>
      <c r="AO816" s="273"/>
      <c r="AP816" s="273"/>
      <c r="AQ816" s="9"/>
      <c r="AR816" s="273"/>
      <c r="AS816" s="39"/>
    </row>
    <row r="817" spans="1:45" ht="12.75">
      <c r="A817" s="160"/>
      <c r="B817" s="273"/>
      <c r="C817" s="273"/>
      <c r="D817" s="273"/>
      <c r="E817" s="273"/>
      <c r="F817" s="273"/>
      <c r="G817" s="273"/>
      <c r="H817" s="273"/>
      <c r="I817" s="2"/>
      <c r="J817" s="17"/>
      <c r="K817" s="10"/>
      <c r="L817" s="10"/>
      <c r="M817" s="10"/>
      <c r="N817" s="10"/>
      <c r="O817" s="10"/>
      <c r="P817" s="10"/>
      <c r="Q817" s="10"/>
      <c r="R817" s="2"/>
      <c r="S817" s="273"/>
      <c r="T817" s="273"/>
      <c r="U817" s="273"/>
      <c r="V817" s="9"/>
      <c r="W817" s="273"/>
      <c r="X817" s="273"/>
      <c r="Y817" s="9"/>
      <c r="Z817" s="273"/>
      <c r="AA817" s="273"/>
      <c r="AB817" s="9"/>
      <c r="AC817" s="273"/>
      <c r="AD817" s="273"/>
      <c r="AE817" s="9"/>
      <c r="AF817" s="273"/>
      <c r="AG817" s="273"/>
      <c r="AH817" s="9"/>
      <c r="AI817" s="273"/>
      <c r="AJ817" s="273"/>
      <c r="AK817" s="9"/>
      <c r="AL817" s="273"/>
      <c r="AM817" s="273"/>
      <c r="AN817" s="9"/>
      <c r="AO817" s="273"/>
      <c r="AP817" s="273"/>
      <c r="AQ817" s="9"/>
      <c r="AR817" s="273"/>
      <c r="AS817" s="39"/>
    </row>
    <row r="818" spans="1:45" ht="12.75">
      <c r="A818" s="160"/>
      <c r="B818" s="273"/>
      <c r="C818" s="273"/>
      <c r="D818" s="273"/>
      <c r="E818" s="273"/>
      <c r="F818" s="273"/>
      <c r="G818" s="273"/>
      <c r="H818" s="273"/>
      <c r="I818" s="2"/>
      <c r="J818" s="17"/>
      <c r="K818" s="10"/>
      <c r="L818" s="10"/>
      <c r="M818" s="10"/>
      <c r="N818" s="10"/>
      <c r="O818" s="10"/>
      <c r="P818" s="10"/>
      <c r="Q818" s="10"/>
      <c r="R818" s="2"/>
      <c r="S818" s="273"/>
      <c r="T818" s="273"/>
      <c r="U818" s="273"/>
      <c r="V818" s="9"/>
      <c r="W818" s="273"/>
      <c r="X818" s="273"/>
      <c r="Y818" s="9"/>
      <c r="Z818" s="273"/>
      <c r="AA818" s="273"/>
      <c r="AB818" s="9"/>
      <c r="AC818" s="273"/>
      <c r="AD818" s="273"/>
      <c r="AE818" s="9"/>
      <c r="AF818" s="273"/>
      <c r="AG818" s="273"/>
      <c r="AH818" s="9"/>
      <c r="AI818" s="273"/>
      <c r="AJ818" s="273"/>
      <c r="AK818" s="9"/>
      <c r="AL818" s="273"/>
      <c r="AM818" s="273"/>
      <c r="AN818" s="9"/>
      <c r="AO818" s="273"/>
      <c r="AP818" s="273"/>
      <c r="AQ818" s="9"/>
      <c r="AR818" s="273"/>
      <c r="AS818" s="39"/>
    </row>
    <row r="819" spans="1:45" ht="12.75">
      <c r="A819" s="160"/>
      <c r="B819" s="273"/>
      <c r="C819" s="273"/>
      <c r="D819" s="273"/>
      <c r="E819" s="273"/>
      <c r="F819" s="273"/>
      <c r="G819" s="273"/>
      <c r="H819" s="273"/>
      <c r="I819" s="2"/>
      <c r="J819" s="17"/>
      <c r="K819" s="10"/>
      <c r="L819" s="10"/>
      <c r="M819" s="10"/>
      <c r="N819" s="10"/>
      <c r="O819" s="10"/>
      <c r="P819" s="10"/>
      <c r="Q819" s="10"/>
      <c r="R819" s="2"/>
      <c r="S819" s="273"/>
      <c r="T819" s="273"/>
      <c r="U819" s="273"/>
      <c r="V819" s="9"/>
      <c r="W819" s="273"/>
      <c r="X819" s="273"/>
      <c r="Y819" s="9"/>
      <c r="Z819" s="273"/>
      <c r="AA819" s="273"/>
      <c r="AB819" s="9"/>
      <c r="AC819" s="273"/>
      <c r="AD819" s="273"/>
      <c r="AE819" s="9"/>
      <c r="AF819" s="273"/>
      <c r="AG819" s="273"/>
      <c r="AH819" s="9"/>
      <c r="AI819" s="273"/>
      <c r="AJ819" s="273"/>
      <c r="AK819" s="9"/>
      <c r="AL819" s="273"/>
      <c r="AM819" s="273"/>
      <c r="AN819" s="9"/>
      <c r="AO819" s="273"/>
      <c r="AP819" s="273"/>
      <c r="AQ819" s="9"/>
      <c r="AR819" s="273"/>
      <c r="AS819" s="39"/>
    </row>
    <row r="820" spans="1:45" ht="12.75">
      <c r="A820" s="160"/>
      <c r="B820" s="273"/>
      <c r="C820" s="273"/>
      <c r="D820" s="273"/>
      <c r="E820" s="273"/>
      <c r="F820" s="273"/>
      <c r="G820" s="273"/>
      <c r="H820" s="273"/>
      <c r="I820" s="2"/>
      <c r="J820" s="17"/>
      <c r="K820" s="10"/>
      <c r="L820" s="10"/>
      <c r="M820" s="10"/>
      <c r="N820" s="10"/>
      <c r="O820" s="10"/>
      <c r="P820" s="10"/>
      <c r="Q820" s="10"/>
      <c r="R820" s="2"/>
      <c r="S820" s="273"/>
      <c r="T820" s="273"/>
      <c r="U820" s="273"/>
      <c r="V820" s="9"/>
      <c r="W820" s="273"/>
      <c r="X820" s="273"/>
      <c r="Y820" s="9"/>
      <c r="Z820" s="273"/>
      <c r="AA820" s="273"/>
      <c r="AB820" s="9"/>
      <c r="AC820" s="273"/>
      <c r="AD820" s="273"/>
      <c r="AE820" s="9"/>
      <c r="AF820" s="273"/>
      <c r="AG820" s="273"/>
      <c r="AH820" s="9"/>
      <c r="AI820" s="273"/>
      <c r="AJ820" s="273"/>
      <c r="AK820" s="9"/>
      <c r="AL820" s="273"/>
      <c r="AM820" s="273"/>
      <c r="AN820" s="9"/>
      <c r="AO820" s="273"/>
      <c r="AP820" s="273"/>
      <c r="AQ820" s="9"/>
      <c r="AR820" s="273"/>
      <c r="AS820" s="39"/>
    </row>
    <row r="821" spans="1:45" ht="12.75">
      <c r="A821" s="160"/>
      <c r="B821" s="273"/>
      <c r="C821" s="273"/>
      <c r="D821" s="273"/>
      <c r="E821" s="273"/>
      <c r="F821" s="273"/>
      <c r="G821" s="273"/>
      <c r="H821" s="273"/>
      <c r="I821" s="2"/>
      <c r="J821" s="17"/>
      <c r="K821" s="10"/>
      <c r="L821" s="10"/>
      <c r="M821" s="10"/>
      <c r="N821" s="10"/>
      <c r="O821" s="10"/>
      <c r="P821" s="10"/>
      <c r="Q821" s="10"/>
      <c r="R821" s="2"/>
      <c r="S821" s="273"/>
      <c r="T821" s="273"/>
      <c r="U821" s="273"/>
      <c r="V821" s="9"/>
      <c r="W821" s="273"/>
      <c r="X821" s="273"/>
      <c r="Y821" s="9"/>
      <c r="Z821" s="273"/>
      <c r="AA821" s="273"/>
      <c r="AB821" s="9"/>
      <c r="AC821" s="273"/>
      <c r="AD821" s="273"/>
      <c r="AE821" s="9"/>
      <c r="AF821" s="273"/>
      <c r="AG821" s="273"/>
      <c r="AH821" s="9"/>
      <c r="AI821" s="273"/>
      <c r="AJ821" s="273"/>
      <c r="AK821" s="9"/>
      <c r="AL821" s="273"/>
      <c r="AM821" s="273"/>
      <c r="AN821" s="9"/>
      <c r="AO821" s="273"/>
      <c r="AP821" s="273"/>
      <c r="AQ821" s="9"/>
      <c r="AR821" s="273"/>
      <c r="AS821" s="39"/>
    </row>
    <row r="822" spans="1:45" ht="12.75">
      <c r="A822" s="160"/>
      <c r="B822" s="273"/>
      <c r="C822" s="273"/>
      <c r="D822" s="273"/>
      <c r="E822" s="273"/>
      <c r="F822" s="273"/>
      <c r="G822" s="273"/>
      <c r="H822" s="273"/>
      <c r="I822" s="2"/>
      <c r="J822" s="17"/>
      <c r="K822" s="10"/>
      <c r="L822" s="10"/>
      <c r="M822" s="10"/>
      <c r="N822" s="10"/>
      <c r="O822" s="10"/>
      <c r="P822" s="10"/>
      <c r="Q822" s="10"/>
      <c r="R822" s="2"/>
      <c r="S822" s="273"/>
      <c r="T822" s="273"/>
      <c r="U822" s="273"/>
      <c r="V822" s="9"/>
      <c r="W822" s="273"/>
      <c r="X822" s="273"/>
      <c r="Y822" s="9"/>
      <c r="Z822" s="273"/>
      <c r="AA822" s="273"/>
      <c r="AB822" s="9"/>
      <c r="AC822" s="273"/>
      <c r="AD822" s="273"/>
      <c r="AE822" s="9"/>
      <c r="AF822" s="273"/>
      <c r="AG822" s="273"/>
      <c r="AH822" s="9"/>
      <c r="AI822" s="273"/>
      <c r="AJ822" s="273"/>
      <c r="AK822" s="9"/>
      <c r="AL822" s="273"/>
      <c r="AM822" s="273"/>
      <c r="AN822" s="9"/>
      <c r="AO822" s="273"/>
      <c r="AP822" s="273"/>
      <c r="AQ822" s="9"/>
      <c r="AR822" s="273"/>
      <c r="AS822" s="39"/>
    </row>
    <row r="823" spans="1:45" ht="12.75">
      <c r="A823" s="160"/>
      <c r="B823" s="273"/>
      <c r="C823" s="273"/>
      <c r="D823" s="273"/>
      <c r="E823" s="273"/>
      <c r="F823" s="273"/>
      <c r="G823" s="273"/>
      <c r="H823" s="273"/>
      <c r="I823" s="2"/>
      <c r="J823" s="17"/>
      <c r="K823" s="10"/>
      <c r="L823" s="10"/>
      <c r="M823" s="10"/>
      <c r="N823" s="10"/>
      <c r="O823" s="10"/>
      <c r="P823" s="10"/>
      <c r="Q823" s="10"/>
      <c r="R823" s="2"/>
      <c r="S823" s="273"/>
      <c r="T823" s="273"/>
      <c r="U823" s="273"/>
      <c r="V823" s="9"/>
      <c r="W823" s="273"/>
      <c r="X823" s="273"/>
      <c r="Y823" s="9"/>
      <c r="Z823" s="273"/>
      <c r="AA823" s="273"/>
      <c r="AB823" s="9"/>
      <c r="AC823" s="273"/>
      <c r="AD823" s="273"/>
      <c r="AE823" s="9"/>
      <c r="AF823" s="273"/>
      <c r="AG823" s="273"/>
      <c r="AH823" s="9"/>
      <c r="AI823" s="273"/>
      <c r="AJ823" s="273"/>
      <c r="AK823" s="9"/>
      <c r="AL823" s="273"/>
      <c r="AM823" s="273"/>
      <c r="AN823" s="9"/>
      <c r="AO823" s="273"/>
      <c r="AP823" s="273"/>
      <c r="AQ823" s="9"/>
      <c r="AR823" s="273"/>
      <c r="AS823" s="39"/>
    </row>
    <row r="824" spans="1:45" ht="12.75">
      <c r="A824" s="160"/>
      <c r="B824" s="273"/>
      <c r="C824" s="273"/>
      <c r="D824" s="273"/>
      <c r="E824" s="273"/>
      <c r="F824" s="273"/>
      <c r="G824" s="273"/>
      <c r="H824" s="273"/>
      <c r="I824" s="2"/>
      <c r="J824" s="17"/>
      <c r="K824" s="10"/>
      <c r="L824" s="10"/>
      <c r="M824" s="10"/>
      <c r="N824" s="10"/>
      <c r="O824" s="10"/>
      <c r="P824" s="10"/>
      <c r="Q824" s="10"/>
      <c r="R824" s="2"/>
      <c r="S824" s="273"/>
      <c r="T824" s="273"/>
      <c r="U824" s="273"/>
      <c r="V824" s="9"/>
      <c r="W824" s="273"/>
      <c r="X824" s="273"/>
      <c r="Y824" s="9"/>
      <c r="Z824" s="273"/>
      <c r="AA824" s="273"/>
      <c r="AB824" s="9"/>
      <c r="AC824" s="273"/>
      <c r="AD824" s="273"/>
      <c r="AE824" s="9"/>
      <c r="AF824" s="273"/>
      <c r="AG824" s="273"/>
      <c r="AH824" s="9"/>
      <c r="AI824" s="273"/>
      <c r="AJ824" s="273"/>
      <c r="AK824" s="9"/>
      <c r="AL824" s="273"/>
      <c r="AM824" s="273"/>
      <c r="AN824" s="9"/>
      <c r="AO824" s="273"/>
      <c r="AP824" s="273"/>
      <c r="AQ824" s="9"/>
      <c r="AR824" s="273"/>
      <c r="AS824" s="39"/>
    </row>
    <row r="825" spans="1:45" ht="12.75">
      <c r="A825" s="160"/>
      <c r="B825" s="273"/>
      <c r="C825" s="273"/>
      <c r="D825" s="273"/>
      <c r="E825" s="273"/>
      <c r="F825" s="273"/>
      <c r="G825" s="273"/>
      <c r="H825" s="273"/>
      <c r="I825" s="2"/>
      <c r="J825" s="17"/>
      <c r="K825" s="10"/>
      <c r="L825" s="10"/>
      <c r="M825" s="10"/>
      <c r="N825" s="10"/>
      <c r="O825" s="10"/>
      <c r="P825" s="10"/>
      <c r="Q825" s="10"/>
      <c r="R825" s="2"/>
      <c r="S825" s="273"/>
      <c r="T825" s="273"/>
      <c r="U825" s="273"/>
      <c r="V825" s="9"/>
      <c r="W825" s="273"/>
      <c r="X825" s="273"/>
      <c r="Y825" s="9"/>
      <c r="Z825" s="273"/>
      <c r="AA825" s="273"/>
      <c r="AB825" s="9"/>
      <c r="AC825" s="273"/>
      <c r="AD825" s="273"/>
      <c r="AE825" s="9"/>
      <c r="AF825" s="273"/>
      <c r="AG825" s="273"/>
      <c r="AH825" s="9"/>
      <c r="AI825" s="273"/>
      <c r="AJ825" s="273"/>
      <c r="AK825" s="9"/>
      <c r="AL825" s="273"/>
      <c r="AM825" s="273"/>
      <c r="AN825" s="9"/>
      <c r="AO825" s="273"/>
      <c r="AP825" s="273"/>
      <c r="AQ825" s="9"/>
      <c r="AR825" s="273"/>
      <c r="AS825" s="39"/>
    </row>
    <row r="826" spans="1:45" ht="12.75">
      <c r="A826" s="160"/>
      <c r="B826" s="273"/>
      <c r="C826" s="273"/>
      <c r="D826" s="273"/>
      <c r="E826" s="273"/>
      <c r="F826" s="273"/>
      <c r="G826" s="273"/>
      <c r="H826" s="273"/>
      <c r="I826" s="2"/>
      <c r="J826" s="17"/>
      <c r="K826" s="10"/>
      <c r="L826" s="10"/>
      <c r="M826" s="10"/>
      <c r="N826" s="10"/>
      <c r="O826" s="10"/>
      <c r="P826" s="10"/>
      <c r="Q826" s="10"/>
      <c r="R826" s="2"/>
      <c r="S826" s="273"/>
      <c r="T826" s="273"/>
      <c r="U826" s="273"/>
      <c r="V826" s="9"/>
      <c r="W826" s="273"/>
      <c r="X826" s="273"/>
      <c r="Y826" s="9"/>
      <c r="Z826" s="273"/>
      <c r="AA826" s="273"/>
      <c r="AB826" s="9"/>
      <c r="AC826" s="273"/>
      <c r="AD826" s="273"/>
      <c r="AE826" s="9"/>
      <c r="AF826" s="273"/>
      <c r="AG826" s="273"/>
      <c r="AH826" s="9"/>
      <c r="AI826" s="273"/>
      <c r="AJ826" s="273"/>
      <c r="AK826" s="9"/>
      <c r="AL826" s="273"/>
      <c r="AM826" s="273"/>
      <c r="AN826" s="9"/>
      <c r="AO826" s="273"/>
      <c r="AP826" s="273"/>
      <c r="AQ826" s="9"/>
      <c r="AR826" s="273"/>
      <c r="AS826" s="39"/>
    </row>
    <row r="827" spans="1:45" ht="12.75">
      <c r="A827" s="160"/>
      <c r="B827" s="273"/>
      <c r="C827" s="273"/>
      <c r="D827" s="273"/>
      <c r="E827" s="273"/>
      <c r="F827" s="273"/>
      <c r="G827" s="273"/>
      <c r="H827" s="273"/>
      <c r="I827" s="2"/>
      <c r="J827" s="17"/>
      <c r="K827" s="10"/>
      <c r="L827" s="10"/>
      <c r="M827" s="10"/>
      <c r="N827" s="10"/>
      <c r="O827" s="10"/>
      <c r="P827" s="10"/>
      <c r="Q827" s="10"/>
      <c r="R827" s="2"/>
      <c r="S827" s="273"/>
      <c r="T827" s="273"/>
      <c r="U827" s="273"/>
      <c r="V827" s="9"/>
      <c r="W827" s="273"/>
      <c r="X827" s="273"/>
      <c r="Y827" s="9"/>
      <c r="Z827" s="273"/>
      <c r="AA827" s="273"/>
      <c r="AB827" s="9"/>
      <c r="AC827" s="273"/>
      <c r="AD827" s="273"/>
      <c r="AE827" s="9"/>
      <c r="AF827" s="273"/>
      <c r="AG827" s="273"/>
      <c r="AH827" s="9"/>
      <c r="AI827" s="273"/>
      <c r="AJ827" s="273"/>
      <c r="AK827" s="9"/>
      <c r="AL827" s="273"/>
      <c r="AM827" s="273"/>
      <c r="AN827" s="9"/>
      <c r="AO827" s="273"/>
      <c r="AP827" s="273"/>
      <c r="AQ827" s="9"/>
      <c r="AR827" s="273"/>
      <c r="AS827" s="39"/>
    </row>
    <row r="828" spans="1:45" ht="12.75">
      <c r="A828" s="160"/>
      <c r="B828" s="273"/>
      <c r="C828" s="273"/>
      <c r="D828" s="273"/>
      <c r="E828" s="273"/>
      <c r="F828" s="273"/>
      <c r="G828" s="273"/>
      <c r="H828" s="273"/>
      <c r="I828" s="2"/>
      <c r="J828" s="17"/>
      <c r="K828" s="10"/>
      <c r="L828" s="10"/>
      <c r="M828" s="10"/>
      <c r="N828" s="10"/>
      <c r="O828" s="10"/>
      <c r="P828" s="10"/>
      <c r="Q828" s="10"/>
      <c r="R828" s="2"/>
      <c r="S828" s="273"/>
      <c r="T828" s="273"/>
      <c r="U828" s="273"/>
      <c r="V828" s="9"/>
      <c r="W828" s="273"/>
      <c r="X828" s="273"/>
      <c r="Y828" s="9"/>
      <c r="Z828" s="273"/>
      <c r="AA828" s="273"/>
      <c r="AB828" s="9"/>
      <c r="AC828" s="273"/>
      <c r="AD828" s="273"/>
      <c r="AE828" s="9"/>
      <c r="AF828" s="273"/>
      <c r="AG828" s="273"/>
      <c r="AH828" s="9"/>
      <c r="AI828" s="273"/>
      <c r="AJ828" s="273"/>
      <c r="AK828" s="9"/>
      <c r="AL828" s="273"/>
      <c r="AM828" s="273"/>
      <c r="AN828" s="9"/>
      <c r="AO828" s="273"/>
      <c r="AP828" s="273"/>
      <c r="AQ828" s="9"/>
      <c r="AR828" s="273"/>
      <c r="AS828" s="39"/>
    </row>
    <row r="829" spans="1:45" ht="12.75">
      <c r="A829" s="160"/>
      <c r="B829" s="273"/>
      <c r="C829" s="273"/>
      <c r="D829" s="273"/>
      <c r="E829" s="273"/>
      <c r="F829" s="273"/>
      <c r="G829" s="273"/>
      <c r="H829" s="273"/>
      <c r="I829" s="2"/>
      <c r="J829" s="17"/>
      <c r="K829" s="10"/>
      <c r="L829" s="10"/>
      <c r="M829" s="10"/>
      <c r="N829" s="10"/>
      <c r="O829" s="10"/>
      <c r="P829" s="10"/>
      <c r="Q829" s="10"/>
      <c r="R829" s="2"/>
      <c r="S829" s="273"/>
      <c r="T829" s="273"/>
      <c r="U829" s="273"/>
      <c r="V829" s="9"/>
      <c r="W829" s="273"/>
      <c r="X829" s="273"/>
      <c r="Y829" s="9"/>
      <c r="Z829" s="273"/>
      <c r="AA829" s="273"/>
      <c r="AB829" s="9"/>
      <c r="AC829" s="273"/>
      <c r="AD829" s="273"/>
      <c r="AE829" s="9"/>
      <c r="AF829" s="273"/>
      <c r="AG829" s="273"/>
      <c r="AH829" s="9"/>
      <c r="AI829" s="273"/>
      <c r="AJ829" s="273"/>
      <c r="AK829" s="9"/>
      <c r="AL829" s="273"/>
      <c r="AM829" s="273"/>
      <c r="AN829" s="9"/>
      <c r="AO829" s="273"/>
      <c r="AP829" s="273"/>
      <c r="AQ829" s="9"/>
      <c r="AR829" s="273"/>
      <c r="AS829" s="39"/>
    </row>
    <row r="830" spans="1:45" ht="12.75">
      <c r="A830" s="160"/>
      <c r="B830" s="273"/>
      <c r="C830" s="273"/>
      <c r="D830" s="273"/>
      <c r="E830" s="273"/>
      <c r="F830" s="273"/>
      <c r="G830" s="273"/>
      <c r="H830" s="273"/>
      <c r="I830" s="2"/>
      <c r="J830" s="17"/>
      <c r="K830" s="10"/>
      <c r="L830" s="10"/>
      <c r="M830" s="10"/>
      <c r="N830" s="10"/>
      <c r="O830" s="10"/>
      <c r="P830" s="10"/>
      <c r="Q830" s="10"/>
      <c r="R830" s="2"/>
      <c r="S830" s="273"/>
      <c r="T830" s="273"/>
      <c r="U830" s="273"/>
      <c r="V830" s="9"/>
      <c r="W830" s="273"/>
      <c r="X830" s="273"/>
      <c r="Y830" s="9"/>
      <c r="Z830" s="273"/>
      <c r="AA830" s="273"/>
      <c r="AB830" s="9"/>
      <c r="AC830" s="273"/>
      <c r="AD830" s="273"/>
      <c r="AE830" s="9"/>
      <c r="AF830" s="273"/>
      <c r="AG830" s="273"/>
      <c r="AH830" s="9"/>
      <c r="AI830" s="273"/>
      <c r="AJ830" s="273"/>
      <c r="AK830" s="9"/>
      <c r="AL830" s="273"/>
      <c r="AM830" s="273"/>
      <c r="AN830" s="9"/>
      <c r="AO830" s="273"/>
      <c r="AP830" s="273"/>
      <c r="AQ830" s="9"/>
      <c r="AR830" s="273"/>
      <c r="AS830" s="39"/>
    </row>
    <row r="831" spans="1:45" ht="12.75">
      <c r="A831" s="160"/>
      <c r="B831" s="273"/>
      <c r="C831" s="273"/>
      <c r="D831" s="273"/>
      <c r="E831" s="273"/>
      <c r="F831" s="273"/>
      <c r="G831" s="273"/>
      <c r="H831" s="273"/>
      <c r="I831" s="2"/>
      <c r="J831" s="17"/>
      <c r="K831" s="10"/>
      <c r="L831" s="10"/>
      <c r="M831" s="10"/>
      <c r="N831" s="10"/>
      <c r="O831" s="10"/>
      <c r="P831" s="10"/>
      <c r="Q831" s="10"/>
      <c r="R831" s="2"/>
      <c r="S831" s="273"/>
      <c r="T831" s="273"/>
      <c r="U831" s="273"/>
      <c r="V831" s="9"/>
      <c r="W831" s="273"/>
      <c r="X831" s="273"/>
      <c r="Y831" s="9"/>
      <c r="Z831" s="273"/>
      <c r="AA831" s="273"/>
      <c r="AB831" s="9"/>
      <c r="AC831" s="273"/>
      <c r="AD831" s="273"/>
      <c r="AE831" s="9"/>
      <c r="AF831" s="273"/>
      <c r="AG831" s="273"/>
      <c r="AH831" s="9"/>
      <c r="AI831" s="273"/>
      <c r="AJ831" s="273"/>
      <c r="AK831" s="9"/>
      <c r="AL831" s="273"/>
      <c r="AM831" s="273"/>
      <c r="AN831" s="9"/>
      <c r="AO831" s="273"/>
      <c r="AP831" s="273"/>
      <c r="AQ831" s="9"/>
      <c r="AR831" s="273"/>
      <c r="AS831" s="39"/>
    </row>
    <row r="832" spans="1:45" ht="12.75">
      <c r="A832" s="160"/>
      <c r="B832" s="273"/>
      <c r="C832" s="273"/>
      <c r="D832" s="273"/>
      <c r="E832" s="273"/>
      <c r="F832" s="273"/>
      <c r="G832" s="273"/>
      <c r="H832" s="273"/>
      <c r="I832" s="2"/>
      <c r="J832" s="17"/>
      <c r="K832" s="10"/>
      <c r="L832" s="10"/>
      <c r="M832" s="10"/>
      <c r="N832" s="10"/>
      <c r="O832" s="10"/>
      <c r="P832" s="10"/>
      <c r="Q832" s="10"/>
      <c r="R832" s="2"/>
      <c r="S832" s="273"/>
      <c r="T832" s="273"/>
      <c r="U832" s="273"/>
      <c r="V832" s="9"/>
      <c r="W832" s="273"/>
      <c r="X832" s="273"/>
      <c r="Y832" s="9"/>
      <c r="Z832" s="273"/>
      <c r="AA832" s="273"/>
      <c r="AB832" s="9"/>
      <c r="AC832" s="273"/>
      <c r="AD832" s="273"/>
      <c r="AE832" s="9"/>
      <c r="AF832" s="273"/>
      <c r="AG832" s="273"/>
      <c r="AH832" s="9"/>
      <c r="AI832" s="273"/>
      <c r="AJ832" s="273"/>
      <c r="AK832" s="9"/>
      <c r="AL832" s="273"/>
      <c r="AM832" s="273"/>
      <c r="AN832" s="9"/>
      <c r="AO832" s="273"/>
      <c r="AP832" s="273"/>
      <c r="AQ832" s="9"/>
      <c r="AR832" s="273"/>
      <c r="AS832" s="39"/>
    </row>
    <row r="833" spans="1:45" ht="12.75">
      <c r="A833" s="160"/>
      <c r="B833" s="273"/>
      <c r="C833" s="273"/>
      <c r="D833" s="273"/>
      <c r="E833" s="273"/>
      <c r="F833" s="273"/>
      <c r="G833" s="273"/>
      <c r="H833" s="273"/>
      <c r="I833" s="2"/>
      <c r="J833" s="17"/>
      <c r="K833" s="10"/>
      <c r="L833" s="10"/>
      <c r="M833" s="10"/>
      <c r="N833" s="10"/>
      <c r="O833" s="10"/>
      <c r="P833" s="10"/>
      <c r="Q833" s="10"/>
      <c r="R833" s="2"/>
      <c r="S833" s="273"/>
      <c r="T833" s="273"/>
      <c r="U833" s="273"/>
      <c r="V833" s="9"/>
      <c r="W833" s="273"/>
      <c r="X833" s="273"/>
      <c r="Y833" s="9"/>
      <c r="Z833" s="273"/>
      <c r="AA833" s="273"/>
      <c r="AB833" s="9"/>
      <c r="AC833" s="273"/>
      <c r="AD833" s="273"/>
      <c r="AE833" s="9"/>
      <c r="AF833" s="273"/>
      <c r="AG833" s="273"/>
      <c r="AH833" s="9"/>
      <c r="AI833" s="273"/>
      <c r="AJ833" s="273"/>
      <c r="AK833" s="9"/>
      <c r="AL833" s="273"/>
      <c r="AM833" s="273"/>
      <c r="AN833" s="9"/>
      <c r="AO833" s="273"/>
      <c r="AP833" s="273"/>
      <c r="AQ833" s="9"/>
      <c r="AR833" s="273"/>
      <c r="AS833" s="39"/>
    </row>
    <row r="834" spans="1:45" ht="12.75">
      <c r="A834" s="160"/>
      <c r="B834" s="273"/>
      <c r="C834" s="273"/>
      <c r="D834" s="273"/>
      <c r="E834" s="273"/>
      <c r="F834" s="273"/>
      <c r="G834" s="273"/>
      <c r="H834" s="273"/>
      <c r="I834" s="2"/>
      <c r="J834" s="17"/>
      <c r="K834" s="10"/>
      <c r="L834" s="10"/>
      <c r="M834" s="10"/>
      <c r="N834" s="10"/>
      <c r="O834" s="10"/>
      <c r="P834" s="10"/>
      <c r="Q834" s="10"/>
      <c r="R834" s="2"/>
      <c r="S834" s="273"/>
      <c r="T834" s="273"/>
      <c r="U834" s="273"/>
      <c r="V834" s="9"/>
      <c r="W834" s="273"/>
      <c r="X834" s="273"/>
      <c r="Y834" s="9"/>
      <c r="Z834" s="273"/>
      <c r="AA834" s="273"/>
      <c r="AB834" s="9"/>
      <c r="AC834" s="273"/>
      <c r="AD834" s="273"/>
      <c r="AE834" s="9"/>
      <c r="AF834" s="273"/>
      <c r="AG834" s="273"/>
      <c r="AH834" s="9"/>
      <c r="AI834" s="273"/>
      <c r="AJ834" s="273"/>
      <c r="AK834" s="9"/>
      <c r="AL834" s="273"/>
      <c r="AM834" s="273"/>
      <c r="AN834" s="9"/>
      <c r="AO834" s="273"/>
      <c r="AP834" s="273"/>
      <c r="AQ834" s="9"/>
      <c r="AR834" s="273"/>
      <c r="AS834" s="39"/>
    </row>
    <row r="835" spans="1:45" ht="12.75">
      <c r="A835" s="160"/>
      <c r="B835" s="273"/>
      <c r="C835" s="273"/>
      <c r="D835" s="273"/>
      <c r="E835" s="273"/>
      <c r="F835" s="273"/>
      <c r="G835" s="273"/>
      <c r="H835" s="273"/>
      <c r="I835" s="2"/>
      <c r="J835" s="17"/>
      <c r="K835" s="10"/>
      <c r="L835" s="10"/>
      <c r="M835" s="10"/>
      <c r="N835" s="10"/>
      <c r="O835" s="10"/>
      <c r="P835" s="10"/>
      <c r="Q835" s="10"/>
      <c r="R835" s="2"/>
      <c r="S835" s="273"/>
      <c r="T835" s="273"/>
      <c r="U835" s="273"/>
      <c r="V835" s="9"/>
      <c r="W835" s="273"/>
      <c r="X835" s="273"/>
      <c r="Y835" s="9"/>
      <c r="Z835" s="273"/>
      <c r="AA835" s="273"/>
      <c r="AB835" s="9"/>
      <c r="AC835" s="273"/>
      <c r="AD835" s="273"/>
      <c r="AE835" s="9"/>
      <c r="AF835" s="273"/>
      <c r="AG835" s="273"/>
      <c r="AH835" s="9"/>
      <c r="AI835" s="273"/>
      <c r="AJ835" s="273"/>
      <c r="AK835" s="9"/>
      <c r="AL835" s="273"/>
      <c r="AM835" s="273"/>
      <c r="AN835" s="9"/>
      <c r="AO835" s="273"/>
      <c r="AP835" s="273"/>
      <c r="AQ835" s="9"/>
      <c r="AR835" s="273"/>
      <c r="AS835" s="39"/>
    </row>
    <row r="836" spans="1:45" ht="12.75">
      <c r="A836" s="160"/>
      <c r="B836" s="273"/>
      <c r="C836" s="273"/>
      <c r="D836" s="273"/>
      <c r="E836" s="273"/>
      <c r="F836" s="273"/>
      <c r="G836" s="273"/>
      <c r="H836" s="273"/>
      <c r="I836" s="2"/>
      <c r="J836" s="17"/>
      <c r="K836" s="10"/>
      <c r="L836" s="10"/>
      <c r="M836" s="10"/>
      <c r="N836" s="10"/>
      <c r="O836" s="10"/>
      <c r="P836" s="10"/>
      <c r="Q836" s="10"/>
      <c r="R836" s="2"/>
      <c r="S836" s="273"/>
      <c r="T836" s="273"/>
      <c r="U836" s="273"/>
      <c r="V836" s="9"/>
      <c r="W836" s="273"/>
      <c r="X836" s="273"/>
      <c r="Y836" s="9"/>
      <c r="Z836" s="273"/>
      <c r="AA836" s="273"/>
      <c r="AB836" s="9"/>
      <c r="AC836" s="273"/>
      <c r="AD836" s="273"/>
      <c r="AE836" s="9"/>
      <c r="AF836" s="273"/>
      <c r="AG836" s="273"/>
      <c r="AH836" s="9"/>
      <c r="AI836" s="273"/>
      <c r="AJ836" s="273"/>
      <c r="AK836" s="9"/>
      <c r="AL836" s="273"/>
      <c r="AM836" s="273"/>
      <c r="AN836" s="9"/>
      <c r="AO836" s="273"/>
      <c r="AP836" s="273"/>
      <c r="AQ836" s="9"/>
      <c r="AR836" s="273"/>
      <c r="AS836" s="39"/>
    </row>
    <row r="837" spans="1:45" ht="12.75">
      <c r="A837" s="160"/>
      <c r="B837" s="273"/>
      <c r="C837" s="273"/>
      <c r="D837" s="273"/>
      <c r="E837" s="273"/>
      <c r="F837" s="273"/>
      <c r="G837" s="273"/>
      <c r="H837" s="273"/>
      <c r="I837" s="2"/>
      <c r="J837" s="17"/>
      <c r="K837" s="10"/>
      <c r="L837" s="10"/>
      <c r="M837" s="10"/>
      <c r="N837" s="10"/>
      <c r="O837" s="10"/>
      <c r="P837" s="10"/>
      <c r="Q837" s="10"/>
      <c r="R837" s="2"/>
      <c r="S837" s="273"/>
      <c r="T837" s="273"/>
      <c r="U837" s="273"/>
      <c r="V837" s="9"/>
      <c r="W837" s="273"/>
      <c r="X837" s="273"/>
      <c r="Y837" s="9"/>
      <c r="Z837" s="273"/>
      <c r="AA837" s="273"/>
      <c r="AB837" s="9"/>
      <c r="AC837" s="273"/>
      <c r="AD837" s="273"/>
      <c r="AE837" s="9"/>
      <c r="AF837" s="273"/>
      <c r="AG837" s="273"/>
      <c r="AH837" s="9"/>
      <c r="AI837" s="273"/>
      <c r="AJ837" s="273"/>
      <c r="AK837" s="9"/>
      <c r="AL837" s="273"/>
      <c r="AM837" s="273"/>
      <c r="AN837" s="9"/>
      <c r="AO837" s="273"/>
      <c r="AP837" s="273"/>
      <c r="AQ837" s="9"/>
      <c r="AR837" s="273"/>
      <c r="AS837" s="39"/>
    </row>
    <row r="838" spans="1:45" ht="12.75">
      <c r="A838" s="160"/>
      <c r="B838" s="273"/>
      <c r="C838" s="273"/>
      <c r="D838" s="273"/>
      <c r="E838" s="273"/>
      <c r="F838" s="273"/>
      <c r="G838" s="273"/>
      <c r="H838" s="273"/>
      <c r="I838" s="2"/>
      <c r="J838" s="17"/>
      <c r="K838" s="10"/>
      <c r="L838" s="10"/>
      <c r="M838" s="10"/>
      <c r="N838" s="10"/>
      <c r="O838" s="10"/>
      <c r="P838" s="10"/>
      <c r="Q838" s="10"/>
      <c r="R838" s="2"/>
      <c r="S838" s="273"/>
      <c r="T838" s="273"/>
      <c r="U838" s="273"/>
      <c r="V838" s="9"/>
      <c r="W838" s="273"/>
      <c r="X838" s="273"/>
      <c r="Y838" s="9"/>
      <c r="Z838" s="273"/>
      <c r="AA838" s="273"/>
      <c r="AB838" s="9"/>
      <c r="AC838" s="273"/>
      <c r="AD838" s="273"/>
      <c r="AE838" s="9"/>
      <c r="AF838" s="273"/>
      <c r="AG838" s="273"/>
      <c r="AH838" s="9"/>
      <c r="AI838" s="273"/>
      <c r="AJ838" s="273"/>
      <c r="AK838" s="9"/>
      <c r="AL838" s="273"/>
      <c r="AM838" s="273"/>
      <c r="AN838" s="9"/>
      <c r="AO838" s="273"/>
      <c r="AP838" s="273"/>
      <c r="AQ838" s="9"/>
      <c r="AR838" s="273"/>
      <c r="AS838" s="39"/>
    </row>
    <row r="839" spans="1:45" ht="12.75">
      <c r="A839" s="160"/>
      <c r="B839" s="273"/>
      <c r="C839" s="273"/>
      <c r="D839" s="273"/>
      <c r="E839" s="273"/>
      <c r="F839" s="273"/>
      <c r="G839" s="273"/>
      <c r="H839" s="273"/>
      <c r="I839" s="2"/>
      <c r="J839" s="17"/>
      <c r="K839" s="10"/>
      <c r="L839" s="10"/>
      <c r="M839" s="10"/>
      <c r="N839" s="10"/>
      <c r="O839" s="10"/>
      <c r="P839" s="10"/>
      <c r="Q839" s="10"/>
      <c r="R839" s="2"/>
      <c r="S839" s="273"/>
      <c r="T839" s="273"/>
      <c r="U839" s="273"/>
      <c r="V839" s="9"/>
      <c r="W839" s="273"/>
      <c r="X839" s="273"/>
      <c r="Y839" s="9"/>
      <c r="Z839" s="273"/>
      <c r="AA839" s="273"/>
      <c r="AB839" s="9"/>
      <c r="AC839" s="273"/>
      <c r="AD839" s="273"/>
      <c r="AE839" s="9"/>
      <c r="AF839" s="273"/>
      <c r="AG839" s="273"/>
      <c r="AH839" s="9"/>
      <c r="AI839" s="273"/>
      <c r="AJ839" s="273"/>
      <c r="AK839" s="9"/>
      <c r="AL839" s="273"/>
      <c r="AM839" s="273"/>
      <c r="AN839" s="9"/>
      <c r="AO839" s="273"/>
      <c r="AP839" s="273"/>
      <c r="AQ839" s="9"/>
      <c r="AR839" s="273"/>
      <c r="AS839" s="39"/>
    </row>
    <row r="840" spans="1:45" ht="12.75">
      <c r="A840" s="160"/>
      <c r="B840" s="273"/>
      <c r="C840" s="273"/>
      <c r="D840" s="273"/>
      <c r="E840" s="273"/>
      <c r="F840" s="273"/>
      <c r="G840" s="273"/>
      <c r="H840" s="273"/>
      <c r="I840" s="2"/>
      <c r="J840" s="17"/>
      <c r="K840" s="10"/>
      <c r="L840" s="10"/>
      <c r="M840" s="10"/>
      <c r="N840" s="10"/>
      <c r="O840" s="10"/>
      <c r="P840" s="10"/>
      <c r="Q840" s="10"/>
      <c r="R840" s="2"/>
      <c r="S840" s="273"/>
      <c r="T840" s="273"/>
      <c r="U840" s="273"/>
      <c r="V840" s="9"/>
      <c r="W840" s="273"/>
      <c r="X840" s="273"/>
      <c r="Y840" s="9"/>
      <c r="Z840" s="273"/>
      <c r="AA840" s="273"/>
      <c r="AB840" s="9"/>
      <c r="AC840" s="273"/>
      <c r="AD840" s="273"/>
      <c r="AE840" s="9"/>
      <c r="AF840" s="273"/>
      <c r="AG840" s="273"/>
      <c r="AH840" s="9"/>
      <c r="AI840" s="273"/>
      <c r="AJ840" s="273"/>
      <c r="AK840" s="9"/>
      <c r="AL840" s="273"/>
      <c r="AM840" s="273"/>
      <c r="AN840" s="9"/>
      <c r="AO840" s="273"/>
      <c r="AP840" s="273"/>
      <c r="AQ840" s="9"/>
      <c r="AR840" s="273"/>
      <c r="AS840" s="39"/>
    </row>
    <row r="841" spans="1:45" ht="12.75">
      <c r="A841" s="160"/>
      <c r="B841" s="273"/>
      <c r="C841" s="273"/>
      <c r="D841" s="273"/>
      <c r="E841" s="273"/>
      <c r="F841" s="273"/>
      <c r="G841" s="273"/>
      <c r="H841" s="273"/>
      <c r="I841" s="2"/>
      <c r="J841" s="17"/>
      <c r="K841" s="10"/>
      <c r="L841" s="10"/>
      <c r="M841" s="10"/>
      <c r="N841" s="10"/>
      <c r="O841" s="10"/>
      <c r="P841" s="10"/>
      <c r="Q841" s="10"/>
      <c r="R841" s="2"/>
      <c r="S841" s="273"/>
      <c r="T841" s="273"/>
      <c r="U841" s="273"/>
      <c r="V841" s="9"/>
      <c r="W841" s="273"/>
      <c r="X841" s="273"/>
      <c r="Y841" s="9"/>
      <c r="Z841" s="273"/>
      <c r="AA841" s="273"/>
      <c r="AB841" s="9"/>
      <c r="AC841" s="273"/>
      <c r="AD841" s="273"/>
      <c r="AE841" s="9"/>
      <c r="AF841" s="273"/>
      <c r="AG841" s="273"/>
      <c r="AH841" s="9"/>
      <c r="AI841" s="273"/>
      <c r="AJ841" s="273"/>
      <c r="AK841" s="9"/>
      <c r="AL841" s="273"/>
      <c r="AM841" s="273"/>
      <c r="AN841" s="9"/>
      <c r="AO841" s="273"/>
      <c r="AP841" s="273"/>
      <c r="AQ841" s="9"/>
      <c r="AR841" s="273"/>
      <c r="AS841" s="39"/>
    </row>
    <row r="842" spans="1:45" ht="12.75">
      <c r="A842" s="160"/>
      <c r="B842" s="273"/>
      <c r="C842" s="273"/>
      <c r="D842" s="273"/>
      <c r="E842" s="273"/>
      <c r="F842" s="273"/>
      <c r="G842" s="273"/>
      <c r="H842" s="273"/>
      <c r="I842" s="2"/>
      <c r="J842" s="17"/>
      <c r="K842" s="10"/>
      <c r="L842" s="10"/>
      <c r="M842" s="10"/>
      <c r="N842" s="10"/>
      <c r="O842" s="10"/>
      <c r="P842" s="10"/>
      <c r="Q842" s="10"/>
      <c r="R842" s="2"/>
      <c r="S842" s="273"/>
      <c r="T842" s="273"/>
      <c r="U842" s="273"/>
      <c r="V842" s="9"/>
      <c r="W842" s="273"/>
      <c r="X842" s="273"/>
      <c r="Y842" s="9"/>
      <c r="Z842" s="273"/>
      <c r="AA842" s="273"/>
      <c r="AB842" s="9"/>
      <c r="AC842" s="273"/>
      <c r="AD842" s="273"/>
      <c r="AE842" s="9"/>
      <c r="AF842" s="273"/>
      <c r="AG842" s="273"/>
      <c r="AH842" s="9"/>
      <c r="AI842" s="273"/>
      <c r="AJ842" s="273"/>
      <c r="AK842" s="9"/>
      <c r="AL842" s="273"/>
      <c r="AM842" s="273"/>
      <c r="AN842" s="9"/>
      <c r="AO842" s="273"/>
      <c r="AP842" s="273"/>
      <c r="AQ842" s="9"/>
      <c r="AR842" s="273"/>
      <c r="AS842" s="39"/>
    </row>
    <row r="843" spans="1:45" ht="12.75">
      <c r="A843" s="160"/>
      <c r="B843" s="273"/>
      <c r="C843" s="273"/>
      <c r="D843" s="273"/>
      <c r="E843" s="273"/>
      <c r="F843" s="273"/>
      <c r="G843" s="273"/>
      <c r="H843" s="273"/>
      <c r="I843" s="2"/>
      <c r="J843" s="17"/>
      <c r="K843" s="10"/>
      <c r="L843" s="10"/>
      <c r="M843" s="10"/>
      <c r="N843" s="10"/>
      <c r="O843" s="10"/>
      <c r="P843" s="10"/>
      <c r="Q843" s="10"/>
      <c r="R843" s="2"/>
      <c r="S843" s="273"/>
      <c r="T843" s="273"/>
      <c r="U843" s="273"/>
      <c r="V843" s="9"/>
      <c r="W843" s="273"/>
      <c r="X843" s="273"/>
      <c r="Y843" s="9"/>
      <c r="Z843" s="273"/>
      <c r="AA843" s="273"/>
      <c r="AB843" s="9"/>
      <c r="AC843" s="273"/>
      <c r="AD843" s="273"/>
      <c r="AE843" s="9"/>
      <c r="AF843" s="273"/>
      <c r="AG843" s="273"/>
      <c r="AH843" s="9"/>
      <c r="AI843" s="273"/>
      <c r="AJ843" s="273"/>
      <c r="AK843" s="9"/>
      <c r="AL843" s="273"/>
      <c r="AM843" s="273"/>
      <c r="AN843" s="9"/>
      <c r="AO843" s="273"/>
      <c r="AP843" s="273"/>
      <c r="AQ843" s="9"/>
      <c r="AR843" s="273"/>
      <c r="AS843" s="39"/>
    </row>
    <row r="844" spans="1:45" ht="12.75">
      <c r="A844" s="160"/>
      <c r="B844" s="273"/>
      <c r="C844" s="273"/>
      <c r="D844" s="273"/>
      <c r="E844" s="273"/>
      <c r="F844" s="273"/>
      <c r="G844" s="273"/>
      <c r="H844" s="273"/>
      <c r="I844" s="2"/>
      <c r="J844" s="17"/>
      <c r="K844" s="10"/>
      <c r="L844" s="10"/>
      <c r="M844" s="10"/>
      <c r="N844" s="10"/>
      <c r="O844" s="10"/>
      <c r="P844" s="10"/>
      <c r="Q844" s="10"/>
      <c r="R844" s="2"/>
      <c r="S844" s="273"/>
      <c r="T844" s="273"/>
      <c r="U844" s="273"/>
      <c r="V844" s="9"/>
      <c r="W844" s="273"/>
      <c r="X844" s="273"/>
      <c r="Y844" s="9"/>
      <c r="Z844" s="273"/>
      <c r="AA844" s="273"/>
      <c r="AB844" s="9"/>
      <c r="AC844" s="273"/>
      <c r="AD844" s="273"/>
      <c r="AE844" s="9"/>
      <c r="AF844" s="273"/>
      <c r="AG844" s="273"/>
      <c r="AH844" s="9"/>
      <c r="AI844" s="273"/>
      <c r="AJ844" s="273"/>
      <c r="AK844" s="9"/>
      <c r="AL844" s="273"/>
      <c r="AM844" s="273"/>
      <c r="AN844" s="9"/>
      <c r="AO844" s="273"/>
      <c r="AP844" s="273"/>
      <c r="AQ844" s="9"/>
      <c r="AR844" s="273"/>
      <c r="AS844" s="39"/>
    </row>
    <row r="845" spans="1:45" ht="12.75">
      <c r="A845" s="160"/>
      <c r="B845" s="273"/>
      <c r="C845" s="273"/>
      <c r="D845" s="273"/>
      <c r="E845" s="273"/>
      <c r="F845" s="273"/>
      <c r="G845" s="273"/>
      <c r="H845" s="273"/>
      <c r="I845" s="2"/>
      <c r="J845" s="17"/>
      <c r="K845" s="10"/>
      <c r="L845" s="10"/>
      <c r="M845" s="10"/>
      <c r="N845" s="10"/>
      <c r="O845" s="10"/>
      <c r="P845" s="10"/>
      <c r="Q845" s="10"/>
      <c r="R845" s="2"/>
      <c r="S845" s="273"/>
      <c r="T845" s="273"/>
      <c r="U845" s="273"/>
      <c r="V845" s="9"/>
      <c r="W845" s="273"/>
      <c r="X845" s="273"/>
      <c r="Y845" s="9"/>
      <c r="Z845" s="273"/>
      <c r="AA845" s="273"/>
      <c r="AB845" s="9"/>
      <c r="AC845" s="273"/>
      <c r="AD845" s="273"/>
      <c r="AE845" s="9"/>
      <c r="AF845" s="273"/>
      <c r="AG845" s="273"/>
      <c r="AH845" s="9"/>
      <c r="AI845" s="273"/>
      <c r="AJ845" s="273"/>
      <c r="AK845" s="9"/>
      <c r="AL845" s="273"/>
      <c r="AM845" s="273"/>
      <c r="AN845" s="9"/>
      <c r="AO845" s="273"/>
      <c r="AP845" s="273"/>
      <c r="AQ845" s="9"/>
      <c r="AR845" s="273"/>
      <c r="AS845" s="39"/>
    </row>
    <row r="846" spans="1:45" ht="12.75">
      <c r="A846" s="160"/>
      <c r="B846" s="273"/>
      <c r="C846" s="273"/>
      <c r="D846" s="273"/>
      <c r="E846" s="273"/>
      <c r="F846" s="273"/>
      <c r="G846" s="273"/>
      <c r="H846" s="273"/>
      <c r="I846" s="2"/>
      <c r="J846" s="17"/>
      <c r="K846" s="10"/>
      <c r="L846" s="10"/>
      <c r="M846" s="10"/>
      <c r="N846" s="10"/>
      <c r="O846" s="10"/>
      <c r="P846" s="10"/>
      <c r="Q846" s="10"/>
      <c r="R846" s="2"/>
      <c r="S846" s="273"/>
      <c r="T846" s="273"/>
      <c r="U846" s="273"/>
      <c r="V846" s="9"/>
      <c r="W846" s="273"/>
      <c r="X846" s="273"/>
      <c r="Y846" s="9"/>
      <c r="Z846" s="273"/>
      <c r="AA846" s="273"/>
      <c r="AB846" s="9"/>
      <c r="AC846" s="273"/>
      <c r="AD846" s="273"/>
      <c r="AE846" s="9"/>
      <c r="AF846" s="273"/>
      <c r="AG846" s="273"/>
      <c r="AH846" s="9"/>
      <c r="AI846" s="273"/>
      <c r="AJ846" s="273"/>
      <c r="AK846" s="9"/>
      <c r="AL846" s="273"/>
      <c r="AM846" s="273"/>
      <c r="AN846" s="9"/>
      <c r="AO846" s="273"/>
      <c r="AP846" s="273"/>
      <c r="AQ846" s="9"/>
      <c r="AR846" s="273"/>
      <c r="AS846" s="39"/>
    </row>
    <row r="847" spans="1:45" ht="12.75">
      <c r="A847" s="160"/>
      <c r="B847" s="273"/>
      <c r="C847" s="273"/>
      <c r="D847" s="273"/>
      <c r="E847" s="273"/>
      <c r="F847" s="273"/>
      <c r="G847" s="273"/>
      <c r="H847" s="273"/>
      <c r="I847" s="2"/>
      <c r="J847" s="17"/>
      <c r="K847" s="10"/>
      <c r="L847" s="10"/>
      <c r="M847" s="10"/>
      <c r="N847" s="10"/>
      <c r="O847" s="10"/>
      <c r="P847" s="10"/>
      <c r="Q847" s="10"/>
      <c r="R847" s="2"/>
      <c r="S847" s="273"/>
      <c r="T847" s="273"/>
      <c r="U847" s="273"/>
      <c r="V847" s="9"/>
      <c r="W847" s="273"/>
      <c r="X847" s="273"/>
      <c r="Y847" s="9"/>
      <c r="Z847" s="273"/>
      <c r="AA847" s="273"/>
      <c r="AB847" s="9"/>
      <c r="AC847" s="273"/>
      <c r="AD847" s="273"/>
      <c r="AE847" s="9"/>
      <c r="AF847" s="273"/>
      <c r="AG847" s="273"/>
      <c r="AH847" s="9"/>
      <c r="AI847" s="273"/>
      <c r="AJ847" s="273"/>
      <c r="AK847" s="9"/>
      <c r="AL847" s="273"/>
      <c r="AM847" s="273"/>
      <c r="AN847" s="9"/>
      <c r="AO847" s="273"/>
      <c r="AP847" s="273"/>
      <c r="AQ847" s="9"/>
      <c r="AR847" s="273"/>
      <c r="AS847" s="39"/>
    </row>
    <row r="848" spans="1:45" ht="12.75">
      <c r="A848" s="160"/>
      <c r="B848" s="273"/>
      <c r="C848" s="273"/>
      <c r="D848" s="273"/>
      <c r="E848" s="273"/>
      <c r="F848" s="273"/>
      <c r="G848" s="273"/>
      <c r="H848" s="273"/>
      <c r="I848" s="2"/>
      <c r="J848" s="17"/>
      <c r="K848" s="10"/>
      <c r="L848" s="10"/>
      <c r="M848" s="10"/>
      <c r="N848" s="10"/>
      <c r="O848" s="10"/>
      <c r="P848" s="10"/>
      <c r="Q848" s="10"/>
      <c r="R848" s="2"/>
      <c r="S848" s="273"/>
      <c r="T848" s="273"/>
      <c r="U848" s="273"/>
      <c r="V848" s="9"/>
      <c r="W848" s="273"/>
      <c r="X848" s="273"/>
      <c r="Y848" s="9"/>
      <c r="Z848" s="273"/>
      <c r="AA848" s="273"/>
      <c r="AB848" s="9"/>
      <c r="AC848" s="273"/>
      <c r="AD848" s="273"/>
      <c r="AE848" s="9"/>
      <c r="AF848" s="273"/>
      <c r="AG848" s="273"/>
      <c r="AH848" s="9"/>
      <c r="AI848" s="273"/>
      <c r="AJ848" s="273"/>
      <c r="AK848" s="9"/>
      <c r="AL848" s="273"/>
      <c r="AM848" s="273"/>
      <c r="AN848" s="9"/>
      <c r="AO848" s="273"/>
      <c r="AP848" s="273"/>
      <c r="AQ848" s="9"/>
      <c r="AR848" s="273"/>
      <c r="AS848" s="39"/>
    </row>
    <row r="849" spans="1:45" ht="12.75">
      <c r="A849" s="160"/>
      <c r="B849" s="273"/>
      <c r="C849" s="273"/>
      <c r="D849" s="273"/>
      <c r="E849" s="273"/>
      <c r="F849" s="273"/>
      <c r="G849" s="273"/>
      <c r="H849" s="273"/>
      <c r="I849" s="2"/>
      <c r="J849" s="17"/>
      <c r="K849" s="10"/>
      <c r="L849" s="10"/>
      <c r="M849" s="10"/>
      <c r="N849" s="10"/>
      <c r="O849" s="10"/>
      <c r="P849" s="10"/>
      <c r="Q849" s="10"/>
      <c r="R849" s="2"/>
      <c r="S849" s="273"/>
      <c r="T849" s="273"/>
      <c r="U849" s="273"/>
      <c r="V849" s="9"/>
      <c r="W849" s="273"/>
      <c r="X849" s="273"/>
      <c r="Y849" s="9"/>
      <c r="Z849" s="273"/>
      <c r="AA849" s="273"/>
      <c r="AB849" s="9"/>
      <c r="AC849" s="273"/>
      <c r="AD849" s="273"/>
      <c r="AE849" s="9"/>
      <c r="AF849" s="273"/>
      <c r="AG849" s="273"/>
      <c r="AH849" s="9"/>
      <c r="AI849" s="273"/>
      <c r="AJ849" s="273"/>
      <c r="AK849" s="9"/>
      <c r="AL849" s="273"/>
      <c r="AM849" s="273"/>
      <c r="AN849" s="9"/>
      <c r="AO849" s="273"/>
      <c r="AP849" s="273"/>
      <c r="AQ849" s="9"/>
      <c r="AR849" s="273"/>
      <c r="AS849" s="39"/>
    </row>
    <row r="850" spans="1:45" ht="12.75">
      <c r="A850" s="160"/>
      <c r="B850" s="273"/>
      <c r="C850" s="273"/>
      <c r="D850" s="273"/>
      <c r="E850" s="273"/>
      <c r="F850" s="273"/>
      <c r="G850" s="273"/>
      <c r="H850" s="273"/>
      <c r="I850" s="2"/>
      <c r="J850" s="17"/>
      <c r="K850" s="10"/>
      <c r="L850" s="10"/>
      <c r="M850" s="10"/>
      <c r="N850" s="10"/>
      <c r="O850" s="10"/>
      <c r="P850" s="10"/>
      <c r="Q850" s="10"/>
      <c r="R850" s="2"/>
      <c r="S850" s="273"/>
      <c r="T850" s="273"/>
      <c r="U850" s="273"/>
      <c r="V850" s="9"/>
      <c r="W850" s="273"/>
      <c r="X850" s="273"/>
      <c r="Y850" s="9"/>
      <c r="Z850" s="273"/>
      <c r="AA850" s="273"/>
      <c r="AB850" s="9"/>
      <c r="AC850" s="273"/>
      <c r="AD850" s="273"/>
      <c r="AE850" s="9"/>
      <c r="AF850" s="273"/>
      <c r="AG850" s="273"/>
      <c r="AH850" s="9"/>
      <c r="AI850" s="273"/>
      <c r="AJ850" s="273"/>
      <c r="AK850" s="9"/>
      <c r="AL850" s="273"/>
      <c r="AM850" s="273"/>
      <c r="AN850" s="9"/>
      <c r="AO850" s="273"/>
      <c r="AP850" s="273"/>
      <c r="AQ850" s="9"/>
      <c r="AR850" s="273"/>
      <c r="AS850" s="39"/>
    </row>
    <row r="851" spans="1:45" ht="12.75">
      <c r="A851" s="160"/>
      <c r="B851" s="273"/>
      <c r="C851" s="273"/>
      <c r="D851" s="273"/>
      <c r="E851" s="273"/>
      <c r="F851" s="273"/>
      <c r="G851" s="273"/>
      <c r="H851" s="273"/>
      <c r="I851" s="2"/>
      <c r="J851" s="17"/>
      <c r="K851" s="10"/>
      <c r="L851" s="10"/>
      <c r="M851" s="10"/>
      <c r="N851" s="10"/>
      <c r="O851" s="10"/>
      <c r="P851" s="10"/>
      <c r="Q851" s="10"/>
      <c r="R851" s="2"/>
      <c r="S851" s="273"/>
      <c r="T851" s="273"/>
      <c r="U851" s="273"/>
      <c r="V851" s="9"/>
      <c r="W851" s="273"/>
      <c r="X851" s="273"/>
      <c r="Y851" s="9"/>
      <c r="Z851" s="273"/>
      <c r="AA851" s="273"/>
      <c r="AB851" s="9"/>
      <c r="AC851" s="273"/>
      <c r="AD851" s="273"/>
      <c r="AE851" s="9"/>
      <c r="AF851" s="273"/>
      <c r="AG851" s="273"/>
      <c r="AH851" s="9"/>
      <c r="AI851" s="273"/>
      <c r="AJ851" s="273"/>
      <c r="AK851" s="9"/>
      <c r="AL851" s="273"/>
      <c r="AM851" s="273"/>
      <c r="AN851" s="9"/>
      <c r="AO851" s="273"/>
      <c r="AP851" s="273"/>
      <c r="AQ851" s="9"/>
      <c r="AR851" s="273"/>
      <c r="AS851" s="39"/>
    </row>
    <row r="852" spans="1:45" ht="12.75">
      <c r="A852" s="160"/>
      <c r="B852" s="273"/>
      <c r="C852" s="273"/>
      <c r="D852" s="273"/>
      <c r="E852" s="273"/>
      <c r="F852" s="273"/>
      <c r="G852" s="273"/>
      <c r="H852" s="273"/>
      <c r="I852" s="2"/>
      <c r="J852" s="17"/>
      <c r="K852" s="10"/>
      <c r="L852" s="10"/>
      <c r="M852" s="10"/>
      <c r="N852" s="10"/>
      <c r="O852" s="10"/>
      <c r="P852" s="10"/>
      <c r="Q852" s="10"/>
      <c r="R852" s="2"/>
      <c r="S852" s="273"/>
      <c r="T852" s="273"/>
      <c r="U852" s="273"/>
      <c r="V852" s="9"/>
      <c r="W852" s="273"/>
      <c r="X852" s="273"/>
      <c r="Y852" s="9"/>
      <c r="Z852" s="273"/>
      <c r="AA852" s="273"/>
      <c r="AB852" s="9"/>
      <c r="AC852" s="273"/>
      <c r="AD852" s="273"/>
      <c r="AE852" s="9"/>
      <c r="AF852" s="273"/>
      <c r="AG852" s="273"/>
      <c r="AH852" s="9"/>
      <c r="AI852" s="273"/>
      <c r="AJ852" s="273"/>
      <c r="AK852" s="9"/>
      <c r="AL852" s="273"/>
      <c r="AM852" s="273"/>
      <c r="AN852" s="9"/>
      <c r="AO852" s="273"/>
      <c r="AP852" s="273"/>
      <c r="AQ852" s="9"/>
      <c r="AR852" s="273"/>
      <c r="AS852" s="39"/>
    </row>
    <row r="853" spans="1:45" ht="12.75">
      <c r="A853" s="160"/>
      <c r="B853" s="273"/>
      <c r="C853" s="273"/>
      <c r="D853" s="273"/>
      <c r="E853" s="273"/>
      <c r="F853" s="273"/>
      <c r="G853" s="273"/>
      <c r="H853" s="273"/>
      <c r="I853" s="2"/>
      <c r="J853" s="17"/>
      <c r="K853" s="10"/>
      <c r="L853" s="10"/>
      <c r="M853" s="10"/>
      <c r="N853" s="10"/>
      <c r="O853" s="10"/>
      <c r="P853" s="10"/>
      <c r="Q853" s="10"/>
      <c r="R853" s="2"/>
      <c r="S853" s="273"/>
      <c r="T853" s="273"/>
      <c r="U853" s="273"/>
      <c r="V853" s="9"/>
      <c r="W853" s="273"/>
      <c r="X853" s="273"/>
      <c r="Y853" s="9"/>
      <c r="Z853" s="273"/>
      <c r="AA853" s="273"/>
      <c r="AB853" s="9"/>
      <c r="AC853" s="273"/>
      <c r="AD853" s="273"/>
      <c r="AE853" s="9"/>
      <c r="AF853" s="273"/>
      <c r="AG853" s="273"/>
      <c r="AH853" s="9"/>
      <c r="AI853" s="273"/>
      <c r="AJ853" s="273"/>
      <c r="AK853" s="9"/>
      <c r="AL853" s="273"/>
      <c r="AM853" s="273"/>
      <c r="AN853" s="9"/>
      <c r="AO853" s="273"/>
      <c r="AP853" s="273"/>
      <c r="AQ853" s="9"/>
      <c r="AR853" s="273"/>
      <c r="AS853" s="39"/>
    </row>
    <row r="854" spans="1:45" ht="12.75">
      <c r="A854" s="160"/>
      <c r="B854" s="273"/>
      <c r="C854" s="273"/>
      <c r="D854" s="273"/>
      <c r="E854" s="273"/>
      <c r="F854" s="273"/>
      <c r="G854" s="273"/>
      <c r="H854" s="273"/>
      <c r="I854" s="2"/>
      <c r="J854" s="17"/>
      <c r="K854" s="10"/>
      <c r="L854" s="10"/>
      <c r="M854" s="10"/>
      <c r="N854" s="10"/>
      <c r="O854" s="10"/>
      <c r="P854" s="10"/>
      <c r="Q854" s="10"/>
      <c r="R854" s="2"/>
      <c r="S854" s="273"/>
      <c r="T854" s="273"/>
      <c r="U854" s="273"/>
      <c r="V854" s="9"/>
      <c r="W854" s="273"/>
      <c r="X854" s="273"/>
      <c r="Y854" s="9"/>
      <c r="Z854" s="273"/>
      <c r="AA854" s="273"/>
      <c r="AB854" s="9"/>
      <c r="AC854" s="273"/>
      <c r="AD854" s="273"/>
      <c r="AE854" s="9"/>
      <c r="AF854" s="273"/>
      <c r="AG854" s="273"/>
      <c r="AH854" s="9"/>
      <c r="AI854" s="273"/>
      <c r="AJ854" s="273"/>
      <c r="AK854" s="9"/>
      <c r="AL854" s="273"/>
      <c r="AM854" s="273"/>
      <c r="AN854" s="9"/>
      <c r="AO854" s="273"/>
      <c r="AP854" s="273"/>
      <c r="AQ854" s="9"/>
      <c r="AR854" s="273"/>
      <c r="AS854" s="39"/>
    </row>
    <row r="855" spans="1:45" ht="12.75">
      <c r="A855" s="160"/>
      <c r="B855" s="273"/>
      <c r="C855" s="273"/>
      <c r="D855" s="273"/>
      <c r="E855" s="273"/>
      <c r="F855" s="273"/>
      <c r="G855" s="273"/>
      <c r="H855" s="273"/>
      <c r="I855" s="2"/>
      <c r="J855" s="17"/>
      <c r="K855" s="10"/>
      <c r="L855" s="10"/>
      <c r="M855" s="10"/>
      <c r="N855" s="10"/>
      <c r="O855" s="10"/>
      <c r="P855" s="10"/>
      <c r="Q855" s="10"/>
      <c r="R855" s="2"/>
      <c r="S855" s="273"/>
      <c r="T855" s="273"/>
      <c r="U855" s="273"/>
      <c r="V855" s="9"/>
      <c r="W855" s="273"/>
      <c r="X855" s="273"/>
      <c r="Y855" s="9"/>
      <c r="Z855" s="273"/>
      <c r="AA855" s="273"/>
      <c r="AB855" s="9"/>
      <c r="AC855" s="273"/>
      <c r="AD855" s="273"/>
      <c r="AE855" s="9"/>
      <c r="AF855" s="273"/>
      <c r="AG855" s="273"/>
      <c r="AH855" s="9"/>
      <c r="AI855" s="273"/>
      <c r="AJ855" s="273"/>
      <c r="AK855" s="9"/>
      <c r="AL855" s="273"/>
      <c r="AM855" s="273"/>
      <c r="AN855" s="9"/>
      <c r="AO855" s="273"/>
      <c r="AP855" s="273"/>
      <c r="AQ855" s="9"/>
      <c r="AR855" s="273"/>
      <c r="AS855" s="39"/>
    </row>
    <row r="856" spans="1:45" ht="12.75">
      <c r="A856" s="160"/>
      <c r="B856" s="273"/>
      <c r="C856" s="273"/>
      <c r="D856" s="273"/>
      <c r="E856" s="273"/>
      <c r="F856" s="273"/>
      <c r="G856" s="273"/>
      <c r="H856" s="273"/>
      <c r="I856" s="2"/>
      <c r="J856" s="17"/>
      <c r="K856" s="10"/>
      <c r="L856" s="10"/>
      <c r="M856" s="10"/>
      <c r="N856" s="10"/>
      <c r="O856" s="10"/>
      <c r="P856" s="10"/>
      <c r="Q856" s="10"/>
      <c r="R856" s="2"/>
      <c r="S856" s="273"/>
      <c r="T856" s="273"/>
      <c r="U856" s="273"/>
      <c r="V856" s="9"/>
      <c r="W856" s="273"/>
      <c r="X856" s="273"/>
      <c r="Y856" s="9"/>
      <c r="Z856" s="273"/>
      <c r="AA856" s="273"/>
      <c r="AB856" s="9"/>
      <c r="AC856" s="273"/>
      <c r="AD856" s="273"/>
      <c r="AE856" s="9"/>
      <c r="AF856" s="273"/>
      <c r="AG856" s="273"/>
      <c r="AH856" s="9"/>
      <c r="AI856" s="273"/>
      <c r="AJ856" s="273"/>
      <c r="AK856" s="9"/>
      <c r="AL856" s="273"/>
      <c r="AM856" s="273"/>
      <c r="AN856" s="9"/>
      <c r="AO856" s="273"/>
      <c r="AP856" s="273"/>
      <c r="AQ856" s="9"/>
      <c r="AR856" s="273"/>
      <c r="AS856" s="39"/>
    </row>
    <row r="857" spans="1:45" ht="12.75">
      <c r="A857" s="160"/>
      <c r="B857" s="273"/>
      <c r="C857" s="273"/>
      <c r="D857" s="273"/>
      <c r="E857" s="273"/>
      <c r="F857" s="273"/>
      <c r="G857" s="273"/>
      <c r="H857" s="273"/>
      <c r="I857" s="2"/>
      <c r="J857" s="17"/>
      <c r="K857" s="10"/>
      <c r="L857" s="10"/>
      <c r="M857" s="10"/>
      <c r="N857" s="10"/>
      <c r="O857" s="10"/>
      <c r="P857" s="10"/>
      <c r="Q857" s="10"/>
      <c r="R857" s="2"/>
      <c r="S857" s="273"/>
      <c r="T857" s="273"/>
      <c r="U857" s="273"/>
      <c r="V857" s="9"/>
      <c r="W857" s="273"/>
      <c r="X857" s="273"/>
      <c r="Y857" s="9"/>
      <c r="Z857" s="273"/>
      <c r="AA857" s="273"/>
      <c r="AB857" s="9"/>
      <c r="AC857" s="273"/>
      <c r="AD857" s="273"/>
      <c r="AE857" s="9"/>
      <c r="AF857" s="273"/>
      <c r="AG857" s="273"/>
      <c r="AH857" s="9"/>
      <c r="AI857" s="273"/>
      <c r="AJ857" s="273"/>
      <c r="AK857" s="9"/>
      <c r="AL857" s="273"/>
      <c r="AM857" s="273"/>
      <c r="AN857" s="9"/>
      <c r="AO857" s="273"/>
      <c r="AP857" s="273"/>
      <c r="AQ857" s="9"/>
      <c r="AR857" s="273"/>
      <c r="AS857" s="39"/>
    </row>
    <row r="858" spans="1:45" ht="12.75">
      <c r="A858" s="160"/>
      <c r="B858" s="273"/>
      <c r="C858" s="273"/>
      <c r="D858" s="273"/>
      <c r="E858" s="273"/>
      <c r="F858" s="273"/>
      <c r="G858" s="273"/>
      <c r="H858" s="273"/>
      <c r="I858" s="2"/>
      <c r="J858" s="17"/>
      <c r="K858" s="10"/>
      <c r="L858" s="10"/>
      <c r="M858" s="10"/>
      <c r="N858" s="10"/>
      <c r="O858" s="10"/>
      <c r="P858" s="10"/>
      <c r="Q858" s="10"/>
      <c r="R858" s="2"/>
      <c r="S858" s="273"/>
      <c r="T858" s="273"/>
      <c r="U858" s="273"/>
      <c r="V858" s="9"/>
      <c r="W858" s="273"/>
      <c r="X858" s="273"/>
      <c r="Y858" s="9"/>
      <c r="Z858" s="273"/>
      <c r="AA858" s="273"/>
      <c r="AB858" s="9"/>
      <c r="AC858" s="273"/>
      <c r="AD858" s="273"/>
      <c r="AE858" s="9"/>
      <c r="AF858" s="273"/>
      <c r="AG858" s="273"/>
      <c r="AH858" s="9"/>
      <c r="AI858" s="273"/>
      <c r="AJ858" s="273"/>
      <c r="AK858" s="9"/>
      <c r="AL858" s="273"/>
      <c r="AM858" s="273"/>
      <c r="AN858" s="9"/>
      <c r="AO858" s="273"/>
      <c r="AP858" s="273"/>
      <c r="AQ858" s="9"/>
      <c r="AR858" s="273"/>
      <c r="AS858" s="39"/>
    </row>
    <row r="859" spans="1:45" ht="12.75">
      <c r="A859" s="160"/>
      <c r="B859" s="273"/>
      <c r="C859" s="273"/>
      <c r="D859" s="273"/>
      <c r="E859" s="273"/>
      <c r="F859" s="273"/>
      <c r="G859" s="273"/>
      <c r="H859" s="273"/>
      <c r="I859" s="2"/>
      <c r="J859" s="17"/>
      <c r="K859" s="10"/>
      <c r="L859" s="10"/>
      <c r="M859" s="10"/>
      <c r="N859" s="10"/>
      <c r="O859" s="10"/>
      <c r="P859" s="10"/>
      <c r="Q859" s="10"/>
      <c r="R859" s="2"/>
      <c r="S859" s="273"/>
      <c r="T859" s="273"/>
      <c r="U859" s="273"/>
      <c r="V859" s="9"/>
      <c r="W859" s="273"/>
      <c r="X859" s="273"/>
      <c r="Y859" s="9"/>
      <c r="Z859" s="273"/>
      <c r="AA859" s="273"/>
      <c r="AB859" s="9"/>
      <c r="AC859" s="273"/>
      <c r="AD859" s="273"/>
      <c r="AE859" s="9"/>
      <c r="AF859" s="273"/>
      <c r="AG859" s="273"/>
      <c r="AH859" s="9"/>
      <c r="AI859" s="273"/>
      <c r="AJ859" s="273"/>
      <c r="AK859" s="9"/>
      <c r="AL859" s="273"/>
      <c r="AM859" s="273"/>
      <c r="AN859" s="9"/>
      <c r="AO859" s="273"/>
      <c r="AP859" s="273"/>
      <c r="AQ859" s="9"/>
      <c r="AR859" s="273"/>
      <c r="AS859" s="39"/>
    </row>
    <row r="860" spans="1:45" ht="12.75">
      <c r="A860" s="160"/>
      <c r="B860" s="273"/>
      <c r="C860" s="273"/>
      <c r="D860" s="273"/>
      <c r="E860" s="273"/>
      <c r="F860" s="273"/>
      <c r="G860" s="273"/>
      <c r="H860" s="273"/>
      <c r="I860" s="2"/>
      <c r="J860" s="17"/>
      <c r="K860" s="10"/>
      <c r="L860" s="10"/>
      <c r="M860" s="10"/>
      <c r="N860" s="10"/>
      <c r="O860" s="10"/>
      <c r="P860" s="10"/>
      <c r="Q860" s="10"/>
      <c r="R860" s="2"/>
      <c r="S860" s="273"/>
      <c r="T860" s="273"/>
      <c r="U860" s="273"/>
      <c r="V860" s="9"/>
      <c r="W860" s="273"/>
      <c r="X860" s="273"/>
      <c r="Y860" s="9"/>
      <c r="Z860" s="273"/>
      <c r="AA860" s="273"/>
      <c r="AB860" s="9"/>
      <c r="AC860" s="273"/>
      <c r="AD860" s="273"/>
      <c r="AE860" s="9"/>
      <c r="AF860" s="273"/>
      <c r="AG860" s="273"/>
      <c r="AH860" s="9"/>
      <c r="AI860" s="273"/>
      <c r="AJ860" s="273"/>
      <c r="AK860" s="9"/>
      <c r="AL860" s="273"/>
      <c r="AM860" s="273"/>
      <c r="AN860" s="9"/>
      <c r="AO860" s="273"/>
      <c r="AP860" s="273"/>
      <c r="AQ860" s="9"/>
      <c r="AR860" s="273"/>
      <c r="AS860" s="39"/>
    </row>
    <row r="861" spans="1:45" ht="12.75">
      <c r="A861" s="160"/>
      <c r="B861" s="273"/>
      <c r="C861" s="273"/>
      <c r="D861" s="273"/>
      <c r="E861" s="273"/>
      <c r="F861" s="273"/>
      <c r="G861" s="273"/>
      <c r="H861" s="273"/>
      <c r="I861" s="2"/>
      <c r="J861" s="17"/>
      <c r="K861" s="10"/>
      <c r="L861" s="10"/>
      <c r="M861" s="10"/>
      <c r="N861" s="10"/>
      <c r="O861" s="10"/>
      <c r="P861" s="10"/>
      <c r="Q861" s="10"/>
      <c r="R861" s="2"/>
      <c r="S861" s="273"/>
      <c r="T861" s="273"/>
      <c r="U861" s="273"/>
      <c r="V861" s="9"/>
      <c r="W861" s="273"/>
      <c r="X861" s="273"/>
      <c r="Y861" s="9"/>
      <c r="Z861" s="273"/>
      <c r="AA861" s="273"/>
      <c r="AB861" s="9"/>
      <c r="AC861" s="273"/>
      <c r="AD861" s="273"/>
      <c r="AE861" s="9"/>
      <c r="AF861" s="273"/>
      <c r="AG861" s="273"/>
      <c r="AH861" s="9"/>
      <c r="AI861" s="273"/>
      <c r="AJ861" s="273"/>
      <c r="AK861" s="9"/>
      <c r="AL861" s="273"/>
      <c r="AM861" s="273"/>
      <c r="AN861" s="9"/>
      <c r="AO861" s="273"/>
      <c r="AP861" s="273"/>
      <c r="AQ861" s="9"/>
      <c r="AR861" s="273"/>
      <c r="AS861" s="39"/>
    </row>
    <row r="862" spans="1:45" ht="12.75">
      <c r="A862" s="160"/>
      <c r="B862" s="273"/>
      <c r="C862" s="273"/>
      <c r="D862" s="273"/>
      <c r="E862" s="273"/>
      <c r="F862" s="273"/>
      <c r="G862" s="273"/>
      <c r="H862" s="273"/>
      <c r="I862" s="2"/>
      <c r="J862" s="17"/>
      <c r="K862" s="10"/>
      <c r="L862" s="10"/>
      <c r="M862" s="10"/>
      <c r="N862" s="10"/>
      <c r="O862" s="10"/>
      <c r="P862" s="10"/>
      <c r="Q862" s="10"/>
      <c r="R862" s="2"/>
      <c r="S862" s="273"/>
      <c r="T862" s="273"/>
      <c r="U862" s="273"/>
      <c r="V862" s="9"/>
      <c r="W862" s="273"/>
      <c r="X862" s="273"/>
      <c r="Y862" s="9"/>
      <c r="Z862" s="273"/>
      <c r="AA862" s="273"/>
      <c r="AB862" s="9"/>
      <c r="AC862" s="273"/>
      <c r="AD862" s="273"/>
      <c r="AE862" s="9"/>
      <c r="AF862" s="273"/>
      <c r="AG862" s="273"/>
      <c r="AH862" s="9"/>
      <c r="AI862" s="273"/>
      <c r="AJ862" s="273"/>
      <c r="AK862" s="9"/>
      <c r="AL862" s="273"/>
      <c r="AM862" s="273"/>
      <c r="AN862" s="9"/>
      <c r="AO862" s="273"/>
      <c r="AP862" s="273"/>
      <c r="AQ862" s="9"/>
      <c r="AR862" s="273"/>
      <c r="AS862" s="39"/>
    </row>
    <row r="863" spans="1:45" ht="12.75">
      <c r="A863" s="160"/>
      <c r="B863" s="273"/>
      <c r="C863" s="273"/>
      <c r="D863" s="273"/>
      <c r="E863" s="273"/>
      <c r="F863" s="273"/>
      <c r="G863" s="273"/>
      <c r="H863" s="273"/>
      <c r="I863" s="2"/>
      <c r="J863" s="17"/>
      <c r="K863" s="10"/>
      <c r="L863" s="10"/>
      <c r="M863" s="10"/>
      <c r="N863" s="10"/>
      <c r="O863" s="10"/>
      <c r="P863" s="10"/>
      <c r="Q863" s="10"/>
      <c r="R863" s="2"/>
      <c r="S863" s="273"/>
      <c r="T863" s="273"/>
      <c r="U863" s="273"/>
      <c r="V863" s="9"/>
      <c r="W863" s="273"/>
      <c r="X863" s="273"/>
      <c r="Y863" s="9"/>
      <c r="Z863" s="273"/>
      <c r="AA863" s="273"/>
      <c r="AB863" s="9"/>
      <c r="AC863" s="273"/>
      <c r="AD863" s="273"/>
      <c r="AE863" s="9"/>
      <c r="AF863" s="273"/>
      <c r="AG863" s="273"/>
      <c r="AH863" s="9"/>
      <c r="AI863" s="273"/>
      <c r="AJ863" s="273"/>
      <c r="AK863" s="9"/>
      <c r="AL863" s="273"/>
      <c r="AM863" s="273"/>
      <c r="AN863" s="9"/>
      <c r="AO863" s="273"/>
      <c r="AP863" s="273"/>
      <c r="AQ863" s="9"/>
      <c r="AR863" s="273"/>
      <c r="AS863" s="39"/>
    </row>
    <row r="864" spans="1:45" ht="12.75">
      <c r="A864" s="160"/>
      <c r="B864" s="273"/>
      <c r="C864" s="273"/>
      <c r="D864" s="273"/>
      <c r="E864" s="273"/>
      <c r="F864" s="273"/>
      <c r="G864" s="273"/>
      <c r="H864" s="273"/>
      <c r="I864" s="2"/>
      <c r="J864" s="17"/>
      <c r="K864" s="10"/>
      <c r="L864" s="10"/>
      <c r="M864" s="10"/>
      <c r="N864" s="10"/>
      <c r="O864" s="10"/>
      <c r="P864" s="10"/>
      <c r="Q864" s="10"/>
      <c r="R864" s="2"/>
      <c r="S864" s="273"/>
      <c r="T864" s="273"/>
      <c r="U864" s="273"/>
      <c r="V864" s="9"/>
      <c r="W864" s="273"/>
      <c r="X864" s="273"/>
      <c r="Y864" s="9"/>
      <c r="Z864" s="273"/>
      <c r="AA864" s="273"/>
      <c r="AB864" s="9"/>
      <c r="AC864" s="273"/>
      <c r="AD864" s="273"/>
      <c r="AE864" s="9"/>
      <c r="AF864" s="273"/>
      <c r="AG864" s="273"/>
      <c r="AH864" s="9"/>
      <c r="AI864" s="273"/>
      <c r="AJ864" s="273"/>
      <c r="AK864" s="9"/>
      <c r="AL864" s="273"/>
      <c r="AM864" s="273"/>
      <c r="AN864" s="9"/>
      <c r="AO864" s="273"/>
      <c r="AP864" s="273"/>
      <c r="AQ864" s="9"/>
      <c r="AR864" s="273"/>
      <c r="AS864" s="39"/>
    </row>
    <row r="865" spans="1:45" ht="12.75">
      <c r="A865" s="160"/>
      <c r="B865" s="273"/>
      <c r="C865" s="273"/>
      <c r="D865" s="273"/>
      <c r="E865" s="273"/>
      <c r="F865" s="273"/>
      <c r="G865" s="273"/>
      <c r="H865" s="273"/>
      <c r="I865" s="2"/>
      <c r="J865" s="17"/>
      <c r="K865" s="10"/>
      <c r="L865" s="10"/>
      <c r="M865" s="10"/>
      <c r="N865" s="10"/>
      <c r="O865" s="10"/>
      <c r="P865" s="10"/>
      <c r="Q865" s="10"/>
      <c r="R865" s="2"/>
      <c r="S865" s="273"/>
      <c r="T865" s="273"/>
      <c r="U865" s="273"/>
      <c r="V865" s="9"/>
      <c r="W865" s="273"/>
      <c r="X865" s="273"/>
      <c r="Y865" s="9"/>
      <c r="Z865" s="273"/>
      <c r="AA865" s="273"/>
      <c r="AB865" s="9"/>
      <c r="AC865" s="273"/>
      <c r="AD865" s="273"/>
      <c r="AE865" s="9"/>
      <c r="AF865" s="273"/>
      <c r="AG865" s="273"/>
      <c r="AH865" s="9"/>
      <c r="AI865" s="273"/>
      <c r="AJ865" s="273"/>
      <c r="AK865" s="9"/>
      <c r="AL865" s="273"/>
      <c r="AM865" s="273"/>
      <c r="AN865" s="9"/>
      <c r="AO865" s="273"/>
      <c r="AP865" s="273"/>
      <c r="AQ865" s="9"/>
      <c r="AR865" s="273"/>
      <c r="AS865" s="39"/>
    </row>
    <row r="866" spans="1:45" ht="12.75">
      <c r="A866" s="160"/>
      <c r="B866" s="273"/>
      <c r="C866" s="273"/>
      <c r="D866" s="273"/>
      <c r="E866" s="273"/>
      <c r="F866" s="273"/>
      <c r="G866" s="273"/>
      <c r="H866" s="273"/>
      <c r="I866" s="2"/>
      <c r="J866" s="17"/>
      <c r="K866" s="10"/>
      <c r="L866" s="10"/>
      <c r="M866" s="10"/>
      <c r="N866" s="10"/>
      <c r="O866" s="10"/>
      <c r="P866" s="10"/>
      <c r="Q866" s="10"/>
      <c r="R866" s="2"/>
      <c r="S866" s="273"/>
      <c r="T866" s="273"/>
      <c r="U866" s="273"/>
      <c r="V866" s="9"/>
      <c r="W866" s="273"/>
      <c r="X866" s="273"/>
      <c r="Y866" s="9"/>
      <c r="Z866" s="273"/>
      <c r="AA866" s="273"/>
      <c r="AB866" s="9"/>
      <c r="AC866" s="273"/>
      <c r="AD866" s="273"/>
      <c r="AE866" s="9"/>
      <c r="AF866" s="273"/>
      <c r="AG866" s="273"/>
      <c r="AH866" s="9"/>
      <c r="AI866" s="273"/>
      <c r="AJ866" s="273"/>
      <c r="AK866" s="9"/>
      <c r="AL866" s="273"/>
      <c r="AM866" s="273"/>
      <c r="AN866" s="9"/>
      <c r="AO866" s="273"/>
      <c r="AP866" s="273"/>
      <c r="AQ866" s="9"/>
      <c r="AR866" s="273"/>
      <c r="AS866" s="39"/>
    </row>
    <row r="867" spans="1:45" ht="12.75">
      <c r="A867" s="160"/>
      <c r="B867" s="273"/>
      <c r="C867" s="273"/>
      <c r="D867" s="273"/>
      <c r="E867" s="273"/>
      <c r="F867" s="273"/>
      <c r="G867" s="273"/>
      <c r="H867" s="273"/>
      <c r="I867" s="2"/>
      <c r="J867" s="17"/>
      <c r="K867" s="10"/>
      <c r="L867" s="10"/>
      <c r="M867" s="10"/>
      <c r="N867" s="10"/>
      <c r="O867" s="10"/>
      <c r="P867" s="10"/>
      <c r="Q867" s="10"/>
      <c r="R867" s="2"/>
      <c r="S867" s="273"/>
      <c r="T867" s="273"/>
      <c r="U867" s="273"/>
      <c r="V867" s="9"/>
      <c r="W867" s="273"/>
      <c r="X867" s="273"/>
      <c r="Y867" s="9"/>
      <c r="Z867" s="273"/>
      <c r="AA867" s="273"/>
      <c r="AB867" s="9"/>
      <c r="AC867" s="273"/>
      <c r="AD867" s="273"/>
      <c r="AE867" s="9"/>
      <c r="AF867" s="273"/>
      <c r="AG867" s="273"/>
      <c r="AH867" s="9"/>
      <c r="AI867" s="273"/>
      <c r="AJ867" s="273"/>
      <c r="AK867" s="9"/>
      <c r="AL867" s="273"/>
      <c r="AM867" s="273"/>
      <c r="AN867" s="9"/>
      <c r="AO867" s="273"/>
      <c r="AP867" s="273"/>
      <c r="AQ867" s="9"/>
      <c r="AR867" s="273"/>
      <c r="AS867" s="39"/>
    </row>
    <row r="868" spans="1:45" ht="12.75">
      <c r="A868" s="160"/>
      <c r="B868" s="273"/>
      <c r="C868" s="273"/>
      <c r="D868" s="273"/>
      <c r="E868" s="273"/>
      <c r="F868" s="273"/>
      <c r="G868" s="273"/>
      <c r="H868" s="273"/>
      <c r="I868" s="2"/>
      <c r="J868" s="17"/>
      <c r="K868" s="10"/>
      <c r="L868" s="10"/>
      <c r="M868" s="10"/>
      <c r="N868" s="10"/>
      <c r="O868" s="10"/>
      <c r="P868" s="10"/>
      <c r="Q868" s="10"/>
      <c r="R868" s="2"/>
      <c r="S868" s="273"/>
      <c r="T868" s="273"/>
      <c r="U868" s="273"/>
      <c r="V868" s="9"/>
      <c r="W868" s="273"/>
      <c r="X868" s="273"/>
      <c r="Y868" s="9"/>
      <c r="Z868" s="273"/>
      <c r="AA868" s="273"/>
      <c r="AB868" s="9"/>
      <c r="AC868" s="273"/>
      <c r="AD868" s="273"/>
      <c r="AE868" s="9"/>
      <c r="AF868" s="273"/>
      <c r="AG868" s="273"/>
      <c r="AH868" s="9"/>
      <c r="AI868" s="273"/>
      <c r="AJ868" s="273"/>
      <c r="AK868" s="9"/>
      <c r="AL868" s="273"/>
      <c r="AM868" s="273"/>
      <c r="AN868" s="9"/>
      <c r="AO868" s="273"/>
      <c r="AP868" s="273"/>
      <c r="AQ868" s="9"/>
      <c r="AR868" s="273"/>
      <c r="AS868" s="39"/>
    </row>
    <row r="869" spans="1:45" ht="12.75">
      <c r="A869" s="160"/>
      <c r="B869" s="273"/>
      <c r="C869" s="273"/>
      <c r="D869" s="273"/>
      <c r="E869" s="273"/>
      <c r="F869" s="273"/>
      <c r="G869" s="273"/>
      <c r="H869" s="273"/>
      <c r="I869" s="2"/>
      <c r="J869" s="17"/>
      <c r="K869" s="10"/>
      <c r="L869" s="10"/>
      <c r="M869" s="10"/>
      <c r="N869" s="10"/>
      <c r="O869" s="10"/>
      <c r="P869" s="10"/>
      <c r="Q869" s="10"/>
      <c r="R869" s="2"/>
      <c r="S869" s="273"/>
      <c r="T869" s="273"/>
      <c r="U869" s="273"/>
      <c r="V869" s="9"/>
      <c r="W869" s="273"/>
      <c r="X869" s="273"/>
      <c r="Y869" s="9"/>
      <c r="Z869" s="273"/>
      <c r="AA869" s="273"/>
      <c r="AB869" s="9"/>
      <c r="AC869" s="273"/>
      <c r="AD869" s="273"/>
      <c r="AE869" s="9"/>
      <c r="AF869" s="273"/>
      <c r="AG869" s="273"/>
      <c r="AH869" s="9"/>
      <c r="AI869" s="273"/>
      <c r="AJ869" s="273"/>
      <c r="AK869" s="9"/>
      <c r="AL869" s="273"/>
      <c r="AM869" s="273"/>
      <c r="AN869" s="9"/>
      <c r="AO869" s="273"/>
      <c r="AP869" s="273"/>
      <c r="AQ869" s="9"/>
      <c r="AR869" s="273"/>
      <c r="AS869" s="39"/>
    </row>
    <row r="870" spans="1:45" ht="12.75">
      <c r="A870" s="160"/>
      <c r="B870" s="273"/>
      <c r="C870" s="273"/>
      <c r="D870" s="273"/>
      <c r="E870" s="273"/>
      <c r="F870" s="273"/>
      <c r="G870" s="273"/>
      <c r="H870" s="273"/>
      <c r="I870" s="2"/>
      <c r="J870" s="17"/>
      <c r="K870" s="10"/>
      <c r="L870" s="10"/>
      <c r="M870" s="10"/>
      <c r="N870" s="10"/>
      <c r="O870" s="10"/>
      <c r="P870" s="10"/>
      <c r="Q870" s="10"/>
      <c r="R870" s="2"/>
      <c r="S870" s="273"/>
      <c r="T870" s="273"/>
      <c r="U870" s="273"/>
      <c r="V870" s="9"/>
      <c r="W870" s="273"/>
      <c r="X870" s="273"/>
      <c r="Y870" s="9"/>
      <c r="Z870" s="273"/>
      <c r="AA870" s="273"/>
      <c r="AB870" s="9"/>
      <c r="AC870" s="273"/>
      <c r="AD870" s="273"/>
      <c r="AE870" s="9"/>
      <c r="AF870" s="273"/>
      <c r="AG870" s="273"/>
      <c r="AH870" s="9"/>
      <c r="AI870" s="273"/>
      <c r="AJ870" s="273"/>
      <c r="AK870" s="9"/>
      <c r="AL870" s="273"/>
      <c r="AM870" s="273"/>
      <c r="AN870" s="9"/>
      <c r="AO870" s="273"/>
      <c r="AP870" s="273"/>
      <c r="AQ870" s="9"/>
      <c r="AR870" s="273"/>
      <c r="AS870" s="39"/>
    </row>
    <row r="871" spans="1:45" ht="12.75">
      <c r="A871" s="160"/>
      <c r="B871" s="273"/>
      <c r="C871" s="273"/>
      <c r="D871" s="273"/>
      <c r="E871" s="273"/>
      <c r="F871" s="273"/>
      <c r="G871" s="273"/>
      <c r="H871" s="273"/>
      <c r="I871" s="2"/>
      <c r="J871" s="17"/>
      <c r="K871" s="10"/>
      <c r="L871" s="10"/>
      <c r="M871" s="10"/>
      <c r="N871" s="10"/>
      <c r="O871" s="10"/>
      <c r="P871" s="10"/>
      <c r="Q871" s="10"/>
      <c r="R871" s="2"/>
      <c r="S871" s="273"/>
      <c r="T871" s="273"/>
      <c r="U871" s="273"/>
      <c r="V871" s="9"/>
      <c r="W871" s="273"/>
      <c r="X871" s="273"/>
      <c r="Y871" s="9"/>
      <c r="Z871" s="273"/>
      <c r="AA871" s="273"/>
      <c r="AB871" s="9"/>
      <c r="AC871" s="273"/>
      <c r="AD871" s="273"/>
      <c r="AE871" s="9"/>
      <c r="AF871" s="273"/>
      <c r="AG871" s="273"/>
      <c r="AH871" s="9"/>
      <c r="AI871" s="273"/>
      <c r="AJ871" s="273"/>
      <c r="AK871" s="9"/>
      <c r="AL871" s="273"/>
      <c r="AM871" s="273"/>
      <c r="AN871" s="9"/>
      <c r="AO871" s="273"/>
      <c r="AP871" s="273"/>
      <c r="AQ871" s="9"/>
      <c r="AR871" s="273"/>
      <c r="AS871" s="39"/>
    </row>
    <row r="872" spans="1:45" ht="12.75">
      <c r="A872" s="160"/>
      <c r="B872" s="273"/>
      <c r="C872" s="273"/>
      <c r="D872" s="273"/>
      <c r="E872" s="273"/>
      <c r="F872" s="273"/>
      <c r="G872" s="273"/>
      <c r="H872" s="273"/>
      <c r="I872" s="2"/>
      <c r="J872" s="17"/>
      <c r="K872" s="10"/>
      <c r="L872" s="10"/>
      <c r="M872" s="10"/>
      <c r="N872" s="10"/>
      <c r="O872" s="10"/>
      <c r="P872" s="10"/>
      <c r="Q872" s="10"/>
      <c r="R872" s="2"/>
      <c r="S872" s="273"/>
      <c r="T872" s="273"/>
      <c r="U872" s="273"/>
      <c r="V872" s="9"/>
      <c r="W872" s="273"/>
      <c r="X872" s="273"/>
      <c r="Y872" s="9"/>
      <c r="Z872" s="273"/>
      <c r="AA872" s="273"/>
      <c r="AB872" s="9"/>
      <c r="AC872" s="273"/>
      <c r="AD872" s="273"/>
      <c r="AE872" s="9"/>
      <c r="AF872" s="273"/>
      <c r="AG872" s="273"/>
      <c r="AH872" s="9"/>
      <c r="AI872" s="273"/>
      <c r="AJ872" s="273"/>
      <c r="AK872" s="9"/>
      <c r="AL872" s="273"/>
      <c r="AM872" s="273"/>
      <c r="AN872" s="9"/>
      <c r="AO872" s="273"/>
      <c r="AP872" s="273"/>
      <c r="AQ872" s="9"/>
      <c r="AR872" s="273"/>
      <c r="AS872" s="39"/>
    </row>
    <row r="873" spans="1:45" ht="12.75">
      <c r="A873" s="160"/>
      <c r="B873" s="273"/>
      <c r="C873" s="273"/>
      <c r="D873" s="273"/>
      <c r="E873" s="273"/>
      <c r="F873" s="273"/>
      <c r="G873" s="273"/>
      <c r="H873" s="273"/>
      <c r="I873" s="2"/>
      <c r="J873" s="17"/>
      <c r="K873" s="10"/>
      <c r="L873" s="10"/>
      <c r="M873" s="10"/>
      <c r="N873" s="10"/>
      <c r="O873" s="10"/>
      <c r="P873" s="10"/>
      <c r="Q873" s="10"/>
      <c r="R873" s="2"/>
      <c r="S873" s="273"/>
      <c r="T873" s="273"/>
      <c r="U873" s="273"/>
      <c r="V873" s="9"/>
      <c r="W873" s="273"/>
      <c r="X873" s="273"/>
      <c r="Y873" s="9"/>
      <c r="Z873" s="273"/>
      <c r="AA873" s="273"/>
      <c r="AB873" s="9"/>
      <c r="AC873" s="273"/>
      <c r="AD873" s="273"/>
      <c r="AE873" s="9"/>
      <c r="AF873" s="273"/>
      <c r="AG873" s="273"/>
      <c r="AH873" s="9"/>
      <c r="AI873" s="273"/>
      <c r="AJ873" s="273"/>
      <c r="AK873" s="9"/>
      <c r="AL873" s="273"/>
      <c r="AM873" s="273"/>
      <c r="AN873" s="9"/>
      <c r="AO873" s="273"/>
      <c r="AP873" s="273"/>
      <c r="AQ873" s="9"/>
      <c r="AR873" s="273"/>
      <c r="AS873" s="39"/>
    </row>
    <row r="874" spans="1:45" ht="12.75">
      <c r="A874" s="160"/>
      <c r="B874" s="273"/>
      <c r="C874" s="273"/>
      <c r="D874" s="273"/>
      <c r="E874" s="273"/>
      <c r="F874" s="273"/>
      <c r="G874" s="273"/>
      <c r="H874" s="273"/>
      <c r="I874" s="2"/>
      <c r="J874" s="17"/>
      <c r="K874" s="10"/>
      <c r="L874" s="10"/>
      <c r="M874" s="10"/>
      <c r="N874" s="10"/>
      <c r="O874" s="10"/>
      <c r="P874" s="10"/>
      <c r="Q874" s="10"/>
      <c r="R874" s="2"/>
      <c r="S874" s="273"/>
      <c r="T874" s="273"/>
      <c r="U874" s="273"/>
      <c r="V874" s="9"/>
      <c r="W874" s="273"/>
      <c r="X874" s="273"/>
      <c r="Y874" s="9"/>
      <c r="Z874" s="273"/>
      <c r="AA874" s="273"/>
      <c r="AB874" s="9"/>
      <c r="AC874" s="273"/>
      <c r="AD874" s="273"/>
      <c r="AE874" s="9"/>
      <c r="AF874" s="273"/>
      <c r="AG874" s="273"/>
      <c r="AH874" s="9"/>
      <c r="AI874" s="273"/>
      <c r="AJ874" s="273"/>
      <c r="AK874" s="9"/>
      <c r="AL874" s="273"/>
      <c r="AM874" s="273"/>
      <c r="AN874" s="9"/>
      <c r="AO874" s="273"/>
      <c r="AP874" s="273"/>
      <c r="AQ874" s="9"/>
      <c r="AR874" s="273"/>
      <c r="AS874" s="39"/>
    </row>
    <row r="875" spans="1:45" ht="12.75">
      <c r="A875" s="160"/>
      <c r="B875" s="273"/>
      <c r="C875" s="273"/>
      <c r="D875" s="273"/>
      <c r="E875" s="273"/>
      <c r="F875" s="273"/>
      <c r="G875" s="273"/>
      <c r="H875" s="273"/>
      <c r="I875" s="2"/>
      <c r="J875" s="17"/>
      <c r="K875" s="10"/>
      <c r="L875" s="10"/>
      <c r="M875" s="10"/>
      <c r="N875" s="10"/>
      <c r="O875" s="10"/>
      <c r="P875" s="10"/>
      <c r="Q875" s="10"/>
      <c r="R875" s="2"/>
      <c r="S875" s="273"/>
      <c r="T875" s="273"/>
      <c r="U875" s="273"/>
      <c r="V875" s="9"/>
      <c r="W875" s="273"/>
      <c r="X875" s="273"/>
      <c r="Y875" s="9"/>
      <c r="Z875" s="273"/>
      <c r="AA875" s="273"/>
      <c r="AB875" s="9"/>
      <c r="AC875" s="273"/>
      <c r="AD875" s="273"/>
      <c r="AE875" s="9"/>
      <c r="AF875" s="273"/>
      <c r="AG875" s="273"/>
      <c r="AH875" s="9"/>
      <c r="AI875" s="273"/>
      <c r="AJ875" s="273"/>
      <c r="AK875" s="9"/>
      <c r="AL875" s="273"/>
      <c r="AM875" s="273"/>
      <c r="AN875" s="9"/>
      <c r="AO875" s="273"/>
      <c r="AP875" s="273"/>
      <c r="AQ875" s="9"/>
      <c r="AR875" s="273"/>
      <c r="AS875" s="39"/>
    </row>
    <row r="876" spans="1:45" ht="12.75">
      <c r="A876" s="160"/>
      <c r="B876" s="273"/>
      <c r="C876" s="273"/>
      <c r="D876" s="273"/>
      <c r="E876" s="273"/>
      <c r="F876" s="273"/>
      <c r="G876" s="273"/>
      <c r="H876" s="273"/>
      <c r="I876" s="2"/>
      <c r="J876" s="17"/>
      <c r="K876" s="10"/>
      <c r="L876" s="10"/>
      <c r="M876" s="10"/>
      <c r="N876" s="10"/>
      <c r="O876" s="10"/>
      <c r="P876" s="10"/>
      <c r="Q876" s="10"/>
      <c r="R876" s="2"/>
      <c r="S876" s="273"/>
      <c r="T876" s="273"/>
      <c r="U876" s="273"/>
      <c r="V876" s="9"/>
      <c r="W876" s="273"/>
      <c r="X876" s="273"/>
      <c r="Y876" s="9"/>
      <c r="Z876" s="273"/>
      <c r="AA876" s="273"/>
      <c r="AB876" s="9"/>
      <c r="AC876" s="273"/>
      <c r="AD876" s="273"/>
      <c r="AE876" s="9"/>
      <c r="AF876" s="273"/>
      <c r="AG876" s="273"/>
      <c r="AH876" s="9"/>
      <c r="AI876" s="273"/>
      <c r="AJ876" s="273"/>
      <c r="AK876" s="9"/>
      <c r="AL876" s="273"/>
      <c r="AM876" s="273"/>
      <c r="AN876" s="9"/>
      <c r="AO876" s="273"/>
      <c r="AP876" s="273"/>
      <c r="AQ876" s="9"/>
      <c r="AR876" s="273"/>
      <c r="AS876" s="39"/>
    </row>
    <row r="877" spans="1:45" ht="12.75">
      <c r="A877" s="160"/>
      <c r="B877" s="273"/>
      <c r="C877" s="273"/>
      <c r="D877" s="273"/>
      <c r="E877" s="273"/>
      <c r="F877" s="273"/>
      <c r="G877" s="273"/>
      <c r="H877" s="273"/>
      <c r="I877" s="2"/>
      <c r="J877" s="17"/>
      <c r="K877" s="10"/>
      <c r="L877" s="10"/>
      <c r="M877" s="10"/>
      <c r="N877" s="10"/>
      <c r="O877" s="10"/>
      <c r="P877" s="10"/>
      <c r="Q877" s="10"/>
      <c r="R877" s="2"/>
      <c r="S877" s="273"/>
      <c r="T877" s="273"/>
      <c r="U877" s="273"/>
      <c r="V877" s="9"/>
      <c r="W877" s="273"/>
      <c r="X877" s="273"/>
      <c r="Y877" s="9"/>
      <c r="Z877" s="273"/>
      <c r="AA877" s="273"/>
      <c r="AB877" s="9"/>
      <c r="AC877" s="273"/>
      <c r="AD877" s="273"/>
      <c r="AE877" s="9"/>
      <c r="AF877" s="273"/>
      <c r="AG877" s="273"/>
      <c r="AH877" s="9"/>
      <c r="AI877" s="273"/>
      <c r="AJ877" s="273"/>
      <c r="AK877" s="9"/>
      <c r="AL877" s="273"/>
      <c r="AM877" s="273"/>
      <c r="AN877" s="9"/>
      <c r="AO877" s="273"/>
      <c r="AP877" s="273"/>
      <c r="AQ877" s="9"/>
      <c r="AR877" s="273"/>
      <c r="AS877" s="39"/>
    </row>
    <row r="878" spans="1:45" ht="12.75">
      <c r="A878" s="160"/>
      <c r="B878" s="273"/>
      <c r="C878" s="273"/>
      <c r="D878" s="273"/>
      <c r="E878" s="273"/>
      <c r="F878" s="273"/>
      <c r="G878" s="273"/>
      <c r="H878" s="273"/>
      <c r="I878" s="2"/>
      <c r="J878" s="17"/>
      <c r="K878" s="10"/>
      <c r="L878" s="10"/>
      <c r="M878" s="10"/>
      <c r="N878" s="10"/>
      <c r="O878" s="10"/>
      <c r="P878" s="10"/>
      <c r="Q878" s="10"/>
      <c r="R878" s="2"/>
      <c r="S878" s="273"/>
      <c r="T878" s="273"/>
      <c r="U878" s="273"/>
      <c r="V878" s="9"/>
      <c r="W878" s="273"/>
      <c r="X878" s="273"/>
      <c r="Y878" s="9"/>
      <c r="Z878" s="273"/>
      <c r="AA878" s="273"/>
      <c r="AB878" s="9"/>
      <c r="AC878" s="273"/>
      <c r="AD878" s="273"/>
      <c r="AE878" s="9"/>
      <c r="AF878" s="273"/>
      <c r="AG878" s="273"/>
      <c r="AH878" s="9"/>
      <c r="AI878" s="273"/>
      <c r="AJ878" s="273"/>
      <c r="AK878" s="9"/>
      <c r="AL878" s="273"/>
      <c r="AM878" s="273"/>
      <c r="AN878" s="9"/>
      <c r="AO878" s="273"/>
      <c r="AP878" s="273"/>
      <c r="AQ878" s="9"/>
      <c r="AR878" s="273"/>
      <c r="AS878" s="39"/>
    </row>
    <row r="879" spans="1:45" ht="12.75">
      <c r="A879" s="160"/>
      <c r="B879" s="273"/>
      <c r="C879" s="273"/>
      <c r="D879" s="273"/>
      <c r="E879" s="273"/>
      <c r="F879" s="273"/>
      <c r="G879" s="273"/>
      <c r="H879" s="273"/>
      <c r="I879" s="2"/>
      <c r="J879" s="17"/>
      <c r="K879" s="10"/>
      <c r="L879" s="10"/>
      <c r="M879" s="10"/>
      <c r="N879" s="10"/>
      <c r="O879" s="10"/>
      <c r="P879" s="10"/>
      <c r="Q879" s="10"/>
      <c r="R879" s="2"/>
      <c r="S879" s="273"/>
      <c r="T879" s="273"/>
      <c r="U879" s="273"/>
      <c r="V879" s="9"/>
      <c r="W879" s="273"/>
      <c r="X879" s="273"/>
      <c r="Y879" s="9"/>
      <c r="Z879" s="273"/>
      <c r="AA879" s="273"/>
      <c r="AB879" s="9"/>
      <c r="AC879" s="273"/>
      <c r="AD879" s="273"/>
      <c r="AE879" s="9"/>
      <c r="AF879" s="273"/>
      <c r="AG879" s="273"/>
      <c r="AH879" s="9"/>
      <c r="AI879" s="273"/>
      <c r="AJ879" s="273"/>
      <c r="AK879" s="9"/>
      <c r="AL879" s="273"/>
      <c r="AM879" s="273"/>
      <c r="AN879" s="9"/>
      <c r="AO879" s="273"/>
      <c r="AP879" s="273"/>
      <c r="AQ879" s="9"/>
      <c r="AR879" s="273"/>
      <c r="AS879" s="39"/>
    </row>
    <row r="880" spans="1:45" ht="12.75">
      <c r="A880" s="160"/>
      <c r="B880" s="273"/>
      <c r="C880" s="273"/>
      <c r="D880" s="273"/>
      <c r="E880" s="273"/>
      <c r="F880" s="273"/>
      <c r="G880" s="273"/>
      <c r="H880" s="273"/>
      <c r="I880" s="2"/>
      <c r="J880" s="17"/>
      <c r="K880" s="10"/>
      <c r="L880" s="10"/>
      <c r="M880" s="10"/>
      <c r="N880" s="10"/>
      <c r="O880" s="10"/>
      <c r="P880" s="10"/>
      <c r="Q880" s="10"/>
      <c r="R880" s="2"/>
      <c r="S880" s="273"/>
      <c r="T880" s="273"/>
      <c r="U880" s="273"/>
      <c r="V880" s="9"/>
      <c r="W880" s="273"/>
      <c r="X880" s="273"/>
      <c r="Y880" s="9"/>
      <c r="Z880" s="273"/>
      <c r="AA880" s="273"/>
      <c r="AB880" s="9"/>
      <c r="AC880" s="273"/>
      <c r="AD880" s="273"/>
      <c r="AE880" s="9"/>
      <c r="AF880" s="273"/>
      <c r="AG880" s="273"/>
      <c r="AH880" s="9"/>
      <c r="AI880" s="273"/>
      <c r="AJ880" s="273"/>
      <c r="AK880" s="9"/>
      <c r="AL880" s="273"/>
      <c r="AM880" s="273"/>
      <c r="AN880" s="9"/>
      <c r="AO880" s="273"/>
      <c r="AP880" s="273"/>
      <c r="AQ880" s="9"/>
      <c r="AR880" s="273"/>
      <c r="AS880" s="39"/>
    </row>
    <row r="881" spans="1:45" ht="12.75">
      <c r="A881" s="160"/>
      <c r="B881" s="273"/>
      <c r="C881" s="273"/>
      <c r="D881" s="273"/>
      <c r="E881" s="273"/>
      <c r="F881" s="273"/>
      <c r="G881" s="273"/>
      <c r="H881" s="273"/>
      <c r="I881" s="2"/>
      <c r="J881" s="17"/>
      <c r="K881" s="10"/>
      <c r="L881" s="10"/>
      <c r="M881" s="10"/>
      <c r="N881" s="10"/>
      <c r="O881" s="10"/>
      <c r="P881" s="10"/>
      <c r="Q881" s="10"/>
      <c r="R881" s="2"/>
      <c r="S881" s="273"/>
      <c r="T881" s="273"/>
      <c r="U881" s="273"/>
      <c r="V881" s="9"/>
      <c r="W881" s="273"/>
      <c r="X881" s="273"/>
      <c r="Y881" s="9"/>
      <c r="Z881" s="273"/>
      <c r="AA881" s="273"/>
      <c r="AB881" s="9"/>
      <c r="AC881" s="273"/>
      <c r="AD881" s="273"/>
      <c r="AE881" s="9"/>
      <c r="AF881" s="273"/>
      <c r="AG881" s="273"/>
      <c r="AH881" s="9"/>
      <c r="AI881" s="273"/>
      <c r="AJ881" s="273"/>
      <c r="AK881" s="9"/>
      <c r="AL881" s="273"/>
      <c r="AM881" s="273"/>
      <c r="AN881" s="9"/>
      <c r="AO881" s="273"/>
      <c r="AP881" s="273"/>
      <c r="AQ881" s="9"/>
      <c r="AR881" s="273"/>
      <c r="AS881" s="39"/>
    </row>
    <row r="882" spans="1:45" ht="12.75">
      <c r="A882" s="160"/>
      <c r="B882" s="273"/>
      <c r="C882" s="273"/>
      <c r="D882" s="273"/>
      <c r="E882" s="273"/>
      <c r="F882" s="273"/>
      <c r="G882" s="273"/>
      <c r="H882" s="273"/>
      <c r="I882" s="2"/>
      <c r="J882" s="17"/>
      <c r="K882" s="10"/>
      <c r="L882" s="10"/>
      <c r="M882" s="10"/>
      <c r="N882" s="10"/>
      <c r="O882" s="10"/>
      <c r="P882" s="10"/>
      <c r="Q882" s="10"/>
      <c r="R882" s="2"/>
      <c r="S882" s="273"/>
      <c r="T882" s="273"/>
      <c r="U882" s="273"/>
      <c r="V882" s="9"/>
      <c r="W882" s="273"/>
      <c r="X882" s="273"/>
      <c r="Y882" s="9"/>
      <c r="Z882" s="273"/>
      <c r="AA882" s="273"/>
      <c r="AB882" s="9"/>
      <c r="AC882" s="273"/>
      <c r="AD882" s="273"/>
      <c r="AE882" s="9"/>
      <c r="AF882" s="273"/>
      <c r="AG882" s="273"/>
      <c r="AH882" s="9"/>
      <c r="AI882" s="273"/>
      <c r="AJ882" s="273"/>
      <c r="AK882" s="9"/>
      <c r="AL882" s="273"/>
      <c r="AM882" s="273"/>
      <c r="AN882" s="9"/>
      <c r="AO882" s="273"/>
      <c r="AP882" s="273"/>
      <c r="AQ882" s="9"/>
      <c r="AR882" s="273"/>
      <c r="AS882" s="39"/>
    </row>
    <row r="883" spans="1:45" ht="12.75">
      <c r="A883" s="160"/>
      <c r="B883" s="273"/>
      <c r="C883" s="273"/>
      <c r="D883" s="273"/>
      <c r="E883" s="273"/>
      <c r="F883" s="273"/>
      <c r="G883" s="273"/>
      <c r="H883" s="273"/>
      <c r="I883" s="2"/>
      <c r="J883" s="17"/>
      <c r="K883" s="10"/>
      <c r="L883" s="10"/>
      <c r="M883" s="10"/>
      <c r="N883" s="10"/>
      <c r="O883" s="10"/>
      <c r="P883" s="10"/>
      <c r="Q883" s="10"/>
      <c r="R883" s="2"/>
      <c r="S883" s="273"/>
      <c r="T883" s="273"/>
      <c r="U883" s="273"/>
      <c r="V883" s="9"/>
      <c r="W883" s="273"/>
      <c r="X883" s="273"/>
      <c r="Y883" s="9"/>
      <c r="Z883" s="273"/>
      <c r="AA883" s="273"/>
      <c r="AB883" s="9"/>
      <c r="AC883" s="273"/>
      <c r="AD883" s="273"/>
      <c r="AE883" s="9"/>
      <c r="AF883" s="273"/>
      <c r="AG883" s="273"/>
      <c r="AH883" s="9"/>
      <c r="AI883" s="273"/>
      <c r="AJ883" s="273"/>
      <c r="AK883" s="9"/>
      <c r="AL883" s="273"/>
      <c r="AM883" s="273"/>
      <c r="AN883" s="9"/>
      <c r="AO883" s="273"/>
      <c r="AP883" s="273"/>
      <c r="AQ883" s="9"/>
      <c r="AR883" s="273"/>
      <c r="AS883" s="39"/>
    </row>
    <row r="884" spans="1:45" ht="12.75">
      <c r="A884" s="160"/>
      <c r="B884" s="273"/>
      <c r="C884" s="273"/>
      <c r="D884" s="273"/>
      <c r="E884" s="273"/>
      <c r="F884" s="273"/>
      <c r="G884" s="273"/>
      <c r="H884" s="273"/>
      <c r="I884" s="2"/>
      <c r="J884" s="17"/>
      <c r="K884" s="10"/>
      <c r="L884" s="10"/>
      <c r="M884" s="10"/>
      <c r="N884" s="10"/>
      <c r="O884" s="10"/>
      <c r="P884" s="10"/>
      <c r="Q884" s="10"/>
      <c r="R884" s="2"/>
      <c r="S884" s="273"/>
      <c r="T884" s="273"/>
      <c r="U884" s="273"/>
      <c r="V884" s="9"/>
      <c r="W884" s="273"/>
      <c r="X884" s="273"/>
      <c r="Y884" s="9"/>
      <c r="Z884" s="273"/>
      <c r="AA884" s="273"/>
      <c r="AB884" s="9"/>
      <c r="AC884" s="273"/>
      <c r="AD884" s="273"/>
      <c r="AE884" s="9"/>
      <c r="AF884" s="273"/>
      <c r="AG884" s="273"/>
      <c r="AH884" s="9"/>
      <c r="AI884" s="273"/>
      <c r="AJ884" s="273"/>
      <c r="AK884" s="9"/>
      <c r="AL884" s="273"/>
      <c r="AM884" s="273"/>
      <c r="AN884" s="9"/>
      <c r="AO884" s="273"/>
      <c r="AP884" s="273"/>
      <c r="AQ884" s="9"/>
      <c r="AR884" s="273"/>
      <c r="AS884" s="39"/>
    </row>
    <row r="885" spans="1:45" ht="12.75">
      <c r="A885" s="160"/>
      <c r="B885" s="273"/>
      <c r="C885" s="273"/>
      <c r="D885" s="273"/>
      <c r="E885" s="273"/>
      <c r="F885" s="273"/>
      <c r="G885" s="273"/>
      <c r="H885" s="273"/>
      <c r="I885" s="2"/>
      <c r="J885" s="17"/>
      <c r="K885" s="10"/>
      <c r="L885" s="10"/>
      <c r="M885" s="10"/>
      <c r="N885" s="10"/>
      <c r="O885" s="10"/>
      <c r="P885" s="10"/>
      <c r="Q885" s="10"/>
      <c r="R885" s="2"/>
      <c r="S885" s="273"/>
      <c r="T885" s="273"/>
      <c r="U885" s="273"/>
      <c r="V885" s="9"/>
      <c r="W885" s="273"/>
      <c r="X885" s="273"/>
      <c r="Y885" s="9"/>
      <c r="Z885" s="273"/>
      <c r="AA885" s="273"/>
      <c r="AB885" s="9"/>
      <c r="AC885" s="273"/>
      <c r="AD885" s="273"/>
      <c r="AE885" s="9"/>
      <c r="AF885" s="273"/>
      <c r="AG885" s="273"/>
      <c r="AH885" s="9"/>
      <c r="AI885" s="273"/>
      <c r="AJ885" s="273"/>
      <c r="AK885" s="9"/>
      <c r="AL885" s="273"/>
      <c r="AM885" s="273"/>
      <c r="AN885" s="9"/>
      <c r="AO885" s="273"/>
      <c r="AP885" s="273"/>
      <c r="AQ885" s="9"/>
      <c r="AR885" s="273"/>
      <c r="AS885" s="39"/>
    </row>
    <row r="886" spans="1:45" ht="12.75">
      <c r="A886" s="160"/>
      <c r="B886" s="273"/>
      <c r="C886" s="273"/>
      <c r="D886" s="273"/>
      <c r="E886" s="273"/>
      <c r="F886" s="273"/>
      <c r="G886" s="273"/>
      <c r="H886" s="273"/>
      <c r="I886" s="2"/>
      <c r="J886" s="17"/>
      <c r="K886" s="10"/>
      <c r="L886" s="10"/>
      <c r="M886" s="10"/>
      <c r="N886" s="10"/>
      <c r="O886" s="10"/>
      <c r="P886" s="10"/>
      <c r="Q886" s="10"/>
      <c r="R886" s="2"/>
      <c r="S886" s="273"/>
      <c r="T886" s="273"/>
      <c r="U886" s="273"/>
      <c r="V886" s="9"/>
      <c r="W886" s="273"/>
      <c r="X886" s="273"/>
      <c r="Y886" s="9"/>
      <c r="Z886" s="273"/>
      <c r="AA886" s="273"/>
      <c r="AB886" s="9"/>
      <c r="AC886" s="273"/>
      <c r="AD886" s="273"/>
      <c r="AE886" s="9"/>
      <c r="AF886" s="273"/>
      <c r="AG886" s="273"/>
      <c r="AH886" s="9"/>
      <c r="AI886" s="273"/>
      <c r="AJ886" s="273"/>
      <c r="AK886" s="9"/>
      <c r="AL886" s="273"/>
      <c r="AM886" s="273"/>
      <c r="AN886" s="9"/>
      <c r="AO886" s="273"/>
      <c r="AP886" s="273"/>
      <c r="AQ886" s="9"/>
      <c r="AR886" s="273"/>
      <c r="AS886" s="39"/>
    </row>
    <row r="887" spans="1:45" ht="12.75">
      <c r="A887" s="160"/>
      <c r="B887" s="273"/>
      <c r="C887" s="273"/>
      <c r="D887" s="273"/>
      <c r="E887" s="273"/>
      <c r="F887" s="273"/>
      <c r="G887" s="273"/>
      <c r="H887" s="273"/>
      <c r="I887" s="2"/>
      <c r="J887" s="17"/>
      <c r="K887" s="10"/>
      <c r="L887" s="10"/>
      <c r="M887" s="10"/>
      <c r="N887" s="10"/>
      <c r="O887" s="10"/>
      <c r="P887" s="10"/>
      <c r="Q887" s="10"/>
      <c r="R887" s="2"/>
      <c r="S887" s="273"/>
      <c r="T887" s="273"/>
      <c r="U887" s="273"/>
      <c r="V887" s="9"/>
      <c r="W887" s="273"/>
      <c r="X887" s="273"/>
      <c r="Y887" s="9"/>
      <c r="Z887" s="273"/>
      <c r="AA887" s="273"/>
      <c r="AB887" s="9"/>
      <c r="AC887" s="273"/>
      <c r="AD887" s="273"/>
      <c r="AE887" s="9"/>
      <c r="AF887" s="273"/>
      <c r="AG887" s="273"/>
      <c r="AH887" s="9"/>
      <c r="AI887" s="273"/>
      <c r="AJ887" s="273"/>
      <c r="AK887" s="9"/>
      <c r="AL887" s="273"/>
      <c r="AM887" s="273"/>
      <c r="AN887" s="9"/>
      <c r="AO887" s="273"/>
      <c r="AP887" s="273"/>
      <c r="AQ887" s="9"/>
      <c r="AR887" s="273"/>
      <c r="AS887" s="39"/>
    </row>
    <row r="888" spans="1:45" ht="12.75">
      <c r="A888" s="160"/>
      <c r="B888" s="273"/>
      <c r="C888" s="273"/>
      <c r="D888" s="273"/>
      <c r="E888" s="273"/>
      <c r="F888" s="273"/>
      <c r="G888" s="273"/>
      <c r="H888" s="273"/>
      <c r="I888" s="2"/>
      <c r="J888" s="17"/>
      <c r="K888" s="10"/>
      <c r="L888" s="10"/>
      <c r="M888" s="10"/>
      <c r="N888" s="10"/>
      <c r="O888" s="10"/>
      <c r="P888" s="10"/>
      <c r="Q888" s="10"/>
      <c r="R888" s="2"/>
      <c r="S888" s="273"/>
      <c r="T888" s="273"/>
      <c r="U888" s="273"/>
      <c r="V888" s="9"/>
      <c r="W888" s="273"/>
      <c r="X888" s="273"/>
      <c r="Y888" s="9"/>
      <c r="Z888" s="273"/>
      <c r="AA888" s="273"/>
      <c r="AB888" s="9"/>
      <c r="AC888" s="273"/>
      <c r="AD888" s="273"/>
      <c r="AE888" s="9"/>
      <c r="AF888" s="273"/>
      <c r="AG888" s="273"/>
      <c r="AH888" s="9"/>
      <c r="AI888" s="273"/>
      <c r="AJ888" s="273"/>
      <c r="AK888" s="9"/>
      <c r="AL888" s="273"/>
      <c r="AM888" s="273"/>
      <c r="AN888" s="9"/>
      <c r="AO888" s="273"/>
      <c r="AP888" s="273"/>
      <c r="AQ888" s="9"/>
      <c r="AR888" s="273"/>
      <c r="AS888" s="39"/>
    </row>
    <row r="889" spans="1:45" ht="12.75">
      <c r="A889" s="160"/>
      <c r="B889" s="273"/>
      <c r="C889" s="273"/>
      <c r="D889" s="273"/>
      <c r="E889" s="273"/>
      <c r="F889" s="273"/>
      <c r="G889" s="273"/>
      <c r="H889" s="273"/>
      <c r="I889" s="2"/>
      <c r="J889" s="17"/>
      <c r="K889" s="10"/>
      <c r="L889" s="10"/>
      <c r="M889" s="10"/>
      <c r="N889" s="10"/>
      <c r="O889" s="10"/>
      <c r="P889" s="10"/>
      <c r="Q889" s="10"/>
      <c r="R889" s="2"/>
      <c r="S889" s="273"/>
      <c r="T889" s="273"/>
      <c r="U889" s="273"/>
      <c r="V889" s="9"/>
      <c r="W889" s="273"/>
      <c r="X889" s="273"/>
      <c r="Y889" s="9"/>
      <c r="Z889" s="273"/>
      <c r="AA889" s="273"/>
      <c r="AB889" s="9"/>
      <c r="AC889" s="273"/>
      <c r="AD889" s="273"/>
      <c r="AE889" s="9"/>
      <c r="AF889" s="273"/>
      <c r="AG889" s="273"/>
      <c r="AH889" s="9"/>
      <c r="AI889" s="273"/>
      <c r="AJ889" s="273"/>
      <c r="AK889" s="9"/>
      <c r="AL889" s="273"/>
      <c r="AM889" s="273"/>
      <c r="AN889" s="9"/>
      <c r="AO889" s="273"/>
      <c r="AP889" s="273"/>
      <c r="AQ889" s="9"/>
      <c r="AR889" s="273"/>
      <c r="AS889" s="39"/>
    </row>
    <row r="890" spans="1:45" ht="12.75">
      <c r="A890" s="160"/>
      <c r="B890" s="273"/>
      <c r="C890" s="273"/>
      <c r="D890" s="273"/>
      <c r="E890" s="273"/>
      <c r="F890" s="273"/>
      <c r="G890" s="273"/>
      <c r="H890" s="273"/>
      <c r="I890" s="2"/>
      <c r="J890" s="17"/>
      <c r="K890" s="10"/>
      <c r="L890" s="10"/>
      <c r="M890" s="10"/>
      <c r="N890" s="10"/>
      <c r="O890" s="10"/>
      <c r="P890" s="10"/>
      <c r="Q890" s="10"/>
      <c r="R890" s="2"/>
      <c r="S890" s="273"/>
      <c r="T890" s="273"/>
      <c r="U890" s="273"/>
      <c r="V890" s="9"/>
      <c r="W890" s="273"/>
      <c r="X890" s="273"/>
      <c r="Y890" s="9"/>
      <c r="Z890" s="273"/>
      <c r="AA890" s="273"/>
      <c r="AB890" s="9"/>
      <c r="AC890" s="273"/>
      <c r="AD890" s="273"/>
      <c r="AE890" s="9"/>
      <c r="AF890" s="273"/>
      <c r="AG890" s="273"/>
      <c r="AH890" s="9"/>
      <c r="AI890" s="273"/>
      <c r="AJ890" s="273"/>
      <c r="AK890" s="9"/>
      <c r="AL890" s="273"/>
      <c r="AM890" s="273"/>
      <c r="AN890" s="9"/>
      <c r="AO890" s="273"/>
      <c r="AP890" s="273"/>
      <c r="AQ890" s="9"/>
      <c r="AR890" s="273"/>
      <c r="AS890" s="39"/>
    </row>
    <row r="891" spans="1:45" ht="12.75">
      <c r="A891" s="160"/>
      <c r="B891" s="273"/>
      <c r="C891" s="273"/>
      <c r="D891" s="273"/>
      <c r="E891" s="273"/>
      <c r="F891" s="273"/>
      <c r="G891" s="273"/>
      <c r="H891" s="273"/>
      <c r="I891" s="2"/>
      <c r="J891" s="17"/>
      <c r="K891" s="10"/>
      <c r="L891" s="10"/>
      <c r="M891" s="10"/>
      <c r="N891" s="10"/>
      <c r="O891" s="10"/>
      <c r="P891" s="10"/>
      <c r="Q891" s="10"/>
      <c r="R891" s="2"/>
      <c r="S891" s="273"/>
      <c r="T891" s="273"/>
      <c r="U891" s="273"/>
      <c r="V891" s="9"/>
      <c r="W891" s="273"/>
      <c r="X891" s="273"/>
      <c r="Y891" s="9"/>
      <c r="Z891" s="273"/>
      <c r="AA891" s="273"/>
      <c r="AB891" s="9"/>
      <c r="AC891" s="273"/>
      <c r="AD891" s="273"/>
      <c r="AE891" s="9"/>
      <c r="AF891" s="273"/>
      <c r="AG891" s="273"/>
      <c r="AH891" s="9"/>
      <c r="AI891" s="273"/>
      <c r="AJ891" s="273"/>
      <c r="AK891" s="9"/>
      <c r="AL891" s="273"/>
      <c r="AM891" s="273"/>
      <c r="AN891" s="9"/>
      <c r="AO891" s="273"/>
      <c r="AP891" s="273"/>
      <c r="AQ891" s="9"/>
      <c r="AR891" s="273"/>
      <c r="AS891" s="39"/>
    </row>
    <row r="892" spans="1:45" ht="12.75">
      <c r="A892" s="160"/>
      <c r="B892" s="273"/>
      <c r="C892" s="273"/>
      <c r="D892" s="273"/>
      <c r="E892" s="273"/>
      <c r="F892" s="273"/>
      <c r="G892" s="273"/>
      <c r="H892" s="273"/>
      <c r="I892" s="2"/>
      <c r="J892" s="17"/>
      <c r="K892" s="10"/>
      <c r="L892" s="10"/>
      <c r="M892" s="10"/>
      <c r="N892" s="10"/>
      <c r="O892" s="10"/>
      <c r="P892" s="10"/>
      <c r="Q892" s="10"/>
      <c r="R892" s="2"/>
      <c r="S892" s="273"/>
      <c r="T892" s="273"/>
      <c r="U892" s="273"/>
      <c r="V892" s="9"/>
      <c r="W892" s="273"/>
      <c r="X892" s="273"/>
      <c r="Y892" s="9"/>
      <c r="Z892" s="273"/>
      <c r="AA892" s="273"/>
      <c r="AB892" s="9"/>
      <c r="AC892" s="273"/>
      <c r="AD892" s="273"/>
      <c r="AE892" s="9"/>
      <c r="AF892" s="273"/>
      <c r="AG892" s="273"/>
      <c r="AH892" s="9"/>
      <c r="AI892" s="273"/>
      <c r="AJ892" s="273"/>
      <c r="AK892" s="9"/>
      <c r="AL892" s="273"/>
      <c r="AM892" s="273"/>
      <c r="AN892" s="9"/>
      <c r="AO892" s="273"/>
      <c r="AP892" s="273"/>
      <c r="AQ892" s="9"/>
      <c r="AR892" s="273"/>
      <c r="AS892" s="39"/>
    </row>
    <row r="893" spans="1:45" ht="12.75">
      <c r="A893" s="160"/>
      <c r="B893" s="273"/>
      <c r="C893" s="273"/>
      <c r="D893" s="273"/>
      <c r="E893" s="273"/>
      <c r="F893" s="273"/>
      <c r="G893" s="273"/>
      <c r="H893" s="273"/>
      <c r="I893" s="2"/>
      <c r="J893" s="17"/>
      <c r="K893" s="10"/>
      <c r="L893" s="10"/>
      <c r="M893" s="10"/>
      <c r="N893" s="10"/>
      <c r="O893" s="10"/>
      <c r="P893" s="10"/>
      <c r="Q893" s="10"/>
      <c r="R893" s="2"/>
      <c r="S893" s="273"/>
      <c r="T893" s="273"/>
      <c r="U893" s="273"/>
      <c r="V893" s="9"/>
      <c r="W893" s="273"/>
      <c r="X893" s="273"/>
      <c r="Y893" s="9"/>
      <c r="Z893" s="273"/>
      <c r="AA893" s="273"/>
      <c r="AB893" s="9"/>
      <c r="AC893" s="273"/>
      <c r="AD893" s="273"/>
      <c r="AE893" s="9"/>
      <c r="AF893" s="273"/>
      <c r="AG893" s="273"/>
      <c r="AH893" s="9"/>
      <c r="AI893" s="273"/>
      <c r="AJ893" s="273"/>
      <c r="AK893" s="9"/>
      <c r="AL893" s="273"/>
      <c r="AM893" s="273"/>
      <c r="AN893" s="9"/>
      <c r="AO893" s="273"/>
      <c r="AP893" s="273"/>
      <c r="AQ893" s="9"/>
      <c r="AR893" s="273"/>
      <c r="AS893" s="39"/>
    </row>
    <row r="894" spans="1:45" ht="12.75">
      <c r="A894" s="160"/>
      <c r="B894" s="273"/>
      <c r="C894" s="273"/>
      <c r="D894" s="273"/>
      <c r="E894" s="273"/>
      <c r="F894" s="273"/>
      <c r="G894" s="273"/>
      <c r="H894" s="273"/>
      <c r="I894" s="2"/>
      <c r="J894" s="17"/>
      <c r="K894" s="10"/>
      <c r="L894" s="10"/>
      <c r="M894" s="10"/>
      <c r="N894" s="10"/>
      <c r="O894" s="10"/>
      <c r="P894" s="10"/>
      <c r="Q894" s="10"/>
      <c r="R894" s="2"/>
      <c r="S894" s="273"/>
      <c r="T894" s="273"/>
      <c r="U894" s="273"/>
      <c r="V894" s="9"/>
      <c r="W894" s="273"/>
      <c r="X894" s="273"/>
      <c r="Y894" s="9"/>
      <c r="Z894" s="273"/>
      <c r="AA894" s="273"/>
      <c r="AB894" s="9"/>
      <c r="AC894" s="273"/>
      <c r="AD894" s="273"/>
      <c r="AE894" s="9"/>
      <c r="AF894" s="273"/>
      <c r="AG894" s="273"/>
      <c r="AH894" s="9"/>
      <c r="AI894" s="273"/>
      <c r="AJ894" s="273"/>
      <c r="AK894" s="9"/>
      <c r="AL894" s="273"/>
      <c r="AM894" s="273"/>
      <c r="AN894" s="9"/>
      <c r="AO894" s="273"/>
      <c r="AP894" s="273"/>
      <c r="AQ894" s="9"/>
      <c r="AR894" s="273"/>
      <c r="AS894" s="39"/>
    </row>
    <row r="895" spans="1:45" ht="12.75">
      <c r="A895" s="160"/>
      <c r="B895" s="273"/>
      <c r="C895" s="273"/>
      <c r="D895" s="273"/>
      <c r="E895" s="273"/>
      <c r="F895" s="273"/>
      <c r="G895" s="273"/>
      <c r="H895" s="273"/>
      <c r="I895" s="2"/>
      <c r="J895" s="17"/>
      <c r="K895" s="10"/>
      <c r="L895" s="10"/>
      <c r="M895" s="10"/>
      <c r="N895" s="10"/>
      <c r="O895" s="10"/>
      <c r="P895" s="10"/>
      <c r="Q895" s="10"/>
      <c r="R895" s="2"/>
      <c r="S895" s="273"/>
      <c r="T895" s="273"/>
      <c r="U895" s="273"/>
      <c r="V895" s="9"/>
      <c r="W895" s="273"/>
      <c r="X895" s="273"/>
      <c r="Y895" s="9"/>
      <c r="Z895" s="273"/>
      <c r="AA895" s="273"/>
      <c r="AB895" s="9"/>
      <c r="AC895" s="273"/>
      <c r="AD895" s="273"/>
      <c r="AE895" s="9"/>
      <c r="AF895" s="273"/>
      <c r="AG895" s="273"/>
      <c r="AH895" s="9"/>
      <c r="AI895" s="273"/>
      <c r="AJ895" s="273"/>
      <c r="AK895" s="9"/>
      <c r="AL895" s="273"/>
      <c r="AM895" s="273"/>
      <c r="AN895" s="9"/>
      <c r="AO895" s="273"/>
      <c r="AP895" s="273"/>
      <c r="AQ895" s="9"/>
      <c r="AR895" s="273"/>
      <c r="AS895" s="39"/>
    </row>
    <row r="896" spans="1:45" ht="12.75">
      <c r="A896" s="160"/>
      <c r="B896" s="273"/>
      <c r="C896" s="273"/>
      <c r="D896" s="273"/>
      <c r="E896" s="273"/>
      <c r="F896" s="273"/>
      <c r="G896" s="273"/>
      <c r="H896" s="273"/>
      <c r="I896" s="2"/>
      <c r="J896" s="17"/>
      <c r="K896" s="10"/>
      <c r="L896" s="10"/>
      <c r="M896" s="10"/>
      <c r="N896" s="10"/>
      <c r="O896" s="10"/>
      <c r="P896" s="10"/>
      <c r="Q896" s="10"/>
      <c r="R896" s="2"/>
      <c r="S896" s="273"/>
      <c r="T896" s="273"/>
      <c r="U896" s="273"/>
      <c r="V896" s="9"/>
      <c r="W896" s="273"/>
      <c r="X896" s="273"/>
      <c r="Y896" s="9"/>
      <c r="Z896" s="273"/>
      <c r="AA896" s="273"/>
      <c r="AB896" s="9"/>
      <c r="AC896" s="273"/>
      <c r="AD896" s="273"/>
      <c r="AE896" s="9"/>
      <c r="AF896" s="273"/>
      <c r="AG896" s="273"/>
      <c r="AH896" s="9"/>
      <c r="AI896" s="273"/>
      <c r="AJ896" s="273"/>
      <c r="AK896" s="9"/>
      <c r="AL896" s="273"/>
      <c r="AM896" s="273"/>
      <c r="AN896" s="9"/>
      <c r="AO896" s="273"/>
      <c r="AP896" s="273"/>
      <c r="AQ896" s="9"/>
      <c r="AR896" s="273"/>
      <c r="AS896" s="39"/>
    </row>
    <row r="897" spans="1:45" ht="12.75">
      <c r="A897" s="160"/>
      <c r="B897" s="273"/>
      <c r="C897" s="273"/>
      <c r="D897" s="273"/>
      <c r="E897" s="273"/>
      <c r="F897" s="273"/>
      <c r="G897" s="273"/>
      <c r="H897" s="273"/>
      <c r="I897" s="2"/>
      <c r="J897" s="17"/>
      <c r="K897" s="10"/>
      <c r="L897" s="10"/>
      <c r="M897" s="10"/>
      <c r="N897" s="10"/>
      <c r="O897" s="10"/>
      <c r="P897" s="10"/>
      <c r="Q897" s="10"/>
      <c r="R897" s="2"/>
      <c r="S897" s="273"/>
      <c r="T897" s="273"/>
      <c r="U897" s="273"/>
      <c r="V897" s="9"/>
      <c r="W897" s="273"/>
      <c r="X897" s="273"/>
      <c r="Y897" s="9"/>
      <c r="Z897" s="273"/>
      <c r="AA897" s="273"/>
      <c r="AB897" s="9"/>
      <c r="AC897" s="273"/>
      <c r="AD897" s="273"/>
      <c r="AE897" s="9"/>
      <c r="AF897" s="273"/>
      <c r="AG897" s="273"/>
      <c r="AH897" s="9"/>
      <c r="AI897" s="273"/>
      <c r="AJ897" s="273"/>
      <c r="AK897" s="9"/>
      <c r="AL897" s="273"/>
      <c r="AM897" s="273"/>
      <c r="AN897" s="9"/>
      <c r="AO897" s="273"/>
      <c r="AP897" s="273"/>
      <c r="AQ897" s="9"/>
      <c r="AR897" s="273"/>
      <c r="AS897" s="39"/>
    </row>
    <row r="898" spans="1:45" ht="12.75">
      <c r="A898" s="160"/>
      <c r="B898" s="273"/>
      <c r="C898" s="273"/>
      <c r="D898" s="273"/>
      <c r="E898" s="273"/>
      <c r="F898" s="273"/>
      <c r="G898" s="273"/>
      <c r="H898" s="273"/>
      <c r="I898" s="2"/>
      <c r="J898" s="17"/>
      <c r="K898" s="10"/>
      <c r="L898" s="10"/>
      <c r="M898" s="10"/>
      <c r="N898" s="10"/>
      <c r="O898" s="10"/>
      <c r="P898" s="10"/>
      <c r="Q898" s="10"/>
      <c r="R898" s="2"/>
      <c r="S898" s="273"/>
      <c r="T898" s="273"/>
      <c r="U898" s="273"/>
      <c r="V898" s="9"/>
      <c r="W898" s="273"/>
      <c r="X898" s="273"/>
      <c r="Y898" s="9"/>
      <c r="Z898" s="273"/>
      <c r="AA898" s="273"/>
      <c r="AB898" s="9"/>
      <c r="AC898" s="273"/>
      <c r="AD898" s="273"/>
      <c r="AE898" s="9"/>
      <c r="AF898" s="273"/>
      <c r="AG898" s="273"/>
      <c r="AH898" s="9"/>
      <c r="AI898" s="273"/>
      <c r="AJ898" s="273"/>
      <c r="AK898" s="9"/>
      <c r="AL898" s="273"/>
      <c r="AM898" s="273"/>
      <c r="AN898" s="9"/>
      <c r="AO898" s="273"/>
      <c r="AP898" s="273"/>
      <c r="AQ898" s="9"/>
      <c r="AR898" s="273"/>
      <c r="AS898" s="39"/>
    </row>
    <row r="899" spans="1:45" ht="12.75">
      <c r="A899" s="160"/>
      <c r="B899" s="273"/>
      <c r="C899" s="273"/>
      <c r="D899" s="273"/>
      <c r="E899" s="273"/>
      <c r="F899" s="273"/>
      <c r="G899" s="273"/>
      <c r="H899" s="273"/>
      <c r="I899" s="2"/>
      <c r="J899" s="17"/>
      <c r="K899" s="10"/>
      <c r="L899" s="10"/>
      <c r="M899" s="10"/>
      <c r="N899" s="10"/>
      <c r="O899" s="10"/>
      <c r="P899" s="10"/>
      <c r="Q899" s="10"/>
      <c r="R899" s="2"/>
      <c r="S899" s="273"/>
      <c r="T899" s="273"/>
      <c r="U899" s="273"/>
      <c r="V899" s="9"/>
      <c r="W899" s="273"/>
      <c r="X899" s="273"/>
      <c r="Y899" s="9"/>
      <c r="Z899" s="273"/>
      <c r="AA899" s="273"/>
      <c r="AB899" s="9"/>
      <c r="AC899" s="273"/>
      <c r="AD899" s="273"/>
      <c r="AE899" s="9"/>
      <c r="AF899" s="273"/>
      <c r="AG899" s="273"/>
      <c r="AH899" s="9"/>
      <c r="AI899" s="273"/>
      <c r="AJ899" s="273"/>
      <c r="AK899" s="9"/>
      <c r="AL899" s="273"/>
      <c r="AM899" s="273"/>
      <c r="AN899" s="9"/>
      <c r="AO899" s="273"/>
      <c r="AP899" s="273"/>
      <c r="AQ899" s="9"/>
      <c r="AR899" s="273"/>
      <c r="AS899" s="39"/>
    </row>
    <row r="900" spans="1:45" ht="12.75">
      <c r="A900" s="160"/>
      <c r="B900" s="273"/>
      <c r="C900" s="273"/>
      <c r="D900" s="273"/>
      <c r="E900" s="273"/>
      <c r="F900" s="273"/>
      <c r="G900" s="273"/>
      <c r="H900" s="273"/>
      <c r="I900" s="2"/>
      <c r="J900" s="17"/>
      <c r="K900" s="10"/>
      <c r="L900" s="10"/>
      <c r="M900" s="10"/>
      <c r="N900" s="10"/>
      <c r="O900" s="10"/>
      <c r="P900" s="10"/>
      <c r="Q900" s="10"/>
      <c r="R900" s="2"/>
      <c r="S900" s="273"/>
      <c r="T900" s="273"/>
      <c r="U900" s="273"/>
      <c r="V900" s="9"/>
      <c r="W900" s="273"/>
      <c r="X900" s="273"/>
      <c r="Y900" s="9"/>
      <c r="Z900" s="273"/>
      <c r="AA900" s="273"/>
      <c r="AB900" s="9"/>
      <c r="AC900" s="273"/>
      <c r="AD900" s="273"/>
      <c r="AE900" s="9"/>
      <c r="AF900" s="273"/>
      <c r="AG900" s="273"/>
      <c r="AH900" s="9"/>
      <c r="AI900" s="273"/>
      <c r="AJ900" s="273"/>
      <c r="AK900" s="9"/>
      <c r="AL900" s="273"/>
      <c r="AM900" s="273"/>
      <c r="AN900" s="9"/>
      <c r="AO900" s="273"/>
      <c r="AP900" s="273"/>
      <c r="AQ900" s="9"/>
      <c r="AR900" s="273"/>
      <c r="AS900" s="39"/>
    </row>
    <row r="901" spans="1:45" ht="12.75">
      <c r="A901" s="160"/>
      <c r="B901" s="273"/>
      <c r="C901" s="273"/>
      <c r="D901" s="273"/>
      <c r="E901" s="273"/>
      <c r="F901" s="273"/>
      <c r="G901" s="273"/>
      <c r="H901" s="273"/>
      <c r="I901" s="2"/>
      <c r="J901" s="17"/>
      <c r="K901" s="10"/>
      <c r="L901" s="10"/>
      <c r="M901" s="10"/>
      <c r="N901" s="10"/>
      <c r="O901" s="10"/>
      <c r="P901" s="10"/>
      <c r="Q901" s="10"/>
      <c r="R901" s="2"/>
      <c r="S901" s="273"/>
      <c r="T901" s="273"/>
      <c r="U901" s="273"/>
      <c r="V901" s="9"/>
      <c r="W901" s="273"/>
      <c r="X901" s="273"/>
      <c r="Y901" s="9"/>
      <c r="Z901" s="273"/>
      <c r="AA901" s="273"/>
      <c r="AB901" s="9"/>
      <c r="AC901" s="273"/>
      <c r="AD901" s="273"/>
      <c r="AE901" s="9"/>
      <c r="AF901" s="273"/>
      <c r="AG901" s="273"/>
      <c r="AH901" s="9"/>
      <c r="AI901" s="273"/>
      <c r="AJ901" s="273"/>
      <c r="AK901" s="9"/>
      <c r="AL901" s="273"/>
      <c r="AM901" s="273"/>
      <c r="AN901" s="9"/>
      <c r="AO901" s="273"/>
      <c r="AP901" s="273"/>
      <c r="AQ901" s="9"/>
      <c r="AR901" s="273"/>
      <c r="AS901" s="39"/>
    </row>
    <row r="902" spans="1:45" ht="12.75">
      <c r="A902" s="160"/>
      <c r="B902" s="273"/>
      <c r="C902" s="273"/>
      <c r="D902" s="273"/>
      <c r="E902" s="273"/>
      <c r="F902" s="273"/>
      <c r="G902" s="273"/>
      <c r="H902" s="273"/>
      <c r="I902" s="2"/>
      <c r="J902" s="17"/>
      <c r="K902" s="10"/>
      <c r="L902" s="10"/>
      <c r="M902" s="10"/>
      <c r="N902" s="10"/>
      <c r="O902" s="10"/>
      <c r="P902" s="10"/>
      <c r="Q902" s="10"/>
      <c r="R902" s="2"/>
      <c r="S902" s="273"/>
      <c r="T902" s="273"/>
      <c r="U902" s="273"/>
      <c r="V902" s="9"/>
      <c r="W902" s="273"/>
      <c r="X902" s="273"/>
      <c r="Y902" s="9"/>
      <c r="Z902" s="273"/>
      <c r="AA902" s="273"/>
      <c r="AB902" s="9"/>
      <c r="AC902" s="273"/>
      <c r="AD902" s="273"/>
      <c r="AE902" s="9"/>
      <c r="AF902" s="273"/>
      <c r="AG902" s="273"/>
      <c r="AH902" s="9"/>
      <c r="AI902" s="273"/>
      <c r="AJ902" s="273"/>
      <c r="AK902" s="9"/>
      <c r="AL902" s="273"/>
      <c r="AM902" s="273"/>
      <c r="AN902" s="9"/>
      <c r="AO902" s="273"/>
      <c r="AP902" s="273"/>
      <c r="AQ902" s="9"/>
      <c r="AR902" s="273"/>
      <c r="AS902" s="39"/>
    </row>
    <row r="903" spans="1:45" ht="12.75">
      <c r="A903" s="160"/>
      <c r="B903" s="273"/>
      <c r="C903" s="273"/>
      <c r="D903" s="273"/>
      <c r="E903" s="273"/>
      <c r="F903" s="273"/>
      <c r="G903" s="273"/>
      <c r="H903" s="273"/>
      <c r="I903" s="2"/>
      <c r="J903" s="17"/>
      <c r="K903" s="10"/>
      <c r="L903" s="10"/>
      <c r="M903" s="10"/>
      <c r="N903" s="10"/>
      <c r="O903" s="10"/>
      <c r="P903" s="10"/>
      <c r="Q903" s="10"/>
      <c r="R903" s="2"/>
      <c r="S903" s="273"/>
      <c r="T903" s="273"/>
      <c r="U903" s="273"/>
      <c r="V903" s="9"/>
      <c r="W903" s="273"/>
      <c r="X903" s="273"/>
      <c r="Y903" s="9"/>
      <c r="Z903" s="273"/>
      <c r="AA903" s="273"/>
      <c r="AB903" s="9"/>
      <c r="AC903" s="273"/>
      <c r="AD903" s="273"/>
      <c r="AE903" s="9"/>
      <c r="AF903" s="273"/>
      <c r="AG903" s="273"/>
      <c r="AH903" s="9"/>
      <c r="AI903" s="273"/>
      <c r="AJ903" s="273"/>
      <c r="AK903" s="9"/>
      <c r="AL903" s="273"/>
      <c r="AM903" s="273"/>
      <c r="AN903" s="9"/>
      <c r="AO903" s="273"/>
      <c r="AP903" s="273"/>
      <c r="AQ903" s="9"/>
      <c r="AR903" s="273"/>
      <c r="AS903" s="39"/>
    </row>
    <row r="904" spans="1:45" ht="12.75">
      <c r="A904" s="160"/>
      <c r="B904" s="273"/>
      <c r="C904" s="273"/>
      <c r="D904" s="273"/>
      <c r="E904" s="273"/>
      <c r="F904" s="273"/>
      <c r="G904" s="273"/>
      <c r="H904" s="273"/>
      <c r="I904" s="2"/>
      <c r="J904" s="17"/>
      <c r="K904" s="10"/>
      <c r="L904" s="10"/>
      <c r="M904" s="10"/>
      <c r="N904" s="10"/>
      <c r="O904" s="10"/>
      <c r="P904" s="10"/>
      <c r="Q904" s="10"/>
      <c r="R904" s="2"/>
      <c r="S904" s="273"/>
      <c r="T904" s="273"/>
      <c r="U904" s="273"/>
      <c r="V904" s="9"/>
      <c r="W904" s="273"/>
      <c r="X904" s="273"/>
      <c r="Y904" s="9"/>
      <c r="Z904" s="273"/>
      <c r="AA904" s="273"/>
      <c r="AB904" s="9"/>
      <c r="AC904" s="273"/>
      <c r="AD904" s="273"/>
      <c r="AE904" s="9"/>
      <c r="AF904" s="273"/>
      <c r="AG904" s="273"/>
      <c r="AH904" s="9"/>
      <c r="AI904" s="273"/>
      <c r="AJ904" s="273"/>
      <c r="AK904" s="9"/>
      <c r="AL904" s="273"/>
      <c r="AM904" s="273"/>
      <c r="AN904" s="9"/>
      <c r="AO904" s="273"/>
      <c r="AP904" s="273"/>
      <c r="AQ904" s="9"/>
      <c r="AR904" s="273"/>
      <c r="AS904" s="39"/>
    </row>
    <row r="905" spans="1:45" ht="12.75">
      <c r="A905" s="160"/>
      <c r="B905" s="273"/>
      <c r="C905" s="273"/>
      <c r="D905" s="273"/>
      <c r="E905" s="273"/>
      <c r="F905" s="273"/>
      <c r="G905" s="273"/>
      <c r="H905" s="273"/>
      <c r="I905" s="2"/>
      <c r="J905" s="17"/>
      <c r="K905" s="10"/>
      <c r="L905" s="10"/>
      <c r="M905" s="10"/>
      <c r="N905" s="10"/>
      <c r="O905" s="10"/>
      <c r="P905" s="10"/>
      <c r="Q905" s="10"/>
      <c r="R905" s="2"/>
      <c r="S905" s="273"/>
      <c r="T905" s="273"/>
      <c r="U905" s="273"/>
      <c r="V905" s="9"/>
      <c r="W905" s="273"/>
      <c r="X905" s="273"/>
      <c r="Y905" s="9"/>
      <c r="Z905" s="273"/>
      <c r="AA905" s="273"/>
      <c r="AB905" s="9"/>
      <c r="AC905" s="273"/>
      <c r="AD905" s="273"/>
      <c r="AE905" s="9"/>
      <c r="AF905" s="273"/>
      <c r="AG905" s="273"/>
      <c r="AH905" s="9"/>
      <c r="AI905" s="273"/>
      <c r="AJ905" s="273"/>
      <c r="AK905" s="9"/>
      <c r="AL905" s="273"/>
      <c r="AM905" s="273"/>
      <c r="AN905" s="9"/>
      <c r="AO905" s="273"/>
      <c r="AP905" s="273"/>
      <c r="AQ905" s="9"/>
      <c r="AR905" s="273"/>
      <c r="AS905" s="39"/>
    </row>
    <row r="906" spans="1:45" ht="12.75">
      <c r="A906" s="160"/>
      <c r="B906" s="273"/>
      <c r="C906" s="273"/>
      <c r="D906" s="273"/>
      <c r="E906" s="273"/>
      <c r="F906" s="273"/>
      <c r="G906" s="273"/>
      <c r="H906" s="273"/>
      <c r="I906" s="2"/>
      <c r="J906" s="17"/>
      <c r="K906" s="10"/>
      <c r="L906" s="10"/>
      <c r="M906" s="10"/>
      <c r="N906" s="10"/>
      <c r="O906" s="10"/>
      <c r="P906" s="10"/>
      <c r="Q906" s="10"/>
      <c r="R906" s="2"/>
      <c r="S906" s="273"/>
      <c r="T906" s="273"/>
      <c r="U906" s="273"/>
      <c r="V906" s="9"/>
      <c r="W906" s="273"/>
      <c r="X906" s="273"/>
      <c r="Y906" s="9"/>
      <c r="Z906" s="273"/>
      <c r="AA906" s="273"/>
      <c r="AB906" s="9"/>
      <c r="AC906" s="273"/>
      <c r="AD906" s="273"/>
      <c r="AE906" s="9"/>
      <c r="AF906" s="273"/>
      <c r="AG906" s="273"/>
      <c r="AH906" s="9"/>
      <c r="AI906" s="273"/>
      <c r="AJ906" s="273"/>
      <c r="AK906" s="9"/>
      <c r="AL906" s="273"/>
      <c r="AM906" s="273"/>
      <c r="AN906" s="9"/>
      <c r="AO906" s="273"/>
      <c r="AP906" s="273"/>
      <c r="AQ906" s="9"/>
      <c r="AR906" s="273"/>
      <c r="AS906" s="39"/>
    </row>
    <row r="907" spans="1:45" ht="12.75">
      <c r="A907" s="160"/>
      <c r="B907" s="273"/>
      <c r="C907" s="273"/>
      <c r="D907" s="273"/>
      <c r="E907" s="273"/>
      <c r="F907" s="273"/>
      <c r="G907" s="273"/>
      <c r="H907" s="273"/>
      <c r="I907" s="2"/>
      <c r="J907" s="17"/>
      <c r="K907" s="10"/>
      <c r="L907" s="10"/>
      <c r="M907" s="10"/>
      <c r="N907" s="10"/>
      <c r="O907" s="10"/>
      <c r="P907" s="10"/>
      <c r="Q907" s="10"/>
      <c r="R907" s="2"/>
      <c r="S907" s="273"/>
      <c r="T907" s="273"/>
      <c r="U907" s="273"/>
      <c r="V907" s="9"/>
      <c r="W907" s="273"/>
      <c r="X907" s="273"/>
      <c r="Y907" s="9"/>
      <c r="Z907" s="273"/>
      <c r="AA907" s="273"/>
      <c r="AB907" s="9"/>
      <c r="AC907" s="273"/>
      <c r="AD907" s="273"/>
      <c r="AE907" s="9"/>
      <c r="AF907" s="273"/>
      <c r="AG907" s="273"/>
      <c r="AH907" s="9"/>
      <c r="AI907" s="273"/>
      <c r="AJ907" s="273"/>
      <c r="AK907" s="9"/>
      <c r="AL907" s="273"/>
      <c r="AM907" s="273"/>
      <c r="AN907" s="9"/>
      <c r="AO907" s="273"/>
      <c r="AP907" s="273"/>
      <c r="AQ907" s="9"/>
      <c r="AR907" s="273"/>
      <c r="AS907" s="39"/>
    </row>
    <row r="908" spans="1:45" ht="12.75">
      <c r="A908" s="160"/>
      <c r="B908" s="273"/>
      <c r="C908" s="273"/>
      <c r="D908" s="273"/>
      <c r="E908" s="273"/>
      <c r="F908" s="273"/>
      <c r="G908" s="273"/>
      <c r="H908" s="273"/>
      <c r="I908" s="2"/>
      <c r="J908" s="17"/>
      <c r="K908" s="10"/>
      <c r="L908" s="10"/>
      <c r="M908" s="10"/>
      <c r="N908" s="10"/>
      <c r="O908" s="10"/>
      <c r="P908" s="10"/>
      <c r="Q908" s="10"/>
      <c r="R908" s="2"/>
      <c r="S908" s="273"/>
      <c r="T908" s="273"/>
      <c r="U908" s="273"/>
      <c r="V908" s="9"/>
      <c r="W908" s="273"/>
      <c r="X908" s="273"/>
      <c r="Y908" s="9"/>
      <c r="Z908" s="273"/>
      <c r="AA908" s="273"/>
      <c r="AB908" s="9"/>
      <c r="AC908" s="273"/>
      <c r="AD908" s="273"/>
      <c r="AE908" s="9"/>
      <c r="AF908" s="273"/>
      <c r="AG908" s="273"/>
      <c r="AH908" s="9"/>
      <c r="AI908" s="273"/>
      <c r="AJ908" s="273"/>
      <c r="AK908" s="9"/>
      <c r="AL908" s="273"/>
      <c r="AM908" s="273"/>
      <c r="AN908" s="9"/>
      <c r="AO908" s="273"/>
      <c r="AP908" s="273"/>
      <c r="AQ908" s="9"/>
      <c r="AR908" s="273"/>
      <c r="AS908" s="39"/>
    </row>
    <row r="909" spans="1:45" ht="12.75">
      <c r="A909" s="160"/>
      <c r="B909" s="273"/>
      <c r="C909" s="273"/>
      <c r="D909" s="273"/>
      <c r="E909" s="273"/>
      <c r="F909" s="273"/>
      <c r="G909" s="273"/>
      <c r="H909" s="273"/>
      <c r="I909" s="2"/>
      <c r="J909" s="17"/>
      <c r="K909" s="10"/>
      <c r="L909" s="10"/>
      <c r="M909" s="10"/>
      <c r="N909" s="10"/>
      <c r="O909" s="10"/>
      <c r="P909" s="10"/>
      <c r="Q909" s="10"/>
      <c r="R909" s="2"/>
      <c r="S909" s="273"/>
      <c r="T909" s="273"/>
      <c r="U909" s="273"/>
      <c r="V909" s="9"/>
      <c r="W909" s="273"/>
      <c r="X909" s="273"/>
      <c r="Y909" s="9"/>
      <c r="Z909" s="273"/>
      <c r="AA909" s="273"/>
      <c r="AB909" s="9"/>
      <c r="AC909" s="273"/>
      <c r="AD909" s="273"/>
      <c r="AE909" s="9"/>
      <c r="AF909" s="273"/>
      <c r="AG909" s="273"/>
      <c r="AH909" s="9"/>
      <c r="AI909" s="273"/>
      <c r="AJ909" s="273"/>
      <c r="AK909" s="9"/>
      <c r="AL909" s="273"/>
      <c r="AM909" s="273"/>
      <c r="AN909" s="9"/>
      <c r="AO909" s="273"/>
      <c r="AP909" s="273"/>
      <c r="AQ909" s="9"/>
      <c r="AR909" s="273"/>
      <c r="AS909" s="39"/>
    </row>
    <row r="910" spans="1:45" ht="12.75">
      <c r="A910" s="160"/>
      <c r="B910" s="273"/>
      <c r="C910" s="273"/>
      <c r="D910" s="273"/>
      <c r="E910" s="273"/>
      <c r="F910" s="273"/>
      <c r="G910" s="273"/>
      <c r="H910" s="273"/>
      <c r="I910" s="2"/>
      <c r="J910" s="17"/>
      <c r="K910" s="10"/>
      <c r="L910" s="10"/>
      <c r="M910" s="10"/>
      <c r="N910" s="10"/>
      <c r="O910" s="10"/>
      <c r="P910" s="10"/>
      <c r="Q910" s="10"/>
      <c r="R910" s="2"/>
      <c r="S910" s="273"/>
      <c r="T910" s="273"/>
      <c r="U910" s="273"/>
      <c r="V910" s="9"/>
      <c r="W910" s="273"/>
      <c r="X910" s="273"/>
      <c r="Y910" s="9"/>
      <c r="Z910" s="273"/>
      <c r="AA910" s="273"/>
      <c r="AB910" s="9"/>
      <c r="AC910" s="273"/>
      <c r="AD910" s="273"/>
      <c r="AE910" s="9"/>
      <c r="AF910" s="273"/>
      <c r="AG910" s="273"/>
      <c r="AH910" s="9"/>
      <c r="AI910" s="273"/>
      <c r="AJ910" s="273"/>
      <c r="AK910" s="9"/>
      <c r="AL910" s="273"/>
      <c r="AM910" s="273"/>
      <c r="AN910" s="9"/>
      <c r="AO910" s="273"/>
      <c r="AP910" s="273"/>
      <c r="AQ910" s="9"/>
      <c r="AR910" s="273"/>
      <c r="AS910" s="39"/>
    </row>
    <row r="911" spans="1:45" ht="12.75">
      <c r="A911" s="160"/>
      <c r="B911" s="273"/>
      <c r="C911" s="273"/>
      <c r="D911" s="273"/>
      <c r="E911" s="273"/>
      <c r="F911" s="273"/>
      <c r="G911" s="273"/>
      <c r="H911" s="273"/>
      <c r="I911" s="2"/>
      <c r="J911" s="17"/>
      <c r="K911" s="10"/>
      <c r="L911" s="10"/>
      <c r="M911" s="10"/>
      <c r="N911" s="10"/>
      <c r="O911" s="10"/>
      <c r="P911" s="10"/>
      <c r="Q911" s="10"/>
      <c r="R911" s="2"/>
      <c r="S911" s="273"/>
      <c r="T911" s="273"/>
      <c r="U911" s="273"/>
      <c r="V911" s="9"/>
      <c r="W911" s="273"/>
      <c r="X911" s="273"/>
      <c r="Y911" s="9"/>
      <c r="Z911" s="273"/>
      <c r="AA911" s="273"/>
      <c r="AB911" s="9"/>
      <c r="AC911" s="273"/>
      <c r="AD911" s="273"/>
      <c r="AE911" s="9"/>
      <c r="AF911" s="273"/>
      <c r="AG911" s="273"/>
      <c r="AH911" s="9"/>
      <c r="AI911" s="273"/>
      <c r="AJ911" s="273"/>
      <c r="AK911" s="9"/>
      <c r="AL911" s="273"/>
      <c r="AM911" s="273"/>
      <c r="AN911" s="9"/>
      <c r="AO911" s="273"/>
      <c r="AP911" s="273"/>
      <c r="AQ911" s="9"/>
      <c r="AR911" s="273"/>
      <c r="AS911" s="39"/>
    </row>
    <row r="912" spans="1:45" ht="12.75">
      <c r="A912" s="160"/>
      <c r="B912" s="273"/>
      <c r="C912" s="273"/>
      <c r="D912" s="273"/>
      <c r="E912" s="273"/>
      <c r="F912" s="273"/>
      <c r="G912" s="273"/>
      <c r="H912" s="273"/>
      <c r="I912" s="2"/>
      <c r="J912" s="17"/>
      <c r="K912" s="10"/>
      <c r="L912" s="10"/>
      <c r="M912" s="10"/>
      <c r="N912" s="10"/>
      <c r="O912" s="10"/>
      <c r="P912" s="10"/>
      <c r="Q912" s="10"/>
      <c r="R912" s="2"/>
      <c r="S912" s="273"/>
      <c r="T912" s="273"/>
      <c r="U912" s="273"/>
      <c r="V912" s="9"/>
      <c r="W912" s="273"/>
      <c r="X912" s="273"/>
      <c r="Y912" s="9"/>
      <c r="Z912" s="273"/>
      <c r="AA912" s="273"/>
      <c r="AB912" s="9"/>
      <c r="AC912" s="273"/>
      <c r="AD912" s="273"/>
      <c r="AE912" s="9"/>
      <c r="AF912" s="273"/>
      <c r="AG912" s="273"/>
      <c r="AH912" s="9"/>
      <c r="AI912" s="273"/>
      <c r="AJ912" s="273"/>
      <c r="AK912" s="9"/>
      <c r="AL912" s="273"/>
      <c r="AM912" s="273"/>
      <c r="AN912" s="9"/>
      <c r="AO912" s="273"/>
      <c r="AP912" s="273"/>
      <c r="AQ912" s="9"/>
      <c r="AR912" s="273"/>
      <c r="AS912" s="39"/>
    </row>
    <row r="913" spans="1:45" ht="12.75">
      <c r="A913" s="160"/>
      <c r="B913" s="273"/>
      <c r="C913" s="273"/>
      <c r="D913" s="273"/>
      <c r="E913" s="273"/>
      <c r="F913" s="273"/>
      <c r="G913" s="273"/>
      <c r="H913" s="273"/>
      <c r="I913" s="2"/>
      <c r="J913" s="17"/>
      <c r="K913" s="10"/>
      <c r="L913" s="10"/>
      <c r="M913" s="10"/>
      <c r="N913" s="10"/>
      <c r="O913" s="10"/>
      <c r="P913" s="10"/>
      <c r="Q913" s="10"/>
      <c r="R913" s="2"/>
      <c r="S913" s="273"/>
      <c r="T913" s="273"/>
      <c r="U913" s="273"/>
      <c r="V913" s="9"/>
      <c r="W913" s="273"/>
      <c r="X913" s="273"/>
      <c r="Y913" s="9"/>
      <c r="Z913" s="273"/>
      <c r="AA913" s="273"/>
      <c r="AB913" s="9"/>
      <c r="AC913" s="273"/>
      <c r="AD913" s="273"/>
      <c r="AE913" s="9"/>
      <c r="AF913" s="273"/>
      <c r="AG913" s="273"/>
      <c r="AH913" s="9"/>
      <c r="AI913" s="273"/>
      <c r="AJ913" s="273"/>
      <c r="AK913" s="9"/>
      <c r="AL913" s="273"/>
      <c r="AM913" s="273"/>
      <c r="AN913" s="9"/>
      <c r="AO913" s="273"/>
      <c r="AP913" s="273"/>
      <c r="AQ913" s="9"/>
      <c r="AR913" s="273"/>
      <c r="AS913" s="39"/>
    </row>
    <row r="914" spans="1:45" ht="12.75">
      <c r="A914" s="160"/>
      <c r="B914" s="273"/>
      <c r="C914" s="273"/>
      <c r="D914" s="273"/>
      <c r="E914" s="273"/>
      <c r="F914" s="273"/>
      <c r="G914" s="273"/>
      <c r="H914" s="273"/>
      <c r="I914" s="2"/>
      <c r="J914" s="17"/>
      <c r="K914" s="10"/>
      <c r="L914" s="10"/>
      <c r="M914" s="10"/>
      <c r="N914" s="10"/>
      <c r="O914" s="10"/>
      <c r="P914" s="10"/>
      <c r="Q914" s="10"/>
      <c r="R914" s="2"/>
      <c r="S914" s="273"/>
      <c r="T914" s="273"/>
      <c r="U914" s="273"/>
      <c r="V914" s="9"/>
      <c r="W914" s="273"/>
      <c r="X914" s="273"/>
      <c r="Y914" s="9"/>
      <c r="Z914" s="273"/>
      <c r="AA914" s="273"/>
      <c r="AB914" s="9"/>
      <c r="AC914" s="273"/>
      <c r="AD914" s="273"/>
      <c r="AE914" s="9"/>
      <c r="AF914" s="273"/>
      <c r="AG914" s="273"/>
      <c r="AH914" s="9"/>
      <c r="AI914" s="273"/>
      <c r="AJ914" s="273"/>
      <c r="AK914" s="9"/>
      <c r="AL914" s="273"/>
      <c r="AM914" s="273"/>
      <c r="AN914" s="9"/>
      <c r="AO914" s="273"/>
      <c r="AP914" s="273"/>
      <c r="AQ914" s="9"/>
      <c r="AR914" s="273"/>
      <c r="AS914" s="39"/>
    </row>
    <row r="915" spans="1:45" ht="12.75">
      <c r="A915" s="160"/>
      <c r="B915" s="273"/>
      <c r="C915" s="273"/>
      <c r="D915" s="273"/>
      <c r="E915" s="273"/>
      <c r="F915" s="273"/>
      <c r="G915" s="273"/>
      <c r="H915" s="273"/>
      <c r="I915" s="2"/>
      <c r="J915" s="17"/>
      <c r="K915" s="10"/>
      <c r="L915" s="10"/>
      <c r="M915" s="10"/>
      <c r="N915" s="10"/>
      <c r="O915" s="10"/>
      <c r="P915" s="10"/>
      <c r="Q915" s="10"/>
      <c r="R915" s="2"/>
      <c r="S915" s="273"/>
      <c r="T915" s="273"/>
      <c r="U915" s="273"/>
      <c r="V915" s="9"/>
      <c r="W915" s="273"/>
      <c r="X915" s="273"/>
      <c r="Y915" s="9"/>
      <c r="Z915" s="273"/>
      <c r="AA915" s="273"/>
      <c r="AB915" s="9"/>
      <c r="AC915" s="273"/>
      <c r="AD915" s="273"/>
      <c r="AE915" s="9"/>
      <c r="AF915" s="273"/>
      <c r="AG915" s="273"/>
      <c r="AH915" s="9"/>
      <c r="AI915" s="273"/>
      <c r="AJ915" s="273"/>
      <c r="AK915" s="9"/>
      <c r="AL915" s="273"/>
      <c r="AM915" s="273"/>
      <c r="AN915" s="9"/>
      <c r="AO915" s="273"/>
      <c r="AP915" s="273"/>
      <c r="AQ915" s="9"/>
      <c r="AR915" s="273"/>
      <c r="AS915" s="39"/>
    </row>
    <row r="916" spans="1:45" ht="12.75">
      <c r="A916" s="160"/>
      <c r="B916" s="273"/>
      <c r="C916" s="273"/>
      <c r="D916" s="273"/>
      <c r="E916" s="273"/>
      <c r="F916" s="273"/>
      <c r="G916" s="273"/>
      <c r="H916" s="273"/>
      <c r="I916" s="2"/>
      <c r="J916" s="17"/>
      <c r="K916" s="10"/>
      <c r="L916" s="10"/>
      <c r="M916" s="10"/>
      <c r="N916" s="10"/>
      <c r="O916" s="10"/>
      <c r="P916" s="10"/>
      <c r="Q916" s="10"/>
      <c r="R916" s="2"/>
      <c r="S916" s="273"/>
      <c r="T916" s="273"/>
      <c r="U916" s="273"/>
      <c r="V916" s="9"/>
      <c r="W916" s="273"/>
      <c r="X916" s="273"/>
      <c r="Y916" s="9"/>
      <c r="Z916" s="273"/>
      <c r="AA916" s="273"/>
      <c r="AB916" s="9"/>
      <c r="AC916" s="273"/>
      <c r="AD916" s="273"/>
      <c r="AE916" s="9"/>
      <c r="AF916" s="273"/>
      <c r="AG916" s="273"/>
      <c r="AH916" s="9"/>
      <c r="AI916" s="273"/>
      <c r="AJ916" s="273"/>
      <c r="AK916" s="9"/>
      <c r="AL916" s="273"/>
      <c r="AM916" s="273"/>
      <c r="AN916" s="9"/>
      <c r="AO916" s="273"/>
      <c r="AP916" s="273"/>
      <c r="AQ916" s="9"/>
      <c r="AR916" s="273"/>
      <c r="AS916" s="39"/>
    </row>
    <row r="917" spans="1:45" ht="12.75">
      <c r="A917" s="160"/>
      <c r="B917" s="273"/>
      <c r="C917" s="273"/>
      <c r="D917" s="273"/>
      <c r="E917" s="273"/>
      <c r="F917" s="273"/>
      <c r="G917" s="273"/>
      <c r="H917" s="273"/>
      <c r="I917" s="2"/>
      <c r="J917" s="17"/>
      <c r="K917" s="10"/>
      <c r="L917" s="10"/>
      <c r="M917" s="10"/>
      <c r="N917" s="10"/>
      <c r="O917" s="10"/>
      <c r="P917" s="10"/>
      <c r="Q917" s="10"/>
      <c r="R917" s="2"/>
      <c r="S917" s="273"/>
      <c r="T917" s="273"/>
      <c r="U917" s="273"/>
      <c r="V917" s="9"/>
      <c r="W917" s="273"/>
      <c r="X917" s="273"/>
      <c r="Y917" s="9"/>
      <c r="Z917" s="273"/>
      <c r="AA917" s="273"/>
      <c r="AB917" s="9"/>
      <c r="AC917" s="273"/>
      <c r="AD917" s="273"/>
      <c r="AE917" s="9"/>
      <c r="AF917" s="273"/>
      <c r="AG917" s="273"/>
      <c r="AH917" s="9"/>
      <c r="AI917" s="273"/>
      <c r="AJ917" s="273"/>
      <c r="AK917" s="9"/>
      <c r="AL917" s="273"/>
      <c r="AM917" s="273"/>
      <c r="AN917" s="9"/>
      <c r="AO917" s="273"/>
      <c r="AP917" s="273"/>
      <c r="AQ917" s="9"/>
      <c r="AR917" s="273"/>
      <c r="AS917" s="39"/>
    </row>
    <row r="918" spans="1:45" ht="12.75">
      <c r="A918" s="160"/>
      <c r="B918" s="273"/>
      <c r="C918" s="273"/>
      <c r="D918" s="273"/>
      <c r="E918" s="273"/>
      <c r="F918" s="273"/>
      <c r="G918" s="273"/>
      <c r="H918" s="273"/>
      <c r="I918" s="2"/>
      <c r="J918" s="17"/>
      <c r="K918" s="10"/>
      <c r="L918" s="10"/>
      <c r="M918" s="10"/>
      <c r="N918" s="10"/>
      <c r="O918" s="10"/>
      <c r="P918" s="10"/>
      <c r="Q918" s="10"/>
      <c r="R918" s="2"/>
      <c r="S918" s="273"/>
      <c r="T918" s="273"/>
      <c r="U918" s="273"/>
      <c r="V918" s="9"/>
      <c r="W918" s="273"/>
      <c r="X918" s="273"/>
      <c r="Y918" s="9"/>
      <c r="Z918" s="273"/>
      <c r="AA918" s="273"/>
      <c r="AB918" s="9"/>
      <c r="AC918" s="273"/>
      <c r="AD918" s="273"/>
      <c r="AE918" s="9"/>
      <c r="AF918" s="273"/>
      <c r="AG918" s="273"/>
      <c r="AH918" s="9"/>
      <c r="AI918" s="273"/>
      <c r="AJ918" s="273"/>
      <c r="AK918" s="9"/>
      <c r="AL918" s="273"/>
      <c r="AM918" s="273"/>
      <c r="AN918" s="9"/>
      <c r="AO918" s="273"/>
      <c r="AP918" s="273"/>
      <c r="AQ918" s="9"/>
      <c r="AR918" s="273"/>
      <c r="AS918" s="39"/>
    </row>
    <row r="919" spans="1:45" ht="12.75">
      <c r="A919" s="160"/>
      <c r="B919" s="273"/>
      <c r="C919" s="273"/>
      <c r="D919" s="273"/>
      <c r="E919" s="273"/>
      <c r="F919" s="273"/>
      <c r="G919" s="273"/>
      <c r="H919" s="273"/>
      <c r="I919" s="2"/>
      <c r="J919" s="17"/>
      <c r="K919" s="10"/>
      <c r="L919" s="10"/>
      <c r="M919" s="10"/>
      <c r="N919" s="10"/>
      <c r="O919" s="10"/>
      <c r="P919" s="10"/>
      <c r="Q919" s="10"/>
      <c r="R919" s="2"/>
      <c r="S919" s="273"/>
      <c r="T919" s="273"/>
      <c r="U919" s="273"/>
      <c r="V919" s="9"/>
      <c r="W919" s="273"/>
      <c r="X919" s="273"/>
      <c r="Y919" s="9"/>
      <c r="Z919" s="273"/>
      <c r="AA919" s="273"/>
      <c r="AB919" s="9"/>
      <c r="AC919" s="273"/>
      <c r="AD919" s="273"/>
      <c r="AE919" s="9"/>
      <c r="AF919" s="273"/>
      <c r="AG919" s="273"/>
      <c r="AH919" s="9"/>
      <c r="AI919" s="273"/>
      <c r="AJ919" s="273"/>
      <c r="AK919" s="9"/>
      <c r="AL919" s="273"/>
      <c r="AM919" s="273"/>
      <c r="AN919" s="9"/>
      <c r="AO919" s="273"/>
      <c r="AP919" s="273"/>
      <c r="AQ919" s="9"/>
      <c r="AR919" s="273"/>
      <c r="AS919" s="39"/>
    </row>
    <row r="920" spans="1:45" ht="12.75">
      <c r="A920" s="160"/>
      <c r="B920" s="273"/>
      <c r="C920" s="273"/>
      <c r="D920" s="273"/>
      <c r="E920" s="273"/>
      <c r="F920" s="273"/>
      <c r="G920" s="273"/>
      <c r="H920" s="273"/>
      <c r="I920" s="2"/>
      <c r="J920" s="17"/>
      <c r="K920" s="10"/>
      <c r="L920" s="10"/>
      <c r="M920" s="10"/>
      <c r="N920" s="10"/>
      <c r="O920" s="10"/>
      <c r="P920" s="10"/>
      <c r="Q920" s="10"/>
      <c r="R920" s="2"/>
      <c r="S920" s="273"/>
      <c r="T920" s="273"/>
      <c r="U920" s="273"/>
      <c r="V920" s="9"/>
      <c r="W920" s="273"/>
      <c r="X920" s="273"/>
      <c r="Y920" s="9"/>
      <c r="Z920" s="273"/>
      <c r="AA920" s="273"/>
      <c r="AB920" s="9"/>
      <c r="AC920" s="273"/>
      <c r="AD920" s="273"/>
      <c r="AE920" s="9"/>
      <c r="AF920" s="273"/>
      <c r="AG920" s="273"/>
      <c r="AH920" s="9"/>
      <c r="AI920" s="273"/>
      <c r="AJ920" s="273"/>
      <c r="AK920" s="9"/>
      <c r="AL920" s="273"/>
      <c r="AM920" s="273"/>
      <c r="AN920" s="9"/>
      <c r="AO920" s="273"/>
      <c r="AP920" s="273"/>
      <c r="AQ920" s="9"/>
      <c r="AR920" s="273"/>
      <c r="AS920" s="39"/>
    </row>
    <row r="921" spans="1:45" ht="12.75">
      <c r="A921" s="160"/>
      <c r="B921" s="273"/>
      <c r="C921" s="273"/>
      <c r="D921" s="273"/>
      <c r="E921" s="273"/>
      <c r="F921" s="273"/>
      <c r="G921" s="273"/>
      <c r="H921" s="273"/>
      <c r="I921" s="2"/>
      <c r="J921" s="17"/>
      <c r="K921" s="10"/>
      <c r="L921" s="10"/>
      <c r="M921" s="10"/>
      <c r="N921" s="10"/>
      <c r="O921" s="10"/>
      <c r="P921" s="10"/>
      <c r="Q921" s="10"/>
      <c r="R921" s="2"/>
      <c r="S921" s="273"/>
      <c r="T921" s="273"/>
      <c r="U921" s="273"/>
      <c r="V921" s="9"/>
      <c r="W921" s="273"/>
      <c r="X921" s="273"/>
      <c r="Y921" s="9"/>
      <c r="Z921" s="273"/>
      <c r="AA921" s="273"/>
      <c r="AB921" s="9"/>
      <c r="AC921" s="273"/>
      <c r="AD921" s="273"/>
      <c r="AE921" s="9"/>
      <c r="AF921" s="273"/>
      <c r="AG921" s="273"/>
      <c r="AH921" s="9"/>
      <c r="AI921" s="273"/>
      <c r="AJ921" s="273"/>
      <c r="AK921" s="9"/>
      <c r="AL921" s="273"/>
      <c r="AM921" s="273"/>
      <c r="AN921" s="9"/>
      <c r="AO921" s="273"/>
      <c r="AP921" s="273"/>
      <c r="AQ921" s="9"/>
      <c r="AR921" s="273"/>
      <c r="AS921" s="39"/>
    </row>
    <row r="922" spans="1:45" ht="12.75">
      <c r="A922" s="160"/>
      <c r="B922" s="273"/>
      <c r="C922" s="273"/>
      <c r="D922" s="273"/>
      <c r="E922" s="273"/>
      <c r="F922" s="273"/>
      <c r="G922" s="273"/>
      <c r="H922" s="273"/>
      <c r="I922" s="2"/>
      <c r="J922" s="17"/>
      <c r="K922" s="10"/>
      <c r="L922" s="10"/>
      <c r="M922" s="10"/>
      <c r="N922" s="10"/>
      <c r="O922" s="10"/>
      <c r="P922" s="10"/>
      <c r="Q922" s="10"/>
      <c r="R922" s="2"/>
      <c r="S922" s="273"/>
      <c r="T922" s="273"/>
      <c r="U922" s="273"/>
      <c r="V922" s="9"/>
      <c r="W922" s="273"/>
      <c r="X922" s="273"/>
      <c r="Y922" s="9"/>
      <c r="Z922" s="273"/>
      <c r="AA922" s="273"/>
      <c r="AB922" s="9"/>
      <c r="AC922" s="273"/>
      <c r="AD922" s="273"/>
      <c r="AE922" s="9"/>
      <c r="AF922" s="273"/>
      <c r="AG922" s="273"/>
      <c r="AH922" s="9"/>
      <c r="AI922" s="273"/>
      <c r="AJ922" s="273"/>
      <c r="AK922" s="9"/>
      <c r="AL922" s="273"/>
      <c r="AM922" s="273"/>
      <c r="AN922" s="9"/>
      <c r="AO922" s="273"/>
      <c r="AP922" s="273"/>
      <c r="AQ922" s="9"/>
      <c r="AR922" s="273"/>
      <c r="AS922" s="39"/>
    </row>
    <row r="923" spans="1:45" ht="12.75">
      <c r="A923" s="160"/>
      <c r="B923" s="273"/>
      <c r="C923" s="273"/>
      <c r="D923" s="273"/>
      <c r="E923" s="273"/>
      <c r="F923" s="273"/>
      <c r="G923" s="273"/>
      <c r="H923" s="273"/>
      <c r="I923" s="2"/>
      <c r="J923" s="17"/>
      <c r="K923" s="10"/>
      <c r="L923" s="10"/>
      <c r="M923" s="10"/>
      <c r="N923" s="10"/>
      <c r="O923" s="10"/>
      <c r="P923" s="10"/>
      <c r="Q923" s="10"/>
      <c r="R923" s="2"/>
      <c r="S923" s="273"/>
      <c r="T923" s="273"/>
      <c r="U923" s="273"/>
      <c r="V923" s="9"/>
      <c r="W923" s="273"/>
      <c r="X923" s="273"/>
      <c r="Y923" s="9"/>
      <c r="Z923" s="273"/>
      <c r="AA923" s="273"/>
      <c r="AB923" s="9"/>
      <c r="AC923" s="273"/>
      <c r="AD923" s="273"/>
      <c r="AE923" s="9"/>
      <c r="AF923" s="273"/>
      <c r="AG923" s="273"/>
      <c r="AH923" s="9"/>
      <c r="AI923" s="273"/>
      <c r="AJ923" s="273"/>
      <c r="AK923" s="9"/>
      <c r="AL923" s="273"/>
      <c r="AM923" s="273"/>
      <c r="AN923" s="9"/>
      <c r="AO923" s="273"/>
      <c r="AP923" s="273"/>
      <c r="AQ923" s="9"/>
      <c r="AR923" s="273"/>
      <c r="AS923" s="39"/>
    </row>
    <row r="924" spans="1:45" ht="12.75">
      <c r="A924" s="160"/>
      <c r="B924" s="273"/>
      <c r="C924" s="273"/>
      <c r="D924" s="273"/>
      <c r="E924" s="273"/>
      <c r="F924" s="273"/>
      <c r="G924" s="273"/>
      <c r="H924" s="273"/>
      <c r="I924" s="2"/>
      <c r="J924" s="17"/>
      <c r="K924" s="10"/>
      <c r="L924" s="10"/>
      <c r="M924" s="10"/>
      <c r="N924" s="10"/>
      <c r="O924" s="10"/>
      <c r="P924" s="10"/>
      <c r="Q924" s="10"/>
      <c r="R924" s="2"/>
      <c r="S924" s="273"/>
      <c r="T924" s="273"/>
      <c r="U924" s="273"/>
      <c r="V924" s="9"/>
      <c r="W924" s="273"/>
      <c r="X924" s="273"/>
      <c r="Y924" s="9"/>
      <c r="Z924" s="273"/>
      <c r="AA924" s="273"/>
      <c r="AB924" s="9"/>
      <c r="AC924" s="273"/>
      <c r="AD924" s="273"/>
      <c r="AE924" s="9"/>
      <c r="AF924" s="273"/>
      <c r="AG924" s="273"/>
      <c r="AH924" s="9"/>
      <c r="AI924" s="273"/>
      <c r="AJ924" s="273"/>
      <c r="AK924" s="9"/>
      <c r="AL924" s="273"/>
      <c r="AM924" s="273"/>
      <c r="AN924" s="9"/>
      <c r="AO924" s="273"/>
      <c r="AP924" s="273"/>
      <c r="AQ924" s="9"/>
      <c r="AR924" s="273"/>
      <c r="AS924" s="39"/>
    </row>
    <row r="925" spans="1:45" ht="12.75">
      <c r="A925" s="160"/>
      <c r="B925" s="273"/>
      <c r="C925" s="273"/>
      <c r="D925" s="273"/>
      <c r="E925" s="273"/>
      <c r="F925" s="273"/>
      <c r="G925" s="273"/>
      <c r="H925" s="273"/>
      <c r="I925" s="2"/>
      <c r="J925" s="17"/>
      <c r="K925" s="10"/>
      <c r="L925" s="10"/>
      <c r="M925" s="10"/>
      <c r="N925" s="10"/>
      <c r="O925" s="10"/>
      <c r="P925" s="10"/>
      <c r="Q925" s="10"/>
      <c r="R925" s="2"/>
      <c r="S925" s="273"/>
      <c r="T925" s="273"/>
      <c r="U925" s="273"/>
      <c r="V925" s="9"/>
      <c r="W925" s="273"/>
      <c r="X925" s="273"/>
      <c r="Y925" s="9"/>
      <c r="Z925" s="273"/>
      <c r="AA925" s="273"/>
      <c r="AB925" s="9"/>
      <c r="AC925" s="273"/>
      <c r="AD925" s="273"/>
      <c r="AE925" s="9"/>
      <c r="AF925" s="273"/>
      <c r="AG925" s="273"/>
      <c r="AH925" s="9"/>
      <c r="AI925" s="273"/>
      <c r="AJ925" s="273"/>
      <c r="AK925" s="9"/>
      <c r="AL925" s="273"/>
      <c r="AM925" s="273"/>
      <c r="AN925" s="9"/>
      <c r="AO925" s="273"/>
      <c r="AP925" s="273"/>
      <c r="AQ925" s="9"/>
      <c r="AR925" s="273"/>
      <c r="AS925" s="39"/>
    </row>
    <row r="926" spans="1:45" ht="12.75">
      <c r="A926" s="160"/>
      <c r="B926" s="273"/>
      <c r="C926" s="273"/>
      <c r="D926" s="273"/>
      <c r="E926" s="273"/>
      <c r="F926" s="273"/>
      <c r="G926" s="273"/>
      <c r="H926" s="273"/>
      <c r="I926" s="2"/>
      <c r="J926" s="17"/>
      <c r="K926" s="10"/>
      <c r="L926" s="10"/>
      <c r="M926" s="10"/>
      <c r="N926" s="10"/>
      <c r="O926" s="10"/>
      <c r="P926" s="10"/>
      <c r="Q926" s="10"/>
      <c r="R926" s="2"/>
      <c r="S926" s="273"/>
      <c r="T926" s="273"/>
      <c r="U926" s="273"/>
      <c r="V926" s="9"/>
      <c r="W926" s="273"/>
      <c r="X926" s="273"/>
      <c r="Y926" s="9"/>
      <c r="Z926" s="273"/>
      <c r="AA926" s="273"/>
      <c r="AB926" s="9"/>
      <c r="AC926" s="273"/>
      <c r="AD926" s="273"/>
      <c r="AE926" s="9"/>
      <c r="AF926" s="273"/>
      <c r="AG926" s="273"/>
      <c r="AH926" s="9"/>
      <c r="AI926" s="273"/>
      <c r="AJ926" s="273"/>
      <c r="AK926" s="9"/>
      <c r="AL926" s="273"/>
      <c r="AM926" s="273"/>
      <c r="AN926" s="9"/>
      <c r="AO926" s="273"/>
      <c r="AP926" s="273"/>
      <c r="AQ926" s="9"/>
      <c r="AR926" s="273"/>
      <c r="AS926" s="39"/>
    </row>
    <row r="927" spans="1:45" ht="12.75">
      <c r="A927" s="160"/>
      <c r="B927" s="273"/>
      <c r="C927" s="273"/>
      <c r="D927" s="273"/>
      <c r="E927" s="273"/>
      <c r="F927" s="273"/>
      <c r="G927" s="273"/>
      <c r="H927" s="273"/>
      <c r="I927" s="2"/>
      <c r="J927" s="17"/>
      <c r="K927" s="10"/>
      <c r="L927" s="10"/>
      <c r="M927" s="10"/>
      <c r="N927" s="10"/>
      <c r="O927" s="10"/>
      <c r="P927" s="10"/>
      <c r="Q927" s="10"/>
      <c r="R927" s="2"/>
      <c r="S927" s="273"/>
      <c r="T927" s="273"/>
      <c r="U927" s="273"/>
      <c r="V927" s="9"/>
      <c r="W927" s="273"/>
      <c r="X927" s="273"/>
      <c r="Y927" s="9"/>
      <c r="Z927" s="273"/>
      <c r="AA927" s="273"/>
      <c r="AB927" s="9"/>
      <c r="AC927" s="273"/>
      <c r="AD927" s="273"/>
      <c r="AE927" s="9"/>
      <c r="AF927" s="273"/>
      <c r="AG927" s="273"/>
      <c r="AH927" s="9"/>
      <c r="AI927" s="273"/>
      <c r="AJ927" s="273"/>
      <c r="AK927" s="9"/>
      <c r="AL927" s="273"/>
      <c r="AM927" s="273"/>
      <c r="AN927" s="9"/>
      <c r="AO927" s="273"/>
      <c r="AP927" s="273"/>
      <c r="AQ927" s="9"/>
      <c r="AR927" s="273"/>
      <c r="AS927" s="39"/>
    </row>
    <row r="928" spans="1:45" ht="12.75">
      <c r="A928" s="160"/>
      <c r="B928" s="273"/>
      <c r="C928" s="273"/>
      <c r="D928" s="273"/>
      <c r="E928" s="273"/>
      <c r="F928" s="273"/>
      <c r="G928" s="273"/>
      <c r="H928" s="273"/>
      <c r="I928" s="2"/>
      <c r="J928" s="17"/>
      <c r="K928" s="10"/>
      <c r="L928" s="10"/>
      <c r="M928" s="10"/>
      <c r="N928" s="10"/>
      <c r="O928" s="10"/>
      <c r="P928" s="10"/>
      <c r="Q928" s="10"/>
      <c r="R928" s="2"/>
      <c r="S928" s="273"/>
      <c r="T928" s="273"/>
      <c r="U928" s="273"/>
      <c r="V928" s="9"/>
      <c r="W928" s="273"/>
      <c r="X928" s="273"/>
      <c r="Y928" s="9"/>
      <c r="Z928" s="273"/>
      <c r="AA928" s="273"/>
      <c r="AB928" s="9"/>
      <c r="AC928" s="273"/>
      <c r="AD928" s="273"/>
      <c r="AE928" s="9"/>
      <c r="AF928" s="273"/>
      <c r="AG928" s="273"/>
      <c r="AH928" s="9"/>
      <c r="AI928" s="273"/>
      <c r="AJ928" s="273"/>
      <c r="AK928" s="9"/>
      <c r="AL928" s="273"/>
      <c r="AM928" s="273"/>
      <c r="AN928" s="9"/>
      <c r="AO928" s="273"/>
      <c r="AP928" s="273"/>
      <c r="AQ928" s="9"/>
      <c r="AR928" s="273"/>
      <c r="AS928" s="39"/>
    </row>
    <row r="929" spans="1:45" ht="12.75">
      <c r="A929" s="160"/>
      <c r="B929" s="273"/>
      <c r="C929" s="273"/>
      <c r="D929" s="273"/>
      <c r="E929" s="273"/>
      <c r="F929" s="273"/>
      <c r="G929" s="273"/>
      <c r="H929" s="273"/>
      <c r="I929" s="2"/>
      <c r="J929" s="17"/>
      <c r="K929" s="10"/>
      <c r="L929" s="10"/>
      <c r="M929" s="10"/>
      <c r="N929" s="10"/>
      <c r="O929" s="10"/>
      <c r="P929" s="10"/>
      <c r="Q929" s="10"/>
      <c r="R929" s="2"/>
      <c r="S929" s="273"/>
      <c r="T929" s="273"/>
      <c r="U929" s="273"/>
      <c r="V929" s="9"/>
      <c r="W929" s="273"/>
      <c r="X929" s="273"/>
      <c r="Y929" s="9"/>
      <c r="Z929" s="273"/>
      <c r="AA929" s="273"/>
      <c r="AB929" s="9"/>
      <c r="AC929" s="273"/>
      <c r="AD929" s="273"/>
      <c r="AE929" s="9"/>
      <c r="AF929" s="273"/>
      <c r="AG929" s="273"/>
      <c r="AH929" s="9"/>
      <c r="AI929" s="273"/>
      <c r="AJ929" s="273"/>
      <c r="AK929" s="9"/>
      <c r="AL929" s="273"/>
      <c r="AM929" s="273"/>
      <c r="AN929" s="9"/>
      <c r="AO929" s="273"/>
      <c r="AP929" s="273"/>
      <c r="AQ929" s="9"/>
      <c r="AR929" s="273"/>
      <c r="AS929" s="39"/>
    </row>
    <row r="930" spans="1:45" ht="12.75">
      <c r="A930" s="160"/>
      <c r="B930" s="273"/>
      <c r="C930" s="273"/>
      <c r="D930" s="273"/>
      <c r="E930" s="273"/>
      <c r="F930" s="273"/>
      <c r="G930" s="273"/>
      <c r="H930" s="273"/>
      <c r="I930" s="2"/>
      <c r="J930" s="17"/>
      <c r="K930" s="10"/>
      <c r="L930" s="10"/>
      <c r="M930" s="10"/>
      <c r="N930" s="10"/>
      <c r="O930" s="10"/>
      <c r="P930" s="10"/>
      <c r="Q930" s="10"/>
      <c r="R930" s="2"/>
      <c r="S930" s="273"/>
      <c r="T930" s="273"/>
      <c r="U930" s="273"/>
      <c r="V930" s="9"/>
      <c r="W930" s="273"/>
      <c r="X930" s="273"/>
      <c r="Y930" s="9"/>
      <c r="Z930" s="273"/>
      <c r="AA930" s="273"/>
      <c r="AB930" s="9"/>
      <c r="AC930" s="273"/>
      <c r="AD930" s="273"/>
      <c r="AE930" s="9"/>
      <c r="AF930" s="273"/>
      <c r="AG930" s="273"/>
      <c r="AH930" s="9"/>
      <c r="AI930" s="273"/>
      <c r="AJ930" s="273"/>
      <c r="AK930" s="9"/>
      <c r="AL930" s="273"/>
      <c r="AM930" s="273"/>
      <c r="AN930" s="9"/>
      <c r="AO930" s="273"/>
      <c r="AP930" s="273"/>
      <c r="AQ930" s="9"/>
      <c r="AR930" s="273"/>
      <c r="AS930" s="39"/>
    </row>
    <row r="931" spans="1:45" ht="12.75">
      <c r="A931" s="160"/>
      <c r="B931" s="273"/>
      <c r="C931" s="273"/>
      <c r="D931" s="273"/>
      <c r="E931" s="273"/>
      <c r="F931" s="273"/>
      <c r="G931" s="273"/>
      <c r="H931" s="273"/>
      <c r="I931" s="2"/>
      <c r="J931" s="17"/>
      <c r="K931" s="10"/>
      <c r="L931" s="10"/>
      <c r="M931" s="10"/>
      <c r="N931" s="10"/>
      <c r="O931" s="10"/>
      <c r="P931" s="10"/>
      <c r="Q931" s="10"/>
      <c r="R931" s="2"/>
      <c r="S931" s="273"/>
      <c r="T931" s="273"/>
      <c r="U931" s="273"/>
      <c r="V931" s="9"/>
      <c r="W931" s="273"/>
      <c r="X931" s="273"/>
      <c r="Y931" s="9"/>
      <c r="Z931" s="273"/>
      <c r="AA931" s="273"/>
      <c r="AB931" s="9"/>
      <c r="AC931" s="273"/>
      <c r="AD931" s="273"/>
      <c r="AE931" s="9"/>
      <c r="AF931" s="273"/>
      <c r="AG931" s="273"/>
      <c r="AH931" s="9"/>
      <c r="AI931" s="273"/>
      <c r="AJ931" s="273"/>
      <c r="AK931" s="9"/>
      <c r="AL931" s="273"/>
      <c r="AM931" s="273"/>
      <c r="AN931" s="9"/>
      <c r="AO931" s="273"/>
      <c r="AP931" s="273"/>
      <c r="AQ931" s="9"/>
      <c r="AR931" s="273"/>
      <c r="AS931" s="39"/>
    </row>
    <row r="932" spans="1:45" ht="12.75">
      <c r="A932" s="160"/>
      <c r="B932" s="273"/>
      <c r="C932" s="273"/>
      <c r="D932" s="273"/>
      <c r="E932" s="273"/>
      <c r="F932" s="273"/>
      <c r="G932" s="273"/>
      <c r="H932" s="273"/>
      <c r="I932" s="2"/>
      <c r="J932" s="17"/>
      <c r="K932" s="10"/>
      <c r="L932" s="10"/>
      <c r="M932" s="10"/>
      <c r="N932" s="10"/>
      <c r="O932" s="10"/>
      <c r="P932" s="10"/>
      <c r="Q932" s="10"/>
      <c r="R932" s="2"/>
      <c r="S932" s="273"/>
      <c r="T932" s="273"/>
      <c r="U932" s="273"/>
      <c r="V932" s="9"/>
      <c r="W932" s="273"/>
      <c r="X932" s="273"/>
      <c r="Y932" s="9"/>
      <c r="Z932" s="273"/>
      <c r="AA932" s="273"/>
      <c r="AB932" s="9"/>
      <c r="AC932" s="273"/>
      <c r="AD932" s="273"/>
      <c r="AE932" s="9"/>
      <c r="AF932" s="273"/>
      <c r="AG932" s="273"/>
      <c r="AH932" s="9"/>
      <c r="AI932" s="273"/>
      <c r="AJ932" s="273"/>
      <c r="AK932" s="9"/>
      <c r="AL932" s="273"/>
      <c r="AM932" s="273"/>
      <c r="AN932" s="9"/>
      <c r="AO932" s="273"/>
      <c r="AP932" s="273"/>
      <c r="AQ932" s="9"/>
      <c r="AR932" s="273"/>
      <c r="AS932" s="39"/>
    </row>
    <row r="933" spans="1:45" ht="12.75">
      <c r="A933" s="160"/>
      <c r="B933" s="273"/>
      <c r="C933" s="273"/>
      <c r="D933" s="273"/>
      <c r="E933" s="273"/>
      <c r="F933" s="273"/>
      <c r="G933" s="273"/>
      <c r="H933" s="273"/>
      <c r="I933" s="2"/>
      <c r="J933" s="17"/>
      <c r="K933" s="10"/>
      <c r="L933" s="10"/>
      <c r="M933" s="10"/>
      <c r="N933" s="10"/>
      <c r="O933" s="10"/>
      <c r="P933" s="10"/>
      <c r="Q933" s="10"/>
      <c r="R933" s="2"/>
      <c r="S933" s="273"/>
      <c r="T933" s="273"/>
      <c r="U933" s="273"/>
      <c r="V933" s="9"/>
      <c r="W933" s="273"/>
      <c r="X933" s="273"/>
      <c r="Y933" s="9"/>
      <c r="Z933" s="273"/>
      <c r="AA933" s="273"/>
      <c r="AB933" s="9"/>
      <c r="AC933" s="273"/>
      <c r="AD933" s="273"/>
      <c r="AE933" s="9"/>
      <c r="AF933" s="273"/>
      <c r="AG933" s="273"/>
      <c r="AH933" s="9"/>
      <c r="AI933" s="273"/>
      <c r="AJ933" s="273"/>
      <c r="AK933" s="9"/>
      <c r="AL933" s="273"/>
      <c r="AM933" s="273"/>
      <c r="AN933" s="9"/>
      <c r="AO933" s="273"/>
      <c r="AP933" s="273"/>
      <c r="AQ933" s="9"/>
      <c r="AR933" s="273"/>
      <c r="AS933" s="39"/>
    </row>
    <row r="934" spans="1:45" ht="12.75">
      <c r="A934" s="160"/>
      <c r="B934" s="273"/>
      <c r="C934" s="273"/>
      <c r="D934" s="273"/>
      <c r="E934" s="273"/>
      <c r="F934" s="273"/>
      <c r="G934" s="273"/>
      <c r="H934" s="273"/>
      <c r="I934" s="2"/>
      <c r="J934" s="17"/>
      <c r="K934" s="10"/>
      <c r="L934" s="10"/>
      <c r="M934" s="10"/>
      <c r="N934" s="10"/>
      <c r="O934" s="10"/>
      <c r="P934" s="10"/>
      <c r="Q934" s="10"/>
      <c r="R934" s="2"/>
      <c r="S934" s="273"/>
      <c r="T934" s="273"/>
      <c r="U934" s="273"/>
      <c r="V934" s="9"/>
      <c r="W934" s="273"/>
      <c r="X934" s="273"/>
      <c r="Y934" s="9"/>
      <c r="Z934" s="273"/>
      <c r="AA934" s="273"/>
      <c r="AB934" s="9"/>
      <c r="AC934" s="273"/>
      <c r="AD934" s="273"/>
      <c r="AE934" s="9"/>
      <c r="AF934" s="273"/>
      <c r="AG934" s="273"/>
      <c r="AH934" s="9"/>
      <c r="AI934" s="273"/>
      <c r="AJ934" s="273"/>
      <c r="AK934" s="9"/>
      <c r="AL934" s="273"/>
      <c r="AM934" s="273"/>
      <c r="AN934" s="9"/>
      <c r="AO934" s="273"/>
      <c r="AP934" s="273"/>
      <c r="AQ934" s="9"/>
      <c r="AR934" s="273"/>
      <c r="AS934" s="39"/>
    </row>
    <row r="935" spans="1:45" ht="12.75">
      <c r="A935" s="160"/>
      <c r="B935" s="273"/>
      <c r="C935" s="273"/>
      <c r="D935" s="273"/>
      <c r="E935" s="273"/>
      <c r="F935" s="273"/>
      <c r="G935" s="273"/>
      <c r="H935" s="273"/>
      <c r="I935" s="2"/>
      <c r="J935" s="17"/>
      <c r="K935" s="10"/>
      <c r="L935" s="10"/>
      <c r="M935" s="10"/>
      <c r="N935" s="10"/>
      <c r="O935" s="10"/>
      <c r="P935" s="10"/>
      <c r="Q935" s="10"/>
      <c r="R935" s="2"/>
      <c r="S935" s="273"/>
      <c r="T935" s="273"/>
      <c r="U935" s="273"/>
      <c r="V935" s="9"/>
      <c r="W935" s="273"/>
      <c r="X935" s="273"/>
      <c r="Y935" s="9"/>
      <c r="Z935" s="273"/>
      <c r="AA935" s="273"/>
      <c r="AB935" s="9"/>
      <c r="AC935" s="273"/>
      <c r="AD935" s="273"/>
      <c r="AE935" s="9"/>
      <c r="AF935" s="273"/>
      <c r="AG935" s="273"/>
      <c r="AH935" s="9"/>
      <c r="AI935" s="273"/>
      <c r="AJ935" s="273"/>
      <c r="AK935" s="9"/>
      <c r="AL935" s="273"/>
      <c r="AM935" s="273"/>
      <c r="AN935" s="9"/>
      <c r="AO935" s="273"/>
      <c r="AP935" s="273"/>
      <c r="AQ935" s="9"/>
      <c r="AR935" s="273"/>
      <c r="AS935" s="39"/>
    </row>
    <row r="936" spans="1:45" ht="12.75">
      <c r="A936" s="160"/>
      <c r="B936" s="273"/>
      <c r="C936" s="273"/>
      <c r="D936" s="273"/>
      <c r="E936" s="273"/>
      <c r="F936" s="273"/>
      <c r="G936" s="273"/>
      <c r="H936" s="273"/>
      <c r="I936" s="2"/>
      <c r="J936" s="17"/>
      <c r="K936" s="10"/>
      <c r="L936" s="10"/>
      <c r="M936" s="10"/>
      <c r="N936" s="10"/>
      <c r="O936" s="10"/>
      <c r="P936" s="10"/>
      <c r="Q936" s="10"/>
      <c r="R936" s="2"/>
      <c r="S936" s="273"/>
      <c r="T936" s="273"/>
      <c r="U936" s="273"/>
      <c r="V936" s="9"/>
      <c r="W936" s="273"/>
      <c r="X936" s="273"/>
      <c r="Y936" s="9"/>
      <c r="Z936" s="273"/>
      <c r="AA936" s="273"/>
      <c r="AB936" s="9"/>
      <c r="AC936" s="273"/>
      <c r="AD936" s="273"/>
      <c r="AE936" s="9"/>
      <c r="AF936" s="273"/>
      <c r="AG936" s="273"/>
      <c r="AH936" s="9"/>
      <c r="AI936" s="273"/>
      <c r="AJ936" s="273"/>
      <c r="AK936" s="9"/>
      <c r="AL936" s="273"/>
      <c r="AM936" s="273"/>
      <c r="AN936" s="9"/>
      <c r="AO936" s="273"/>
      <c r="AP936" s="273"/>
      <c r="AQ936" s="9"/>
      <c r="AR936" s="273"/>
      <c r="AS936" s="39"/>
    </row>
    <row r="937" spans="1:45" ht="12.75">
      <c r="A937" s="160"/>
      <c r="B937" s="273"/>
      <c r="C937" s="273"/>
      <c r="D937" s="273"/>
      <c r="E937" s="273"/>
      <c r="F937" s="273"/>
      <c r="G937" s="273"/>
      <c r="H937" s="273"/>
      <c r="I937" s="2"/>
      <c r="J937" s="17"/>
      <c r="K937" s="10"/>
      <c r="L937" s="10"/>
      <c r="M937" s="10"/>
      <c r="N937" s="10"/>
      <c r="O937" s="10"/>
      <c r="P937" s="10"/>
      <c r="Q937" s="10"/>
      <c r="R937" s="2"/>
      <c r="S937" s="273"/>
      <c r="T937" s="273"/>
      <c r="U937" s="273"/>
      <c r="V937" s="9"/>
      <c r="W937" s="273"/>
      <c r="X937" s="273"/>
      <c r="Y937" s="9"/>
      <c r="Z937" s="273"/>
      <c r="AA937" s="273"/>
      <c r="AB937" s="9"/>
      <c r="AC937" s="273"/>
      <c r="AD937" s="273"/>
      <c r="AE937" s="9"/>
      <c r="AF937" s="273"/>
      <c r="AG937" s="273"/>
      <c r="AH937" s="9"/>
      <c r="AI937" s="273"/>
      <c r="AJ937" s="273"/>
      <c r="AK937" s="9"/>
      <c r="AL937" s="273"/>
      <c r="AM937" s="273"/>
      <c r="AN937" s="9"/>
      <c r="AO937" s="273"/>
      <c r="AP937" s="273"/>
      <c r="AQ937" s="9"/>
      <c r="AR937" s="273"/>
      <c r="AS937" s="39"/>
    </row>
    <row r="938" spans="1:45" ht="12.75">
      <c r="A938" s="160"/>
      <c r="B938" s="273"/>
      <c r="C938" s="273"/>
      <c r="D938" s="273"/>
      <c r="E938" s="273"/>
      <c r="F938" s="273"/>
      <c r="G938" s="273"/>
      <c r="H938" s="273"/>
      <c r="I938" s="2"/>
      <c r="J938" s="17"/>
      <c r="K938" s="10"/>
      <c r="L938" s="10"/>
      <c r="M938" s="10"/>
      <c r="N938" s="10"/>
      <c r="O938" s="10"/>
      <c r="P938" s="10"/>
      <c r="Q938" s="10"/>
      <c r="R938" s="2"/>
      <c r="S938" s="273"/>
      <c r="T938" s="273"/>
      <c r="U938" s="273"/>
      <c r="V938" s="9"/>
      <c r="W938" s="273"/>
      <c r="X938" s="273"/>
      <c r="Y938" s="9"/>
      <c r="Z938" s="273"/>
      <c r="AA938" s="273"/>
      <c r="AB938" s="9"/>
      <c r="AC938" s="273"/>
      <c r="AD938" s="273"/>
      <c r="AE938" s="9"/>
      <c r="AF938" s="273"/>
      <c r="AG938" s="273"/>
      <c r="AH938" s="9"/>
      <c r="AI938" s="273"/>
      <c r="AJ938" s="273"/>
      <c r="AK938" s="9"/>
      <c r="AL938" s="273"/>
      <c r="AM938" s="273"/>
      <c r="AN938" s="9"/>
      <c r="AO938" s="273"/>
      <c r="AP938" s="273"/>
      <c r="AQ938" s="9"/>
      <c r="AR938" s="273"/>
      <c r="AS938" s="39"/>
    </row>
    <row r="939" spans="1:45" ht="12.75">
      <c r="A939" s="160"/>
      <c r="B939" s="273"/>
      <c r="C939" s="273"/>
      <c r="D939" s="273"/>
      <c r="E939" s="273"/>
      <c r="F939" s="273"/>
      <c r="G939" s="273"/>
      <c r="H939" s="273"/>
      <c r="I939" s="2"/>
      <c r="J939" s="17"/>
      <c r="K939" s="10"/>
      <c r="L939" s="10"/>
      <c r="M939" s="10"/>
      <c r="N939" s="10"/>
      <c r="O939" s="10"/>
      <c r="P939" s="10"/>
      <c r="Q939" s="10"/>
      <c r="R939" s="2"/>
      <c r="S939" s="273"/>
      <c r="T939" s="273"/>
      <c r="U939" s="273"/>
      <c r="V939" s="9"/>
      <c r="W939" s="273"/>
      <c r="X939" s="273"/>
      <c r="Y939" s="9"/>
      <c r="Z939" s="273"/>
      <c r="AA939" s="273"/>
      <c r="AB939" s="9"/>
      <c r="AC939" s="273"/>
      <c r="AD939" s="273"/>
      <c r="AE939" s="9"/>
      <c r="AF939" s="273"/>
      <c r="AG939" s="273"/>
      <c r="AH939" s="9"/>
      <c r="AI939" s="273"/>
      <c r="AJ939" s="273"/>
      <c r="AK939" s="9"/>
      <c r="AL939" s="273"/>
      <c r="AM939" s="273"/>
      <c r="AN939" s="9"/>
      <c r="AO939" s="273"/>
      <c r="AP939" s="273"/>
      <c r="AQ939" s="9"/>
      <c r="AR939" s="273"/>
      <c r="AS939" s="39"/>
    </row>
    <row r="940" spans="1:45" ht="12.75">
      <c r="A940" s="160"/>
      <c r="B940" s="273"/>
      <c r="C940" s="273"/>
      <c r="D940" s="273"/>
      <c r="E940" s="273"/>
      <c r="F940" s="273"/>
      <c r="G940" s="273"/>
      <c r="H940" s="273"/>
      <c r="I940" s="2"/>
      <c r="J940" s="17"/>
      <c r="K940" s="10"/>
      <c r="L940" s="10"/>
      <c r="M940" s="10"/>
      <c r="N940" s="10"/>
      <c r="O940" s="10"/>
      <c r="P940" s="10"/>
      <c r="Q940" s="10"/>
      <c r="R940" s="2"/>
      <c r="S940" s="273"/>
      <c r="T940" s="273"/>
      <c r="U940" s="273"/>
      <c r="V940" s="9"/>
      <c r="W940" s="273"/>
      <c r="X940" s="273"/>
      <c r="Y940" s="9"/>
      <c r="Z940" s="273"/>
      <c r="AA940" s="273"/>
      <c r="AB940" s="9"/>
      <c r="AC940" s="273"/>
      <c r="AD940" s="273"/>
      <c r="AE940" s="9"/>
      <c r="AF940" s="273"/>
      <c r="AG940" s="273"/>
      <c r="AH940" s="9"/>
      <c r="AI940" s="273"/>
      <c r="AJ940" s="273"/>
      <c r="AK940" s="9"/>
      <c r="AL940" s="273"/>
      <c r="AM940" s="273"/>
      <c r="AN940" s="9"/>
      <c r="AO940" s="273"/>
      <c r="AP940" s="273"/>
      <c r="AQ940" s="9"/>
      <c r="AR940" s="273"/>
      <c r="AS940" s="39"/>
    </row>
    <row r="941" spans="1:45" ht="12.75">
      <c r="A941" s="160"/>
      <c r="B941" s="273"/>
      <c r="C941" s="273"/>
      <c r="D941" s="273"/>
      <c r="E941" s="273"/>
      <c r="F941" s="273"/>
      <c r="G941" s="273"/>
      <c r="H941" s="273"/>
      <c r="I941" s="2"/>
      <c r="J941" s="17"/>
      <c r="K941" s="10"/>
      <c r="L941" s="10"/>
      <c r="M941" s="10"/>
      <c r="N941" s="10"/>
      <c r="O941" s="10"/>
      <c r="P941" s="10"/>
      <c r="Q941" s="10"/>
      <c r="R941" s="2"/>
      <c r="S941" s="273"/>
      <c r="T941" s="273"/>
      <c r="U941" s="273"/>
      <c r="V941" s="9"/>
      <c r="W941" s="273"/>
      <c r="X941" s="273"/>
      <c r="Y941" s="9"/>
      <c r="Z941" s="273"/>
      <c r="AA941" s="273"/>
      <c r="AB941" s="9"/>
      <c r="AC941" s="273"/>
      <c r="AD941" s="273"/>
      <c r="AE941" s="9"/>
      <c r="AF941" s="273"/>
      <c r="AG941" s="273"/>
      <c r="AH941" s="9"/>
      <c r="AI941" s="273"/>
      <c r="AJ941" s="273"/>
      <c r="AK941" s="9"/>
      <c r="AL941" s="273"/>
      <c r="AM941" s="273"/>
      <c r="AN941" s="9"/>
      <c r="AO941" s="273"/>
      <c r="AP941" s="273"/>
      <c r="AQ941" s="9"/>
      <c r="AR941" s="273"/>
      <c r="AS941" s="39"/>
    </row>
    <row r="942" spans="1:45" ht="12.75">
      <c r="A942" s="160"/>
      <c r="B942" s="273"/>
      <c r="C942" s="273"/>
      <c r="D942" s="273"/>
      <c r="E942" s="273"/>
      <c r="F942" s="273"/>
      <c r="G942" s="273"/>
      <c r="H942" s="273"/>
      <c r="I942" s="2"/>
      <c r="J942" s="17"/>
      <c r="K942" s="10"/>
      <c r="L942" s="10"/>
      <c r="M942" s="10"/>
      <c r="N942" s="10"/>
      <c r="O942" s="10"/>
      <c r="P942" s="10"/>
      <c r="Q942" s="10"/>
      <c r="R942" s="2"/>
      <c r="S942" s="273"/>
      <c r="T942" s="273"/>
      <c r="U942" s="273"/>
      <c r="V942" s="9"/>
      <c r="W942" s="273"/>
      <c r="X942" s="273"/>
      <c r="Y942" s="9"/>
      <c r="Z942" s="273"/>
      <c r="AA942" s="273"/>
      <c r="AB942" s="9"/>
      <c r="AC942" s="273"/>
      <c r="AD942" s="273"/>
      <c r="AE942" s="9"/>
      <c r="AF942" s="273"/>
      <c r="AG942" s="273"/>
      <c r="AH942" s="9"/>
      <c r="AI942" s="273"/>
      <c r="AJ942" s="273"/>
      <c r="AK942" s="9"/>
      <c r="AL942" s="273"/>
      <c r="AM942" s="273"/>
      <c r="AN942" s="9"/>
      <c r="AO942" s="273"/>
      <c r="AP942" s="273"/>
      <c r="AQ942" s="9"/>
      <c r="AR942" s="273"/>
      <c r="AS942" s="39"/>
    </row>
    <row r="943" spans="1:45" ht="12.75">
      <c r="A943" s="160"/>
      <c r="B943" s="273"/>
      <c r="C943" s="273"/>
      <c r="D943" s="273"/>
      <c r="E943" s="273"/>
      <c r="F943" s="273"/>
      <c r="G943" s="273"/>
      <c r="H943" s="273"/>
      <c r="I943" s="2"/>
      <c r="J943" s="17"/>
      <c r="K943" s="10"/>
      <c r="L943" s="10"/>
      <c r="M943" s="10"/>
      <c r="N943" s="10"/>
      <c r="O943" s="10"/>
      <c r="P943" s="10"/>
      <c r="Q943" s="10"/>
      <c r="R943" s="2"/>
      <c r="S943" s="273"/>
      <c r="T943" s="273"/>
      <c r="U943" s="273"/>
      <c r="V943" s="9"/>
      <c r="W943" s="273"/>
      <c r="X943" s="273"/>
      <c r="Y943" s="9"/>
      <c r="Z943" s="273"/>
      <c r="AA943" s="273"/>
      <c r="AB943" s="9"/>
      <c r="AC943" s="273"/>
      <c r="AD943" s="273"/>
      <c r="AE943" s="9"/>
      <c r="AF943" s="273"/>
      <c r="AG943" s="273"/>
      <c r="AH943" s="9"/>
      <c r="AI943" s="273"/>
      <c r="AJ943" s="273"/>
      <c r="AK943" s="9"/>
      <c r="AL943" s="273"/>
      <c r="AM943" s="273"/>
      <c r="AN943" s="9"/>
      <c r="AO943" s="273"/>
      <c r="AP943" s="273"/>
      <c r="AQ943" s="9"/>
      <c r="AR943" s="273"/>
      <c r="AS943" s="39"/>
    </row>
    <row r="944" spans="1:45" ht="12.75">
      <c r="A944" s="160"/>
      <c r="B944" s="273"/>
      <c r="C944" s="273"/>
      <c r="D944" s="273"/>
      <c r="E944" s="273"/>
      <c r="F944" s="273"/>
      <c r="G944" s="273"/>
      <c r="H944" s="273"/>
      <c r="I944" s="2"/>
      <c r="J944" s="17"/>
      <c r="K944" s="10"/>
      <c r="L944" s="10"/>
      <c r="M944" s="10"/>
      <c r="N944" s="10"/>
      <c r="O944" s="10"/>
      <c r="P944" s="10"/>
      <c r="Q944" s="10"/>
      <c r="R944" s="2"/>
      <c r="S944" s="273"/>
      <c r="T944" s="273"/>
      <c r="U944" s="273"/>
      <c r="V944" s="9"/>
      <c r="W944" s="273"/>
      <c r="X944" s="273"/>
      <c r="Y944" s="9"/>
      <c r="Z944" s="273"/>
      <c r="AA944" s="273"/>
      <c r="AB944" s="9"/>
      <c r="AC944" s="273"/>
      <c r="AD944" s="273"/>
      <c r="AE944" s="9"/>
      <c r="AF944" s="273"/>
      <c r="AG944" s="273"/>
      <c r="AH944" s="9"/>
      <c r="AI944" s="273"/>
      <c r="AJ944" s="273"/>
      <c r="AK944" s="9"/>
      <c r="AL944" s="273"/>
      <c r="AM944" s="273"/>
      <c r="AN944" s="9"/>
      <c r="AO944" s="273"/>
      <c r="AP944" s="273"/>
      <c r="AQ944" s="9"/>
      <c r="AR944" s="273"/>
      <c r="AS944" s="39"/>
    </row>
    <row r="945" spans="1:45" ht="12.75">
      <c r="A945" s="160"/>
      <c r="B945" s="273"/>
      <c r="C945" s="273"/>
      <c r="D945" s="273"/>
      <c r="E945" s="273"/>
      <c r="F945" s="273"/>
      <c r="G945" s="273"/>
      <c r="H945" s="273"/>
      <c r="I945" s="2"/>
      <c r="J945" s="17"/>
      <c r="K945" s="10"/>
      <c r="L945" s="10"/>
      <c r="M945" s="10"/>
      <c r="N945" s="10"/>
      <c r="O945" s="10"/>
      <c r="P945" s="10"/>
      <c r="Q945" s="10"/>
      <c r="R945" s="2"/>
      <c r="S945" s="273"/>
      <c r="T945" s="273"/>
      <c r="U945" s="273"/>
      <c r="V945" s="9"/>
      <c r="W945" s="273"/>
      <c r="X945" s="273"/>
      <c r="Y945" s="9"/>
      <c r="Z945" s="273"/>
      <c r="AA945" s="273"/>
      <c r="AB945" s="9"/>
      <c r="AC945" s="273"/>
      <c r="AD945" s="273"/>
      <c r="AE945" s="9"/>
      <c r="AF945" s="273"/>
      <c r="AG945" s="273"/>
      <c r="AH945" s="9"/>
      <c r="AI945" s="273"/>
      <c r="AJ945" s="273"/>
      <c r="AK945" s="9"/>
      <c r="AL945" s="273"/>
      <c r="AM945" s="273"/>
      <c r="AN945" s="9"/>
      <c r="AO945" s="273"/>
      <c r="AP945" s="273"/>
      <c r="AQ945" s="9"/>
      <c r="AR945" s="273"/>
      <c r="AS945" s="39"/>
    </row>
    <row r="946" spans="1:45" ht="12.75">
      <c r="A946" s="160"/>
      <c r="B946" s="273"/>
      <c r="C946" s="273"/>
      <c r="D946" s="273"/>
      <c r="E946" s="273"/>
      <c r="F946" s="273"/>
      <c r="G946" s="273"/>
      <c r="H946" s="273"/>
      <c r="I946" s="2"/>
      <c r="J946" s="17"/>
      <c r="K946" s="10"/>
      <c r="L946" s="10"/>
      <c r="M946" s="10"/>
      <c r="N946" s="10"/>
      <c r="O946" s="10"/>
      <c r="P946" s="10"/>
      <c r="Q946" s="10"/>
      <c r="R946" s="2"/>
      <c r="S946" s="273"/>
      <c r="T946" s="273"/>
      <c r="U946" s="273"/>
      <c r="V946" s="9"/>
      <c r="W946" s="273"/>
      <c r="X946" s="273"/>
      <c r="Y946" s="9"/>
      <c r="Z946" s="273"/>
      <c r="AA946" s="273"/>
      <c r="AB946" s="9"/>
      <c r="AC946" s="273"/>
      <c r="AD946" s="273"/>
      <c r="AE946" s="9"/>
      <c r="AF946" s="273"/>
      <c r="AG946" s="273"/>
      <c r="AH946" s="9"/>
      <c r="AI946" s="273"/>
      <c r="AJ946" s="273"/>
      <c r="AK946" s="9"/>
      <c r="AL946" s="273"/>
      <c r="AM946" s="273"/>
      <c r="AN946" s="9"/>
      <c r="AO946" s="273"/>
      <c r="AP946" s="273"/>
      <c r="AQ946" s="9"/>
      <c r="AR946" s="273"/>
      <c r="AS946" s="39"/>
    </row>
    <row r="947" spans="1:45" ht="12.75">
      <c r="A947" s="160"/>
      <c r="B947" s="273"/>
      <c r="C947" s="273"/>
      <c r="D947" s="273"/>
      <c r="E947" s="273"/>
      <c r="F947" s="273"/>
      <c r="G947" s="273"/>
      <c r="H947" s="273"/>
      <c r="I947" s="2"/>
      <c r="J947" s="17"/>
      <c r="K947" s="10"/>
      <c r="L947" s="10"/>
      <c r="M947" s="10"/>
      <c r="N947" s="10"/>
      <c r="O947" s="10"/>
      <c r="P947" s="10"/>
      <c r="Q947" s="10"/>
      <c r="R947" s="2"/>
      <c r="S947" s="273"/>
      <c r="T947" s="273"/>
      <c r="U947" s="273"/>
      <c r="V947" s="9"/>
      <c r="W947" s="273"/>
      <c r="X947" s="273"/>
      <c r="Y947" s="9"/>
      <c r="Z947" s="273"/>
      <c r="AA947" s="273"/>
      <c r="AB947" s="9"/>
      <c r="AC947" s="273"/>
      <c r="AD947" s="273"/>
      <c r="AE947" s="9"/>
      <c r="AF947" s="273"/>
      <c r="AG947" s="273"/>
      <c r="AH947" s="9"/>
      <c r="AI947" s="273"/>
      <c r="AJ947" s="273"/>
      <c r="AK947" s="9"/>
      <c r="AL947" s="273"/>
      <c r="AM947" s="273"/>
      <c r="AN947" s="9"/>
      <c r="AO947" s="273"/>
      <c r="AP947" s="273"/>
      <c r="AQ947" s="9"/>
      <c r="AR947" s="273"/>
      <c r="AS947" s="39"/>
    </row>
    <row r="948" spans="1:45" ht="12.75">
      <c r="A948" s="160"/>
      <c r="B948" s="273"/>
      <c r="C948" s="273"/>
      <c r="D948" s="273"/>
      <c r="E948" s="273"/>
      <c r="F948" s="273"/>
      <c r="G948" s="273"/>
      <c r="H948" s="273"/>
      <c r="I948" s="2"/>
      <c r="J948" s="17"/>
      <c r="K948" s="10"/>
      <c r="L948" s="10"/>
      <c r="M948" s="10"/>
      <c r="N948" s="10"/>
      <c r="O948" s="10"/>
      <c r="P948" s="10"/>
      <c r="Q948" s="10"/>
      <c r="R948" s="2"/>
      <c r="S948" s="273"/>
      <c r="T948" s="273"/>
      <c r="U948" s="273"/>
      <c r="V948" s="9"/>
      <c r="W948" s="273"/>
      <c r="X948" s="273"/>
      <c r="Y948" s="9"/>
      <c r="Z948" s="273"/>
      <c r="AA948" s="273"/>
      <c r="AB948" s="9"/>
      <c r="AC948" s="273"/>
      <c r="AD948" s="273"/>
      <c r="AE948" s="9"/>
      <c r="AF948" s="273"/>
      <c r="AG948" s="273"/>
      <c r="AH948" s="9"/>
      <c r="AI948" s="273"/>
      <c r="AJ948" s="273"/>
      <c r="AK948" s="9"/>
      <c r="AL948" s="273"/>
      <c r="AM948" s="273"/>
      <c r="AN948" s="9"/>
      <c r="AO948" s="273"/>
      <c r="AP948" s="273"/>
      <c r="AQ948" s="9"/>
      <c r="AR948" s="273"/>
      <c r="AS948" s="39"/>
    </row>
    <row r="949" spans="1:45" ht="12.75">
      <c r="A949" s="160"/>
      <c r="B949" s="273"/>
      <c r="C949" s="273"/>
      <c r="D949" s="273"/>
      <c r="E949" s="273"/>
      <c r="F949" s="273"/>
      <c r="G949" s="273"/>
      <c r="H949" s="273"/>
      <c r="I949" s="2"/>
      <c r="J949" s="17"/>
      <c r="K949" s="10"/>
      <c r="L949" s="10"/>
      <c r="M949" s="10"/>
      <c r="N949" s="10"/>
      <c r="O949" s="10"/>
      <c r="P949" s="10"/>
      <c r="Q949" s="10"/>
      <c r="R949" s="2"/>
      <c r="S949" s="273"/>
      <c r="T949" s="273"/>
      <c r="U949" s="273"/>
      <c r="V949" s="9"/>
      <c r="W949" s="273"/>
      <c r="X949" s="273"/>
      <c r="Y949" s="9"/>
      <c r="Z949" s="273"/>
      <c r="AA949" s="273"/>
      <c r="AB949" s="9"/>
      <c r="AC949" s="273"/>
      <c r="AD949" s="273"/>
      <c r="AE949" s="9"/>
      <c r="AF949" s="273"/>
      <c r="AG949" s="273"/>
      <c r="AH949" s="9"/>
      <c r="AI949" s="273"/>
      <c r="AJ949" s="273"/>
      <c r="AK949" s="9"/>
      <c r="AL949" s="273"/>
      <c r="AM949" s="273"/>
      <c r="AN949" s="9"/>
      <c r="AO949" s="273"/>
      <c r="AP949" s="273"/>
      <c r="AQ949" s="9"/>
      <c r="AR949" s="273"/>
      <c r="AS949" s="39"/>
    </row>
    <row r="950" spans="1:45" ht="12.75">
      <c r="A950" s="160"/>
      <c r="B950" s="273"/>
      <c r="C950" s="273"/>
      <c r="D950" s="273"/>
      <c r="E950" s="273"/>
      <c r="F950" s="273"/>
      <c r="G950" s="273"/>
      <c r="H950" s="273"/>
      <c r="I950" s="2"/>
      <c r="J950" s="17"/>
      <c r="K950" s="10"/>
      <c r="L950" s="10"/>
      <c r="M950" s="10"/>
      <c r="N950" s="10"/>
      <c r="O950" s="10"/>
      <c r="P950" s="10"/>
      <c r="Q950" s="10"/>
      <c r="R950" s="2"/>
      <c r="S950" s="273"/>
      <c r="T950" s="273"/>
      <c r="U950" s="273"/>
      <c r="V950" s="9"/>
      <c r="W950" s="273"/>
      <c r="X950" s="273"/>
      <c r="Y950" s="9"/>
      <c r="Z950" s="273"/>
      <c r="AA950" s="273"/>
      <c r="AB950" s="9"/>
      <c r="AC950" s="273"/>
      <c r="AD950" s="273"/>
      <c r="AE950" s="9"/>
      <c r="AF950" s="273"/>
      <c r="AG950" s="273"/>
      <c r="AH950" s="9"/>
      <c r="AI950" s="273"/>
      <c r="AJ950" s="273"/>
      <c r="AK950" s="9"/>
      <c r="AL950" s="273"/>
      <c r="AM950" s="273"/>
      <c r="AN950" s="9"/>
      <c r="AO950" s="273"/>
      <c r="AP950" s="273"/>
      <c r="AQ950" s="9"/>
      <c r="AR950" s="273"/>
      <c r="AS950" s="39"/>
    </row>
    <row r="951" spans="1:45" ht="12.75">
      <c r="A951" s="160"/>
      <c r="B951" s="273"/>
      <c r="C951" s="273"/>
      <c r="D951" s="273"/>
      <c r="E951" s="273"/>
      <c r="F951" s="273"/>
      <c r="G951" s="273"/>
      <c r="H951" s="273"/>
      <c r="I951" s="2"/>
      <c r="J951" s="17"/>
      <c r="K951" s="10"/>
      <c r="L951" s="10"/>
      <c r="M951" s="10"/>
      <c r="N951" s="10"/>
      <c r="O951" s="10"/>
      <c r="P951" s="10"/>
      <c r="Q951" s="10"/>
      <c r="R951" s="2"/>
      <c r="S951" s="273"/>
      <c r="T951" s="273"/>
      <c r="U951" s="273"/>
      <c r="V951" s="9"/>
      <c r="W951" s="273"/>
      <c r="X951" s="273"/>
      <c r="Y951" s="9"/>
      <c r="Z951" s="273"/>
      <c r="AA951" s="273"/>
      <c r="AB951" s="9"/>
      <c r="AC951" s="273"/>
      <c r="AD951" s="273"/>
      <c r="AE951" s="9"/>
      <c r="AF951" s="273"/>
      <c r="AG951" s="273"/>
      <c r="AH951" s="9"/>
      <c r="AI951" s="273"/>
      <c r="AJ951" s="273"/>
      <c r="AK951" s="9"/>
      <c r="AL951" s="273"/>
      <c r="AM951" s="273"/>
      <c r="AN951" s="9"/>
      <c r="AO951" s="273"/>
      <c r="AP951" s="273"/>
      <c r="AQ951" s="9"/>
      <c r="AR951" s="273"/>
      <c r="AS951" s="39"/>
    </row>
    <row r="952" spans="1:45" ht="12.75">
      <c r="A952" s="160"/>
      <c r="B952" s="273"/>
      <c r="C952" s="273"/>
      <c r="D952" s="273"/>
      <c r="E952" s="273"/>
      <c r="F952" s="273"/>
      <c r="G952" s="273"/>
      <c r="H952" s="273"/>
      <c r="I952" s="2"/>
      <c r="J952" s="17"/>
      <c r="K952" s="10"/>
      <c r="L952" s="10"/>
      <c r="M952" s="10"/>
      <c r="N952" s="10"/>
      <c r="O952" s="10"/>
      <c r="P952" s="10"/>
      <c r="Q952" s="10"/>
      <c r="R952" s="2"/>
      <c r="S952" s="273"/>
      <c r="T952" s="273"/>
      <c r="U952" s="273"/>
      <c r="V952" s="9"/>
      <c r="W952" s="273"/>
      <c r="X952" s="273"/>
      <c r="Y952" s="9"/>
      <c r="Z952" s="273"/>
      <c r="AA952" s="273"/>
      <c r="AB952" s="9"/>
      <c r="AC952" s="273"/>
      <c r="AD952" s="273"/>
      <c r="AE952" s="9"/>
      <c r="AF952" s="273"/>
      <c r="AG952" s="273"/>
      <c r="AH952" s="9"/>
      <c r="AI952" s="273"/>
      <c r="AJ952" s="273"/>
      <c r="AK952" s="9"/>
      <c r="AL952" s="273"/>
      <c r="AM952" s="273"/>
      <c r="AN952" s="9"/>
      <c r="AO952" s="273"/>
      <c r="AP952" s="273"/>
      <c r="AQ952" s="9"/>
      <c r="AR952" s="273"/>
      <c r="AS952" s="39"/>
    </row>
    <row r="953" spans="1:45" ht="12.75">
      <c r="A953" s="160"/>
      <c r="B953" s="273"/>
      <c r="C953" s="273"/>
      <c r="D953" s="273"/>
      <c r="E953" s="273"/>
      <c r="F953" s="273"/>
      <c r="G953" s="273"/>
      <c r="H953" s="273"/>
      <c r="I953" s="2"/>
      <c r="J953" s="17"/>
      <c r="K953" s="10"/>
      <c r="L953" s="10"/>
      <c r="M953" s="10"/>
      <c r="N953" s="10"/>
      <c r="O953" s="10"/>
      <c r="P953" s="10"/>
      <c r="Q953" s="10"/>
      <c r="R953" s="2"/>
      <c r="S953" s="273"/>
      <c r="T953" s="273"/>
      <c r="U953" s="273"/>
      <c r="V953" s="9"/>
      <c r="W953" s="273"/>
      <c r="X953" s="273"/>
      <c r="Y953" s="9"/>
      <c r="Z953" s="273"/>
      <c r="AA953" s="273"/>
      <c r="AB953" s="9"/>
      <c r="AC953" s="273"/>
      <c r="AD953" s="273"/>
      <c r="AE953" s="9"/>
      <c r="AF953" s="273"/>
      <c r="AG953" s="273"/>
      <c r="AH953" s="9"/>
      <c r="AI953" s="273"/>
      <c r="AJ953" s="273"/>
      <c r="AK953" s="9"/>
      <c r="AL953" s="273"/>
      <c r="AM953" s="273"/>
      <c r="AN953" s="9"/>
      <c r="AO953" s="273"/>
      <c r="AP953" s="273"/>
      <c r="AQ953" s="9"/>
      <c r="AR953" s="273"/>
      <c r="AS953" s="39"/>
    </row>
    <row r="954" spans="1:45" ht="12.75">
      <c r="A954" s="160"/>
      <c r="B954" s="273"/>
      <c r="C954" s="273"/>
      <c r="D954" s="273"/>
      <c r="E954" s="273"/>
      <c r="F954" s="273"/>
      <c r="G954" s="273"/>
      <c r="H954" s="273"/>
      <c r="I954" s="2"/>
      <c r="J954" s="17"/>
      <c r="K954" s="10"/>
      <c r="L954" s="10"/>
      <c r="M954" s="10"/>
      <c r="N954" s="10"/>
      <c r="O954" s="10"/>
      <c r="P954" s="10"/>
      <c r="Q954" s="10"/>
      <c r="R954" s="2"/>
      <c r="S954" s="273"/>
      <c r="T954" s="273"/>
      <c r="U954" s="273"/>
      <c r="V954" s="9"/>
      <c r="W954" s="273"/>
      <c r="X954" s="273"/>
      <c r="Y954" s="9"/>
      <c r="Z954" s="273"/>
      <c r="AA954" s="273"/>
      <c r="AB954" s="9"/>
      <c r="AC954" s="273"/>
      <c r="AD954" s="273"/>
      <c r="AE954" s="9"/>
      <c r="AF954" s="273"/>
      <c r="AG954" s="273"/>
      <c r="AH954" s="9"/>
      <c r="AI954" s="273"/>
      <c r="AJ954" s="273"/>
      <c r="AK954" s="9"/>
      <c r="AL954" s="273"/>
      <c r="AM954" s="273"/>
      <c r="AN954" s="9"/>
      <c r="AO954" s="273"/>
      <c r="AP954" s="273"/>
      <c r="AQ954" s="9"/>
      <c r="AR954" s="273"/>
      <c r="AS954" s="39"/>
    </row>
    <row r="955" spans="1:45" ht="12.75">
      <c r="A955" s="160"/>
      <c r="B955" s="273"/>
      <c r="C955" s="273"/>
      <c r="D955" s="273"/>
      <c r="E955" s="273"/>
      <c r="F955" s="273"/>
      <c r="G955" s="273"/>
      <c r="H955" s="273"/>
      <c r="I955" s="2"/>
      <c r="J955" s="17"/>
      <c r="K955" s="10"/>
      <c r="L955" s="10"/>
      <c r="M955" s="10"/>
      <c r="N955" s="10"/>
      <c r="O955" s="10"/>
      <c r="P955" s="10"/>
      <c r="Q955" s="10"/>
      <c r="R955" s="2"/>
      <c r="S955" s="273"/>
      <c r="T955" s="273"/>
      <c r="U955" s="273"/>
      <c r="V955" s="9"/>
      <c r="W955" s="273"/>
      <c r="X955" s="273"/>
      <c r="Y955" s="9"/>
      <c r="Z955" s="273"/>
      <c r="AA955" s="273"/>
      <c r="AB955" s="9"/>
      <c r="AC955" s="273"/>
      <c r="AD955" s="273"/>
      <c r="AE955" s="9"/>
      <c r="AF955" s="273"/>
      <c r="AG955" s="273"/>
      <c r="AH955" s="9"/>
      <c r="AI955" s="273"/>
      <c r="AJ955" s="273"/>
      <c r="AK955" s="9"/>
      <c r="AL955" s="273"/>
      <c r="AM955" s="273"/>
      <c r="AN955" s="9"/>
      <c r="AO955" s="273"/>
      <c r="AP955" s="273"/>
      <c r="AQ955" s="9"/>
      <c r="AR955" s="273"/>
      <c r="AS955" s="39"/>
    </row>
    <row r="956" spans="1:45" ht="12.75">
      <c r="A956" s="160"/>
      <c r="B956" s="273"/>
      <c r="C956" s="273"/>
      <c r="D956" s="273"/>
      <c r="E956" s="273"/>
      <c r="F956" s="273"/>
      <c r="G956" s="273"/>
      <c r="H956" s="273"/>
      <c r="I956" s="2"/>
      <c r="J956" s="17"/>
      <c r="K956" s="10"/>
      <c r="L956" s="10"/>
      <c r="M956" s="10"/>
      <c r="N956" s="10"/>
      <c r="O956" s="10"/>
      <c r="P956" s="10"/>
      <c r="Q956" s="10"/>
      <c r="R956" s="2"/>
      <c r="S956" s="273"/>
      <c r="T956" s="273"/>
      <c r="U956" s="273"/>
      <c r="V956" s="9"/>
      <c r="W956" s="273"/>
      <c r="X956" s="273"/>
      <c r="Y956" s="9"/>
      <c r="Z956" s="273"/>
      <c r="AA956" s="273"/>
      <c r="AB956" s="9"/>
      <c r="AC956" s="273"/>
      <c r="AD956" s="273"/>
      <c r="AE956" s="9"/>
      <c r="AF956" s="273"/>
      <c r="AG956" s="273"/>
      <c r="AH956" s="9"/>
      <c r="AI956" s="273"/>
      <c r="AJ956" s="273"/>
      <c r="AK956" s="9"/>
      <c r="AL956" s="273"/>
      <c r="AM956" s="273"/>
      <c r="AN956" s="9"/>
      <c r="AO956" s="273"/>
      <c r="AP956" s="273"/>
      <c r="AQ956" s="9"/>
      <c r="AR956" s="273"/>
      <c r="AS956" s="39"/>
    </row>
    <row r="957" spans="1:45" ht="12.75">
      <c r="A957" s="160"/>
      <c r="B957" s="273"/>
      <c r="C957" s="273"/>
      <c r="D957" s="273"/>
      <c r="E957" s="273"/>
      <c r="F957" s="273"/>
      <c r="G957" s="273"/>
      <c r="H957" s="273"/>
      <c r="I957" s="2"/>
      <c r="J957" s="17"/>
      <c r="K957" s="10"/>
      <c r="L957" s="10"/>
      <c r="M957" s="10"/>
      <c r="N957" s="10"/>
      <c r="O957" s="10"/>
      <c r="P957" s="10"/>
      <c r="Q957" s="10"/>
      <c r="R957" s="2"/>
      <c r="S957" s="273"/>
      <c r="T957" s="273"/>
      <c r="U957" s="273"/>
      <c r="V957" s="9"/>
      <c r="W957" s="273"/>
      <c r="X957" s="273"/>
      <c r="Y957" s="9"/>
      <c r="Z957" s="273"/>
      <c r="AA957" s="273"/>
      <c r="AB957" s="9"/>
      <c r="AC957" s="273"/>
      <c r="AD957" s="273"/>
      <c r="AE957" s="9"/>
      <c r="AF957" s="273"/>
      <c r="AG957" s="273"/>
      <c r="AH957" s="9"/>
      <c r="AI957" s="273"/>
      <c r="AJ957" s="273"/>
      <c r="AK957" s="9"/>
      <c r="AL957" s="273"/>
      <c r="AM957" s="273"/>
      <c r="AN957" s="9"/>
      <c r="AO957" s="273"/>
      <c r="AP957" s="273"/>
      <c r="AQ957" s="9"/>
      <c r="AR957" s="273"/>
      <c r="AS957" s="39"/>
    </row>
    <row r="958" spans="1:45" ht="12.75">
      <c r="A958" s="160"/>
      <c r="B958" s="273"/>
      <c r="C958" s="273"/>
      <c r="D958" s="273"/>
      <c r="E958" s="273"/>
      <c r="F958" s="273"/>
      <c r="G958" s="273"/>
      <c r="H958" s="273"/>
      <c r="I958" s="2"/>
      <c r="J958" s="17"/>
      <c r="K958" s="10"/>
      <c r="L958" s="10"/>
      <c r="M958" s="10"/>
      <c r="N958" s="10"/>
      <c r="O958" s="10"/>
      <c r="P958" s="10"/>
      <c r="Q958" s="10"/>
      <c r="R958" s="2"/>
      <c r="S958" s="273"/>
      <c r="T958" s="273"/>
      <c r="U958" s="273"/>
      <c r="V958" s="9"/>
      <c r="W958" s="273"/>
      <c r="X958" s="273"/>
      <c r="Y958" s="9"/>
      <c r="Z958" s="273"/>
      <c r="AA958" s="273"/>
      <c r="AB958" s="9"/>
      <c r="AC958" s="273"/>
      <c r="AD958" s="273"/>
      <c r="AE958" s="9"/>
      <c r="AF958" s="273"/>
      <c r="AG958" s="273"/>
      <c r="AH958" s="9"/>
      <c r="AI958" s="273"/>
      <c r="AJ958" s="273"/>
      <c r="AK958" s="9"/>
      <c r="AL958" s="273"/>
      <c r="AM958" s="273"/>
      <c r="AN958" s="9"/>
      <c r="AO958" s="273"/>
      <c r="AP958" s="273"/>
      <c r="AQ958" s="9"/>
      <c r="AR958" s="273"/>
      <c r="AS958" s="39"/>
    </row>
    <row r="959" spans="1:45" ht="12.75">
      <c r="A959" s="160"/>
      <c r="B959" s="273"/>
      <c r="C959" s="273"/>
      <c r="D959" s="273"/>
      <c r="E959" s="273"/>
      <c r="F959" s="273"/>
      <c r="G959" s="273"/>
      <c r="H959" s="273"/>
      <c r="I959" s="2"/>
      <c r="J959" s="17"/>
      <c r="K959" s="10"/>
      <c r="L959" s="10"/>
      <c r="M959" s="10"/>
      <c r="N959" s="10"/>
      <c r="O959" s="10"/>
      <c r="P959" s="10"/>
      <c r="Q959" s="10"/>
      <c r="R959" s="2"/>
      <c r="S959" s="273"/>
      <c r="T959" s="273"/>
      <c r="U959" s="273"/>
      <c r="V959" s="9"/>
      <c r="W959" s="273"/>
      <c r="X959" s="273"/>
      <c r="Y959" s="9"/>
      <c r="Z959" s="273"/>
      <c r="AA959" s="273"/>
      <c r="AB959" s="9"/>
      <c r="AC959" s="273"/>
      <c r="AD959" s="273"/>
      <c r="AE959" s="9"/>
      <c r="AF959" s="273"/>
      <c r="AG959" s="273"/>
      <c r="AH959" s="9"/>
      <c r="AI959" s="273"/>
      <c r="AJ959" s="273"/>
      <c r="AK959" s="9"/>
      <c r="AL959" s="273"/>
      <c r="AM959" s="273"/>
      <c r="AN959" s="9"/>
      <c r="AO959" s="273"/>
      <c r="AP959" s="273"/>
      <c r="AQ959" s="9"/>
      <c r="AR959" s="273"/>
      <c r="AS959" s="39"/>
    </row>
    <row r="960" spans="1:45" ht="12.75">
      <c r="A960" s="160"/>
      <c r="B960" s="273"/>
      <c r="C960" s="273"/>
      <c r="D960" s="273"/>
      <c r="E960" s="273"/>
      <c r="F960" s="273"/>
      <c r="G960" s="273"/>
      <c r="H960" s="273"/>
      <c r="I960" s="2"/>
      <c r="J960" s="17"/>
      <c r="K960" s="10"/>
      <c r="L960" s="10"/>
      <c r="M960" s="10"/>
      <c r="N960" s="10"/>
      <c r="O960" s="10"/>
      <c r="P960" s="10"/>
      <c r="Q960" s="10"/>
      <c r="R960" s="2"/>
      <c r="S960" s="273"/>
      <c r="T960" s="273"/>
      <c r="U960" s="273"/>
      <c r="V960" s="9"/>
      <c r="W960" s="273"/>
      <c r="X960" s="273"/>
      <c r="Y960" s="9"/>
      <c r="Z960" s="273"/>
      <c r="AA960" s="273"/>
      <c r="AB960" s="9"/>
      <c r="AC960" s="273"/>
      <c r="AD960" s="273"/>
      <c r="AE960" s="9"/>
      <c r="AF960" s="273"/>
      <c r="AG960" s="273"/>
      <c r="AH960" s="9"/>
      <c r="AI960" s="273"/>
      <c r="AJ960" s="273"/>
      <c r="AK960" s="9"/>
      <c r="AL960" s="273"/>
      <c r="AM960" s="273"/>
      <c r="AN960" s="9"/>
      <c r="AO960" s="273"/>
      <c r="AP960" s="273"/>
      <c r="AQ960" s="9"/>
      <c r="AR960" s="273"/>
      <c r="AS960" s="39"/>
    </row>
    <row r="961" spans="1:45" ht="12.75">
      <c r="A961" s="160"/>
      <c r="B961" s="273"/>
      <c r="C961" s="273"/>
      <c r="D961" s="273"/>
      <c r="E961" s="273"/>
      <c r="F961" s="273"/>
      <c r="G961" s="273"/>
      <c r="H961" s="273"/>
      <c r="I961" s="2"/>
      <c r="J961" s="17"/>
      <c r="K961" s="10"/>
      <c r="L961" s="10"/>
      <c r="M961" s="10"/>
      <c r="N961" s="10"/>
      <c r="O961" s="10"/>
      <c r="P961" s="10"/>
      <c r="Q961" s="10"/>
      <c r="R961" s="2"/>
      <c r="S961" s="273"/>
      <c r="T961" s="273"/>
      <c r="U961" s="273"/>
      <c r="V961" s="9"/>
      <c r="W961" s="273"/>
      <c r="X961" s="273"/>
      <c r="Y961" s="9"/>
      <c r="Z961" s="273"/>
      <c r="AA961" s="273"/>
      <c r="AB961" s="9"/>
      <c r="AC961" s="273"/>
      <c r="AD961" s="273"/>
      <c r="AE961" s="9"/>
      <c r="AF961" s="273"/>
      <c r="AG961" s="273"/>
      <c r="AH961" s="9"/>
      <c r="AI961" s="273"/>
      <c r="AJ961" s="273"/>
      <c r="AK961" s="9"/>
      <c r="AL961" s="273"/>
      <c r="AM961" s="273"/>
      <c r="AN961" s="9"/>
      <c r="AO961" s="273"/>
      <c r="AP961" s="273"/>
      <c r="AQ961" s="9"/>
      <c r="AR961" s="273"/>
      <c r="AS961" s="39"/>
    </row>
    <row r="962" spans="1:45" ht="12.75">
      <c r="A962" s="160"/>
      <c r="B962" s="273"/>
      <c r="C962" s="273"/>
      <c r="D962" s="273"/>
      <c r="E962" s="273"/>
      <c r="F962" s="273"/>
      <c r="G962" s="273"/>
      <c r="H962" s="273"/>
      <c r="I962" s="2"/>
      <c r="J962" s="17"/>
      <c r="K962" s="10"/>
      <c r="L962" s="10"/>
      <c r="M962" s="10"/>
      <c r="N962" s="10"/>
      <c r="O962" s="10"/>
      <c r="P962" s="10"/>
      <c r="Q962" s="10"/>
      <c r="R962" s="2"/>
      <c r="S962" s="273"/>
      <c r="T962" s="273"/>
      <c r="U962" s="273"/>
      <c r="V962" s="9"/>
      <c r="W962" s="273"/>
      <c r="X962" s="273"/>
      <c r="Y962" s="9"/>
      <c r="Z962" s="273"/>
      <c r="AA962" s="273"/>
      <c r="AB962" s="9"/>
      <c r="AC962" s="273"/>
      <c r="AD962" s="273"/>
      <c r="AE962" s="9"/>
      <c r="AF962" s="273"/>
      <c r="AG962" s="273"/>
      <c r="AH962" s="9"/>
      <c r="AI962" s="273"/>
      <c r="AJ962" s="273"/>
      <c r="AK962" s="9"/>
      <c r="AL962" s="273"/>
      <c r="AM962" s="273"/>
      <c r="AN962" s="9"/>
      <c r="AO962" s="273"/>
      <c r="AP962" s="273"/>
      <c r="AQ962" s="9"/>
      <c r="AR962" s="273"/>
      <c r="AS962" s="39"/>
    </row>
    <row r="963" spans="1:45" ht="12.75">
      <c r="A963" s="160"/>
      <c r="B963" s="273"/>
      <c r="C963" s="273"/>
      <c r="D963" s="273"/>
      <c r="E963" s="273"/>
      <c r="F963" s="273"/>
      <c r="G963" s="273"/>
      <c r="H963" s="273"/>
      <c r="I963" s="2"/>
      <c r="J963" s="21"/>
      <c r="K963" s="10"/>
      <c r="L963" s="10"/>
      <c r="M963" s="10"/>
      <c r="N963" s="10"/>
      <c r="O963" s="10"/>
      <c r="P963" s="10"/>
      <c r="Q963" s="10"/>
      <c r="R963" s="2"/>
      <c r="S963" s="273"/>
      <c r="T963" s="273"/>
      <c r="U963" s="273"/>
      <c r="V963" s="9"/>
      <c r="W963" s="273"/>
      <c r="X963" s="273"/>
      <c r="Y963" s="9"/>
      <c r="Z963" s="273"/>
      <c r="AA963" s="273"/>
      <c r="AB963" s="9"/>
      <c r="AC963" s="273"/>
      <c r="AD963" s="273"/>
      <c r="AE963" s="9"/>
      <c r="AF963" s="273"/>
      <c r="AG963" s="273"/>
      <c r="AH963" s="9"/>
      <c r="AI963" s="273"/>
      <c r="AJ963" s="273"/>
      <c r="AK963" s="9"/>
      <c r="AL963" s="273"/>
      <c r="AM963" s="273"/>
      <c r="AN963" s="9"/>
      <c r="AO963" s="273"/>
      <c r="AP963" s="273"/>
      <c r="AQ963" s="9"/>
      <c r="AR963" s="273"/>
      <c r="AS963" s="39"/>
    </row>
  </sheetData>
  <mergeCells count="2">
    <mergeCell ref="B2:H2"/>
    <mergeCell ref="K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992"/>
  <sheetViews>
    <sheetView topLeftCell="A48" workbookViewId="0">
      <pane xSplit="2" ySplit="1" topLeftCell="Q355" activePane="bottomRight" state="frozen"/>
      <selection pane="bottomRight" activeCell="R356" sqref="R356"/>
      <selection pane="bottomLeft" activeCell="A49" sqref="A49"/>
      <selection pane="topRight"/>
    </sheetView>
  </sheetViews>
  <sheetFormatPr defaultColWidth="14.42578125" defaultRowHeight="15.75" customHeight="1"/>
  <cols>
    <col min="1" max="1" width="17.42578125" style="53" customWidth="1"/>
    <col min="2" max="2" width="8.5703125" style="53" customWidth="1"/>
    <col min="3" max="3" width="9.85546875" style="53" customWidth="1"/>
    <col min="4" max="4" width="14.85546875" style="53" customWidth="1"/>
    <col min="5" max="5" width="13.28515625" style="53" customWidth="1"/>
    <col min="6" max="6" width="13" style="53" bestFit="1" customWidth="1"/>
    <col min="7" max="7" width="10.42578125" style="53" customWidth="1"/>
    <col min="8" max="8" width="6.28515625" style="53" customWidth="1"/>
    <col min="9" max="9" width="6.7109375" style="53" customWidth="1"/>
    <col min="10" max="10" width="5.85546875" style="53" customWidth="1"/>
    <col min="11" max="11" width="12.7109375" style="53" customWidth="1"/>
    <col min="12" max="12" width="12.85546875" style="53" customWidth="1"/>
    <col min="13" max="13" width="13" style="53" customWidth="1"/>
    <col min="14" max="14" width="8" style="53" customWidth="1"/>
    <col min="15" max="15" width="8.5703125" style="53" customWidth="1"/>
    <col min="16" max="16" width="8.140625" style="53" customWidth="1"/>
    <col min="17" max="17" width="10" style="83" bestFit="1" customWidth="1"/>
    <col min="18" max="18" width="10" style="53" customWidth="1"/>
    <col min="19" max="21" width="15" style="53" customWidth="1"/>
    <col min="22" max="22" width="11.140625" style="53" customWidth="1"/>
  </cols>
  <sheetData>
    <row r="1" spans="1:24" ht="15" hidden="1">
      <c r="A1" s="40" t="s">
        <v>60</v>
      </c>
      <c r="B1" s="40" t="s">
        <v>2</v>
      </c>
      <c r="C1" s="40" t="s">
        <v>61</v>
      </c>
      <c r="D1" s="40" t="s">
        <v>62</v>
      </c>
      <c r="E1" s="40" t="s">
        <v>63</v>
      </c>
      <c r="F1" s="40" t="s">
        <v>64</v>
      </c>
      <c r="G1" s="40" t="s">
        <v>65</v>
      </c>
      <c r="H1" s="40" t="s">
        <v>66</v>
      </c>
      <c r="I1" s="40" t="s">
        <v>67</v>
      </c>
      <c r="J1" s="40" t="s">
        <v>68</v>
      </c>
      <c r="K1" s="40" t="s">
        <v>69</v>
      </c>
      <c r="M1" s="44" t="s">
        <v>70</v>
      </c>
      <c r="N1" s="54" t="s">
        <v>71</v>
      </c>
      <c r="O1" s="54"/>
      <c r="P1" s="54"/>
      <c r="Q1" s="92"/>
      <c r="R1" s="55"/>
      <c r="S1" s="55"/>
      <c r="T1" s="55"/>
      <c r="U1" s="55"/>
      <c r="W1" s="273"/>
      <c r="X1" s="273"/>
    </row>
    <row r="2" spans="1:24" ht="15" hidden="1">
      <c r="A2" s="41">
        <v>43878</v>
      </c>
      <c r="B2" s="40" t="s">
        <v>24</v>
      </c>
      <c r="C2" s="40"/>
      <c r="D2" s="40">
        <v>1.9277</v>
      </c>
      <c r="E2" s="40">
        <v>4.9108000000000001</v>
      </c>
      <c r="F2" s="40">
        <v>2.9830999999999999</v>
      </c>
      <c r="G2" s="40">
        <v>235</v>
      </c>
      <c r="H2" s="40">
        <v>60</v>
      </c>
      <c r="I2" s="40">
        <v>417</v>
      </c>
      <c r="J2" s="40">
        <v>357</v>
      </c>
      <c r="K2" s="56">
        <v>28123.428650000002</v>
      </c>
      <c r="M2" s="44">
        <f>357/3</f>
        <v>119</v>
      </c>
      <c r="N2" s="54"/>
      <c r="O2" s="54"/>
      <c r="P2" s="54"/>
      <c r="Q2" s="92"/>
      <c r="R2" s="55"/>
      <c r="S2" s="55"/>
      <c r="T2" s="55"/>
      <c r="U2" s="55"/>
      <c r="W2" s="273"/>
      <c r="X2" s="273"/>
    </row>
    <row r="3" spans="1:24" ht="15" hidden="1">
      <c r="A3" s="41">
        <v>43878</v>
      </c>
      <c r="B3" s="40" t="s">
        <v>11</v>
      </c>
      <c r="C3" s="40"/>
      <c r="D3" s="40">
        <v>1.9265000000000001</v>
      </c>
      <c r="E3" s="40">
        <v>4.6848000000000001</v>
      </c>
      <c r="F3" s="40">
        <v>2.7583000000000002</v>
      </c>
      <c r="G3" s="40">
        <v>442</v>
      </c>
      <c r="H3" s="40">
        <v>31.5</v>
      </c>
      <c r="I3" s="40">
        <v>128</v>
      </c>
      <c r="J3" s="40">
        <v>96.5</v>
      </c>
      <c r="K3" s="56">
        <v>15463.510130000001</v>
      </c>
      <c r="M3" s="44">
        <f t="shared" ref="M3:M5" si="0">10000/K3*J3</f>
        <v>62.404977387886248</v>
      </c>
      <c r="N3" s="54"/>
      <c r="O3" s="54"/>
      <c r="P3" s="54"/>
      <c r="Q3" s="92"/>
      <c r="R3" s="55"/>
      <c r="S3" s="55"/>
      <c r="T3" s="55"/>
      <c r="U3" s="55"/>
      <c r="W3" s="273"/>
      <c r="X3" s="273"/>
    </row>
    <row r="4" spans="1:24" ht="15" hidden="1">
      <c r="A4" s="41">
        <v>43880</v>
      </c>
      <c r="B4" s="40" t="s">
        <v>11</v>
      </c>
      <c r="C4" s="40"/>
      <c r="D4" s="40"/>
      <c r="E4" s="40"/>
      <c r="F4" s="40">
        <v>2.0375999999999999</v>
      </c>
      <c r="G4" s="40">
        <v>168</v>
      </c>
      <c r="H4" s="40"/>
      <c r="I4" s="40">
        <v>198.5</v>
      </c>
      <c r="J4" s="40">
        <v>137.56200000000001</v>
      </c>
      <c r="K4" s="56">
        <f>G4/F4*J4</f>
        <v>11341.978798586573</v>
      </c>
      <c r="M4" s="44">
        <f t="shared" si="0"/>
        <v>121.28571428571428</v>
      </c>
      <c r="N4" s="54"/>
      <c r="O4" s="54"/>
      <c r="P4" s="54"/>
      <c r="Q4" s="92"/>
      <c r="R4" s="55"/>
      <c r="S4" s="55"/>
      <c r="T4" s="55"/>
      <c r="U4" s="55"/>
      <c r="W4" s="273"/>
      <c r="X4" s="273"/>
    </row>
    <row r="5" spans="1:24" ht="15" hidden="1">
      <c r="A5" s="41">
        <v>43880</v>
      </c>
      <c r="B5" s="40" t="s">
        <v>19</v>
      </c>
      <c r="C5" s="40"/>
      <c r="D5" s="40">
        <v>1.9269000000000001</v>
      </c>
      <c r="E5" s="40">
        <v>3.7246999999999999</v>
      </c>
      <c r="F5" s="40">
        <v>1.7978000000000001</v>
      </c>
      <c r="G5" s="40">
        <v>559</v>
      </c>
      <c r="H5" s="40">
        <v>30.5</v>
      </c>
      <c r="I5" s="40">
        <v>94</v>
      </c>
      <c r="J5" s="40">
        <v>63.5</v>
      </c>
      <c r="K5" s="56">
        <v>19744.409830000001</v>
      </c>
      <c r="M5" s="44">
        <f t="shared" si="0"/>
        <v>32.161001795818173</v>
      </c>
      <c r="N5" s="54"/>
      <c r="O5" s="54"/>
      <c r="P5" s="54"/>
      <c r="Q5" s="92"/>
      <c r="R5" s="55"/>
      <c r="S5" s="55"/>
      <c r="T5" s="55"/>
      <c r="U5" s="55"/>
      <c r="W5" s="273"/>
      <c r="X5" s="273"/>
    </row>
    <row r="6" spans="1:24" ht="15" hidden="1">
      <c r="A6" s="41">
        <v>43880</v>
      </c>
      <c r="B6" s="40" t="s">
        <v>18</v>
      </c>
      <c r="C6" s="40"/>
      <c r="D6" s="40">
        <v>2.0333999999999999</v>
      </c>
      <c r="E6" s="40">
        <v>4.1759000000000004</v>
      </c>
      <c r="F6" s="40">
        <v>2.1425000000000001</v>
      </c>
      <c r="G6" s="40">
        <v>512</v>
      </c>
      <c r="H6" s="40"/>
      <c r="I6" s="40">
        <v>188.5</v>
      </c>
      <c r="J6" s="40"/>
      <c r="K6" s="56">
        <v>45046.441070000001</v>
      </c>
      <c r="M6" s="44">
        <f t="shared" ref="M6:M7" si="1">10000/K6*I6</f>
        <v>41.845703128262691</v>
      </c>
      <c r="N6" s="54"/>
      <c r="O6" s="54"/>
      <c r="P6" s="54"/>
      <c r="Q6" s="92"/>
      <c r="R6" s="55"/>
      <c r="S6" s="55"/>
      <c r="T6" s="55"/>
      <c r="U6" s="55"/>
      <c r="W6" s="273"/>
      <c r="X6" s="273"/>
    </row>
    <row r="7" spans="1:24" ht="15" hidden="1">
      <c r="A7" s="41">
        <v>43880</v>
      </c>
      <c r="B7" s="40" t="s">
        <v>72</v>
      </c>
      <c r="C7" s="40"/>
      <c r="D7" s="40">
        <v>2.0333999999999999</v>
      </c>
      <c r="E7" s="40">
        <v>4.6531000000000002</v>
      </c>
      <c r="F7" s="40">
        <v>2.6196999999999999</v>
      </c>
      <c r="G7" s="40">
        <v>210</v>
      </c>
      <c r="H7" s="40"/>
      <c r="I7" s="40">
        <v>262.5</v>
      </c>
      <c r="J7" s="40"/>
      <c r="K7" s="56">
        <v>21042.485779999999</v>
      </c>
      <c r="M7" s="44">
        <f t="shared" si="1"/>
        <v>124.74761905244829</v>
      </c>
      <c r="N7" s="54"/>
      <c r="O7" s="54"/>
      <c r="P7" s="54"/>
      <c r="Q7" s="92"/>
      <c r="R7" s="55"/>
      <c r="S7" s="55"/>
      <c r="T7" s="55"/>
      <c r="U7" s="55"/>
      <c r="W7" s="273"/>
      <c r="X7" s="273"/>
    </row>
    <row r="8" spans="1:24" ht="15" hidden="1">
      <c r="A8" s="41">
        <v>43880</v>
      </c>
      <c r="B8" s="40" t="s">
        <v>16</v>
      </c>
      <c r="C8" s="40"/>
      <c r="D8" s="40">
        <v>1.9267000000000001</v>
      </c>
      <c r="E8" s="40">
        <v>3.5356000000000001</v>
      </c>
      <c r="F8" s="40">
        <v>1.6089</v>
      </c>
      <c r="G8" s="40">
        <v>165</v>
      </c>
      <c r="H8" s="40">
        <v>33.5</v>
      </c>
      <c r="I8" s="40">
        <v>118</v>
      </c>
      <c r="J8" s="40">
        <v>84.5</v>
      </c>
      <c r="K8" s="56">
        <v>8665.8586610000002</v>
      </c>
      <c r="M8" s="44">
        <f>10000/K8*J8</f>
        <v>97.50909091130859</v>
      </c>
      <c r="N8" s="54"/>
      <c r="O8" s="54"/>
      <c r="P8" s="54"/>
      <c r="Q8" s="92"/>
      <c r="R8" s="55"/>
      <c r="S8" s="55"/>
      <c r="T8" s="55"/>
      <c r="U8" s="55"/>
      <c r="W8" s="273"/>
      <c r="X8" s="273"/>
    </row>
    <row r="9" spans="1:24" ht="12.75" hidden="1">
      <c r="A9" s="42">
        <v>43878</v>
      </c>
      <c r="B9" s="44" t="s">
        <v>18</v>
      </c>
      <c r="C9" s="44"/>
      <c r="D9" s="44">
        <v>2.0335000000000001</v>
      </c>
      <c r="E9" s="44">
        <v>4.7427000000000001</v>
      </c>
      <c r="F9" s="44">
        <f>E9-D9</f>
        <v>2.7092000000000001</v>
      </c>
      <c r="G9" s="44">
        <v>226</v>
      </c>
      <c r="J9" s="44">
        <f>119.6+119.2+138.4</f>
        <v>377.20000000000005</v>
      </c>
      <c r="K9" s="44">
        <f>J9/F9*G9</f>
        <v>31465.820168315375</v>
      </c>
      <c r="M9" s="44">
        <f>10000/G9*F9</f>
        <v>119.87610619469027</v>
      </c>
      <c r="N9" s="54"/>
      <c r="O9" s="54"/>
      <c r="P9" s="54"/>
      <c r="Q9" s="92"/>
      <c r="R9" s="55"/>
      <c r="S9" s="55"/>
      <c r="T9" s="55"/>
      <c r="U9" s="55"/>
      <c r="W9" s="273"/>
      <c r="X9" s="273"/>
    </row>
    <row r="10" spans="1:24" ht="12.75" hidden="1">
      <c r="A10" s="44"/>
      <c r="N10" s="54"/>
      <c r="O10" s="54"/>
      <c r="P10" s="54"/>
      <c r="Q10" s="92"/>
      <c r="R10" s="55"/>
      <c r="S10" s="55"/>
      <c r="T10" s="55"/>
      <c r="U10" s="55"/>
      <c r="W10" s="273"/>
      <c r="X10" s="273"/>
    </row>
    <row r="11" spans="1:24" ht="12.75" hidden="1">
      <c r="A11" s="44"/>
      <c r="N11" s="54"/>
      <c r="O11" s="54"/>
      <c r="P11" s="54"/>
      <c r="Q11" s="92"/>
      <c r="R11" s="55"/>
      <c r="S11" s="55"/>
      <c r="T11" s="55"/>
      <c r="U11" s="55"/>
      <c r="W11" s="273"/>
      <c r="X11" s="273"/>
    </row>
    <row r="12" spans="1:24" ht="12.75" hidden="1">
      <c r="A12" s="43">
        <v>43882</v>
      </c>
      <c r="B12" s="44" t="s">
        <v>19</v>
      </c>
      <c r="C12" s="44"/>
      <c r="D12" s="44">
        <v>1.9276</v>
      </c>
      <c r="E12" s="44">
        <v>3.4262999999999999</v>
      </c>
      <c r="F12" s="44">
        <f t="shared" ref="F12:F13" si="2">E12-D12</f>
        <v>1.4986999999999999</v>
      </c>
      <c r="G12" s="44">
        <v>568</v>
      </c>
      <c r="H12" s="44">
        <v>38.5</v>
      </c>
      <c r="I12" s="44">
        <v>175.5</v>
      </c>
      <c r="J12" s="44">
        <f t="shared" ref="J12:J13" si="3">I12-H12</f>
        <v>137</v>
      </c>
      <c r="K12" s="57">
        <f t="shared" ref="K12:K13" si="4">(G12/F12)*J12</f>
        <v>51922.332688329887</v>
      </c>
      <c r="M12" s="44">
        <f t="shared" ref="M12:M13" si="5">10000/K12*J12</f>
        <v>26.385563380281688</v>
      </c>
      <c r="N12" s="54">
        <f t="shared" ref="N12:N15" si="6">J12/M12</f>
        <v>5.1922332688329886</v>
      </c>
      <c r="O12" s="54" t="s">
        <v>73</v>
      </c>
      <c r="P12" s="54"/>
      <c r="Q12" s="92"/>
      <c r="R12" s="55"/>
      <c r="S12" s="55"/>
      <c r="T12" s="55"/>
      <c r="U12" s="55"/>
      <c r="W12" s="273"/>
      <c r="X12" s="273"/>
    </row>
    <row r="13" spans="1:24" ht="12.75" hidden="1">
      <c r="A13" s="43">
        <v>43885</v>
      </c>
      <c r="B13" s="44" t="s">
        <v>24</v>
      </c>
      <c r="C13" s="44"/>
      <c r="D13" s="44">
        <v>1.9268000000000001</v>
      </c>
      <c r="E13" s="44">
        <v>3.3328000000000002</v>
      </c>
      <c r="F13" s="44">
        <f t="shared" si="2"/>
        <v>1.4060000000000001</v>
      </c>
      <c r="G13" s="44">
        <v>338</v>
      </c>
      <c r="H13" s="44">
        <v>35.5</v>
      </c>
      <c r="I13" s="44">
        <v>248</v>
      </c>
      <c r="J13" s="44">
        <f t="shared" si="3"/>
        <v>212.5</v>
      </c>
      <c r="K13" s="57">
        <f t="shared" si="4"/>
        <v>51084.637268847793</v>
      </c>
      <c r="M13" s="44">
        <f t="shared" si="5"/>
        <v>41.597633136094679</v>
      </c>
      <c r="N13" s="54">
        <f t="shared" si="6"/>
        <v>5.1084637268847786</v>
      </c>
      <c r="O13" s="54"/>
      <c r="P13" s="54"/>
      <c r="Q13" s="92"/>
      <c r="R13" s="55"/>
      <c r="S13" s="55"/>
      <c r="T13" s="55"/>
      <c r="U13" s="55"/>
      <c r="W13" s="273"/>
      <c r="X13" s="273"/>
    </row>
    <row r="14" spans="1:24" ht="15" hidden="1">
      <c r="A14" s="43">
        <v>43885</v>
      </c>
      <c r="B14" s="44" t="s">
        <v>18</v>
      </c>
      <c r="C14" s="44"/>
      <c r="J14" s="44">
        <v>155.5</v>
      </c>
      <c r="K14" s="58">
        <v>101087.7</v>
      </c>
      <c r="M14" s="40">
        <v>15.382680000000001</v>
      </c>
      <c r="N14" s="54">
        <f t="shared" si="6"/>
        <v>10.108771683477782</v>
      </c>
      <c r="O14" s="54"/>
      <c r="P14" s="54"/>
      <c r="Q14" s="92"/>
      <c r="R14" s="55"/>
      <c r="S14" s="55"/>
      <c r="T14" s="55"/>
      <c r="U14" s="55"/>
      <c r="W14" s="273"/>
      <c r="X14" s="273"/>
    </row>
    <row r="15" spans="1:24" ht="12.75" hidden="1">
      <c r="A15" s="43">
        <v>43885</v>
      </c>
      <c r="B15" s="44" t="s">
        <v>24</v>
      </c>
      <c r="C15" s="44"/>
      <c r="D15" s="44">
        <v>1.9268000000000001</v>
      </c>
      <c r="E15" s="44">
        <v>3.2970999999999999</v>
      </c>
      <c r="F15" s="44">
        <f>E15-D15</f>
        <v>1.3702999999999999</v>
      </c>
      <c r="G15" s="44">
        <v>302</v>
      </c>
      <c r="H15" s="44">
        <v>50</v>
      </c>
      <c r="I15" s="44">
        <v>292.5</v>
      </c>
      <c r="J15" s="44">
        <f>I15-H15</f>
        <v>242.5</v>
      </c>
      <c r="K15" s="57">
        <f>(G15/F15)*J15</f>
        <v>53444.501204115899</v>
      </c>
      <c r="M15" s="44">
        <f>10000/K15*J15</f>
        <v>45.374172185430453</v>
      </c>
      <c r="N15" s="54">
        <f t="shared" si="6"/>
        <v>5.3444501204115902</v>
      </c>
      <c r="O15" s="54"/>
      <c r="P15" s="54"/>
      <c r="Q15" s="92"/>
      <c r="R15" s="55"/>
      <c r="S15" s="55"/>
      <c r="T15" s="55"/>
      <c r="U15" s="55"/>
      <c r="W15" s="273"/>
      <c r="X15" s="273"/>
    </row>
    <row r="16" spans="1:24" ht="12.75" hidden="1">
      <c r="A16" s="44"/>
      <c r="N16" s="54"/>
      <c r="O16" s="54"/>
      <c r="P16" s="54"/>
      <c r="Q16" s="92"/>
      <c r="R16" s="55"/>
      <c r="S16" s="55"/>
      <c r="T16" s="55"/>
      <c r="U16" s="55"/>
      <c r="W16" s="273"/>
      <c r="X16" s="273"/>
    </row>
    <row r="17" spans="1:24" ht="15" hidden="1">
      <c r="A17" s="43">
        <v>43887</v>
      </c>
      <c r="B17" s="44" t="s">
        <v>74</v>
      </c>
      <c r="C17" s="44"/>
      <c r="J17" s="44">
        <v>924.5</v>
      </c>
      <c r="K17" s="59">
        <v>238913.5</v>
      </c>
      <c r="M17" s="40">
        <v>38.696019999999997</v>
      </c>
      <c r="N17" s="54">
        <f t="shared" ref="N17:N20" si="7">J17/M17</f>
        <v>23.891345931700471</v>
      </c>
      <c r="O17" s="54"/>
      <c r="P17" s="54"/>
      <c r="Q17" s="92"/>
      <c r="R17" s="55"/>
      <c r="S17" s="55"/>
      <c r="T17" s="55"/>
      <c r="U17" s="55"/>
      <c r="W17" s="273"/>
      <c r="X17" s="273"/>
    </row>
    <row r="18" spans="1:24" ht="12.75" hidden="1">
      <c r="A18" s="43">
        <v>43885</v>
      </c>
      <c r="B18" s="44" t="s">
        <v>8</v>
      </c>
      <c r="C18" s="44"/>
      <c r="D18" s="44">
        <v>1.8549</v>
      </c>
      <c r="E18" s="44">
        <v>3.3264999999999998</v>
      </c>
      <c r="F18" s="44">
        <f t="shared" ref="F18:F20" si="8">E18-D18</f>
        <v>1.4715999999999998</v>
      </c>
      <c r="G18" s="44">
        <v>310</v>
      </c>
      <c r="H18" s="44">
        <v>30</v>
      </c>
      <c r="I18" s="44">
        <v>194</v>
      </c>
      <c r="J18" s="44">
        <f t="shared" ref="J18:J20" si="9">I18-H18</f>
        <v>164</v>
      </c>
      <c r="K18" s="57">
        <f t="shared" ref="K18:K20" si="10">(G18/F18)*J18</f>
        <v>34547.431367219353</v>
      </c>
      <c r="M18" s="44">
        <f t="shared" ref="M18:M20" si="11">10000/K18*J18</f>
        <v>47.470967741935482</v>
      </c>
      <c r="N18" s="54">
        <f t="shared" si="7"/>
        <v>3.4547431367219357</v>
      </c>
      <c r="O18" s="54"/>
      <c r="P18" s="54"/>
      <c r="Q18" s="92"/>
      <c r="R18" s="55"/>
      <c r="S18" s="55"/>
      <c r="T18" s="55"/>
      <c r="U18" s="55"/>
      <c r="W18" s="273"/>
      <c r="X18" s="273"/>
    </row>
    <row r="19" spans="1:24" ht="12.75" hidden="1">
      <c r="A19" s="43">
        <v>43885</v>
      </c>
      <c r="B19" s="44" t="s">
        <v>16</v>
      </c>
      <c r="C19" s="44"/>
      <c r="D19" s="44">
        <v>1.8552999999999999</v>
      </c>
      <c r="E19" s="44">
        <v>2.9861</v>
      </c>
      <c r="F19" s="44">
        <f t="shared" si="8"/>
        <v>1.1308</v>
      </c>
      <c r="G19" s="44">
        <v>427</v>
      </c>
      <c r="H19" s="44">
        <v>32</v>
      </c>
      <c r="I19" s="44">
        <v>114.5</v>
      </c>
      <c r="J19" s="44">
        <f t="shared" si="9"/>
        <v>82.5</v>
      </c>
      <c r="K19" s="57">
        <f t="shared" si="10"/>
        <v>31152.723735408559</v>
      </c>
      <c r="M19" s="44">
        <f t="shared" si="11"/>
        <v>26.482435597189699</v>
      </c>
      <c r="N19" s="54">
        <f t="shared" si="7"/>
        <v>3.1152723735408556</v>
      </c>
      <c r="O19" s="54"/>
      <c r="P19" s="54"/>
      <c r="Q19" s="92"/>
      <c r="R19" s="55"/>
      <c r="S19" s="55"/>
      <c r="T19" s="55"/>
      <c r="U19" s="55"/>
      <c r="W19" s="273"/>
      <c r="X19" s="273"/>
    </row>
    <row r="20" spans="1:24" ht="12.75" hidden="1">
      <c r="A20" s="43">
        <v>43885</v>
      </c>
      <c r="B20" s="44" t="s">
        <v>19</v>
      </c>
      <c r="C20" s="44"/>
      <c r="D20" s="44">
        <v>1.8552999999999999</v>
      </c>
      <c r="E20" s="44">
        <v>2.9306000000000001</v>
      </c>
      <c r="F20" s="44">
        <f t="shared" si="8"/>
        <v>1.0753000000000001</v>
      </c>
      <c r="G20" s="44">
        <v>329</v>
      </c>
      <c r="H20" s="44">
        <v>30.5</v>
      </c>
      <c r="I20" s="44">
        <v>112</v>
      </c>
      <c r="J20" s="44">
        <f t="shared" si="9"/>
        <v>81.5</v>
      </c>
      <c r="K20" s="57">
        <f t="shared" si="10"/>
        <v>24935.831860876031</v>
      </c>
      <c r="M20" s="44">
        <f t="shared" si="11"/>
        <v>32.683890577507604</v>
      </c>
      <c r="N20" s="54">
        <f t="shared" si="7"/>
        <v>2.4935831860876032</v>
      </c>
      <c r="O20" s="54"/>
      <c r="P20" s="54"/>
      <c r="Q20" s="92"/>
      <c r="R20" s="55"/>
      <c r="S20" s="55"/>
      <c r="T20" s="55"/>
      <c r="U20" s="55"/>
      <c r="W20" s="273"/>
      <c r="X20" s="273"/>
    </row>
    <row r="21" spans="1:24" ht="12.75" hidden="1">
      <c r="A21" s="44"/>
      <c r="N21" s="54"/>
      <c r="O21" s="54"/>
      <c r="P21" s="54"/>
      <c r="Q21" s="92"/>
      <c r="R21" s="55"/>
      <c r="S21" s="55"/>
      <c r="T21" s="55"/>
      <c r="U21" s="55"/>
      <c r="W21" s="273"/>
      <c r="X21" s="273"/>
    </row>
    <row r="22" spans="1:24" ht="12.75" hidden="1">
      <c r="A22" s="44"/>
      <c r="N22" s="54"/>
      <c r="O22" s="54"/>
      <c r="P22" s="54"/>
      <c r="Q22" s="92"/>
      <c r="R22" s="55"/>
      <c r="S22" s="55"/>
      <c r="T22" s="55"/>
      <c r="U22" s="55"/>
      <c r="W22" s="273"/>
      <c r="X22" s="273"/>
    </row>
    <row r="23" spans="1:24" ht="15" hidden="1">
      <c r="A23" s="44"/>
      <c r="D23" s="40" t="s">
        <v>75</v>
      </c>
      <c r="E23" s="40">
        <v>1</v>
      </c>
      <c r="F23" s="40">
        <v>2</v>
      </c>
      <c r="G23" s="40">
        <v>3</v>
      </c>
      <c r="N23" s="54"/>
      <c r="O23" s="54"/>
      <c r="P23" s="54"/>
      <c r="Q23" s="92"/>
      <c r="R23" s="55"/>
      <c r="S23" s="55"/>
      <c r="T23" s="55"/>
      <c r="U23" s="55"/>
      <c r="W23" s="273"/>
      <c r="X23" s="273"/>
    </row>
    <row r="24" spans="1:24" ht="15" hidden="1">
      <c r="A24" s="44"/>
      <c r="D24" s="40" t="s">
        <v>76</v>
      </c>
      <c r="E24" s="40">
        <v>1.75</v>
      </c>
      <c r="F24" s="40">
        <v>1.4036999999999999</v>
      </c>
      <c r="G24" s="40">
        <v>1.6431</v>
      </c>
      <c r="N24" s="54"/>
      <c r="O24" s="54"/>
      <c r="P24" s="54"/>
      <c r="Q24" s="92"/>
      <c r="R24" s="55"/>
      <c r="S24" s="55"/>
      <c r="T24" s="55"/>
      <c r="U24" s="55"/>
      <c r="W24" s="273"/>
      <c r="X24" s="273"/>
    </row>
    <row r="25" spans="1:24" ht="15" hidden="1">
      <c r="A25" s="44"/>
      <c r="D25" s="40" t="s">
        <v>77</v>
      </c>
      <c r="E25" s="40">
        <v>241</v>
      </c>
      <c r="F25" s="40">
        <v>143</v>
      </c>
      <c r="G25" s="40">
        <v>237</v>
      </c>
      <c r="N25" s="54"/>
      <c r="O25" s="54"/>
      <c r="P25" s="54"/>
      <c r="Q25" s="92"/>
      <c r="R25" s="55"/>
      <c r="S25" s="55"/>
      <c r="T25" s="55"/>
      <c r="U25" s="55"/>
      <c r="W25" s="273"/>
      <c r="X25" s="273"/>
    </row>
    <row r="26" spans="1:24" ht="15" hidden="1">
      <c r="A26" s="44"/>
      <c r="D26" s="40" t="s">
        <v>78</v>
      </c>
      <c r="E26" s="40">
        <f t="shared" ref="E26:G26" si="12">E24/E25</f>
        <v>7.261410788381743E-3</v>
      </c>
      <c r="F26" s="40">
        <f t="shared" si="12"/>
        <v>9.8160839160839151E-3</v>
      </c>
      <c r="G26" s="40">
        <f t="shared" si="12"/>
        <v>6.9329113924050632E-3</v>
      </c>
      <c r="N26" s="54"/>
      <c r="O26" s="54"/>
      <c r="P26" s="54"/>
      <c r="Q26" s="92"/>
      <c r="R26" s="55"/>
      <c r="S26" s="55"/>
      <c r="T26" s="55"/>
      <c r="U26" s="55"/>
      <c r="W26" s="273"/>
      <c r="X26" s="273"/>
    </row>
    <row r="27" spans="1:24" ht="15" hidden="1">
      <c r="A27" s="44"/>
      <c r="D27" s="40" t="s">
        <v>67</v>
      </c>
      <c r="E27" s="40">
        <v>934.5</v>
      </c>
      <c r="F27" s="40"/>
      <c r="G27" s="40"/>
      <c r="N27" s="54"/>
      <c r="O27" s="54"/>
      <c r="P27" s="54"/>
      <c r="Q27" s="92"/>
      <c r="R27" s="55"/>
      <c r="S27" s="55"/>
      <c r="T27" s="55"/>
      <c r="U27" s="55"/>
      <c r="W27" s="273"/>
      <c r="X27" s="273"/>
    </row>
    <row r="28" spans="1:24" ht="15" hidden="1">
      <c r="A28" s="44"/>
      <c r="D28" s="59" t="s">
        <v>79</v>
      </c>
      <c r="E28" s="59">
        <f>E27/AVERAGE(E26:G26)</f>
        <v>116761.87352638655</v>
      </c>
      <c r="F28" s="40"/>
      <c r="G28" s="40"/>
      <c r="N28" s="54"/>
      <c r="O28" s="54"/>
      <c r="P28" s="54"/>
      <c r="Q28" s="92"/>
      <c r="R28" s="55"/>
      <c r="S28" s="55"/>
      <c r="T28" s="55"/>
      <c r="U28" s="55"/>
      <c r="W28" s="273"/>
      <c r="X28" s="273"/>
    </row>
    <row r="29" spans="1:24" ht="15" hidden="1">
      <c r="A29" s="44"/>
      <c r="D29" s="40" t="s">
        <v>80</v>
      </c>
      <c r="E29" s="40">
        <f>AVERAGE(E26:G26)*10000</f>
        <v>80.034686989569082</v>
      </c>
      <c r="F29" s="40"/>
      <c r="G29" s="40"/>
      <c r="N29" s="54"/>
      <c r="O29" s="54"/>
      <c r="P29" s="54"/>
      <c r="Q29" s="92"/>
      <c r="R29" s="55"/>
      <c r="S29" s="55"/>
      <c r="T29" s="55"/>
      <c r="U29" s="55"/>
      <c r="W29" s="273"/>
      <c r="X29" s="273"/>
    </row>
    <row r="30" spans="1:24" ht="15" hidden="1">
      <c r="A30" s="44"/>
      <c r="D30" s="40" t="s">
        <v>81</v>
      </c>
      <c r="E30" s="40">
        <f>E27/E29</f>
        <v>11.676187352638655</v>
      </c>
      <c r="F30" s="40"/>
      <c r="G30" s="40"/>
      <c r="N30" s="54"/>
      <c r="O30" s="54"/>
      <c r="P30" s="54"/>
      <c r="Q30" s="92"/>
      <c r="R30" s="55"/>
      <c r="S30" s="55"/>
      <c r="T30" s="55"/>
      <c r="U30" s="55"/>
      <c r="W30" s="273"/>
      <c r="X30" s="273"/>
    </row>
    <row r="31" spans="1:24" ht="12.75" hidden="1">
      <c r="A31" s="44"/>
      <c r="N31" s="54"/>
      <c r="O31" s="54"/>
      <c r="P31" s="54"/>
      <c r="Q31" s="92"/>
      <c r="R31" s="55"/>
      <c r="S31" s="55"/>
      <c r="T31" s="55"/>
      <c r="U31" s="55"/>
      <c r="W31" s="273"/>
      <c r="X31" s="273"/>
    </row>
    <row r="32" spans="1:24" ht="12.75" hidden="1">
      <c r="A32" s="44"/>
      <c r="D32" s="278" t="s">
        <v>76</v>
      </c>
      <c r="E32" s="279"/>
      <c r="F32" s="280"/>
      <c r="G32" s="278" t="s">
        <v>82</v>
      </c>
      <c r="H32" s="279"/>
      <c r="I32" s="280"/>
      <c r="J32" s="278" t="s">
        <v>83</v>
      </c>
      <c r="K32" s="279"/>
      <c r="L32" s="280"/>
      <c r="N32" s="54"/>
      <c r="O32" s="54"/>
      <c r="P32" s="54"/>
      <c r="Q32" s="92"/>
      <c r="R32" s="55"/>
      <c r="S32" s="55"/>
      <c r="T32" s="55"/>
      <c r="U32" s="55"/>
      <c r="W32" s="273"/>
      <c r="X32" s="273"/>
    </row>
    <row r="33" spans="1:24" ht="15" hidden="1">
      <c r="A33" s="44"/>
      <c r="D33" s="60">
        <v>1</v>
      </c>
      <c r="E33" s="60">
        <v>2</v>
      </c>
      <c r="F33" s="60">
        <v>3</v>
      </c>
      <c r="G33" s="60">
        <v>1</v>
      </c>
      <c r="H33" s="60">
        <v>2</v>
      </c>
      <c r="I33" s="60">
        <v>3</v>
      </c>
      <c r="J33" s="47">
        <v>1</v>
      </c>
      <c r="K33" s="47">
        <v>2</v>
      </c>
      <c r="L33" s="47">
        <v>3</v>
      </c>
      <c r="M33" s="40" t="s">
        <v>67</v>
      </c>
      <c r="N33" s="61" t="s">
        <v>79</v>
      </c>
      <c r="O33" s="62" t="s">
        <v>80</v>
      </c>
      <c r="P33" s="62" t="s">
        <v>81</v>
      </c>
      <c r="Q33" s="93"/>
      <c r="R33" s="55"/>
      <c r="S33" s="55"/>
      <c r="T33" s="55"/>
      <c r="U33" s="55"/>
      <c r="W33" s="273"/>
      <c r="X33" s="273"/>
    </row>
    <row r="34" spans="1:24" ht="15" hidden="1">
      <c r="A34" s="44" t="s">
        <v>84</v>
      </c>
      <c r="B34" s="40" t="s">
        <v>24</v>
      </c>
      <c r="C34" s="40"/>
      <c r="D34" s="44">
        <v>1.3132999999999999</v>
      </c>
      <c r="E34" s="44">
        <v>1.6702999999999999</v>
      </c>
      <c r="F34" s="44">
        <v>1.2206999999999999</v>
      </c>
      <c r="G34" s="44">
        <v>315</v>
      </c>
      <c r="H34" s="44">
        <v>235</v>
      </c>
      <c r="I34" s="44">
        <v>175</v>
      </c>
      <c r="J34" s="44">
        <f t="shared" ref="J34:L34" si="13">D34/G34</f>
        <v>4.1692063492063487E-3</v>
      </c>
      <c r="K34" s="44">
        <f t="shared" si="13"/>
        <v>7.1076595744680848E-3</v>
      </c>
      <c r="L34" s="44">
        <f t="shared" si="13"/>
        <v>6.9754285714285708E-3</v>
      </c>
      <c r="M34" s="44">
        <v>1446.5</v>
      </c>
      <c r="N34" s="54">
        <f t="shared" ref="N34:N43" si="14">M34/AVERAGE(J34:L34)</f>
        <v>237750.93050160163</v>
      </c>
      <c r="O34" s="54">
        <f t="shared" ref="O34:O36" si="15">AVERAGE(J34:L34)*10000</f>
        <v>60.840981650343338</v>
      </c>
      <c r="P34" s="54">
        <f t="shared" ref="P34:P45" si="16">M34/O34</f>
        <v>23.775093050160166</v>
      </c>
      <c r="Q34" s="92"/>
      <c r="R34" s="55"/>
      <c r="S34" s="55"/>
      <c r="T34" s="55"/>
      <c r="U34" s="55"/>
      <c r="W34" s="273"/>
      <c r="X34" s="273"/>
    </row>
    <row r="35" spans="1:24" ht="12.75" hidden="1">
      <c r="A35" s="43">
        <v>43892</v>
      </c>
      <c r="B35" s="44" t="s">
        <v>85</v>
      </c>
      <c r="C35" s="44"/>
      <c r="D35" s="44">
        <v>1.6067</v>
      </c>
      <c r="E35" s="44">
        <v>1.3892</v>
      </c>
      <c r="F35" s="44">
        <v>1.7037</v>
      </c>
      <c r="G35" s="44">
        <v>305</v>
      </c>
      <c r="H35" s="44">
        <v>304</v>
      </c>
      <c r="I35" s="44">
        <v>323</v>
      </c>
      <c r="J35" s="44">
        <f t="shared" ref="J35:L35" si="17">D35/G35</f>
        <v>5.2678688524590168E-3</v>
      </c>
      <c r="K35" s="44">
        <f t="shared" si="17"/>
        <v>4.5697368421052627E-3</v>
      </c>
      <c r="L35" s="44">
        <f t="shared" si="17"/>
        <v>5.2746130030959749E-3</v>
      </c>
      <c r="M35" s="44">
        <v>644.5</v>
      </c>
      <c r="N35" s="54">
        <f t="shared" si="14"/>
        <v>127942.82816323677</v>
      </c>
      <c r="O35" s="54">
        <f t="shared" si="15"/>
        <v>50.37406232553419</v>
      </c>
      <c r="P35" s="54">
        <f t="shared" si="16"/>
        <v>12.794282816323676</v>
      </c>
      <c r="Q35" s="92"/>
      <c r="R35" s="55"/>
      <c r="S35" s="55"/>
      <c r="T35" s="55"/>
      <c r="U35" s="55"/>
      <c r="W35" s="273"/>
      <c r="X35" s="273"/>
    </row>
    <row r="36" spans="1:24" ht="12.75" hidden="1">
      <c r="A36" s="44" t="s">
        <v>86</v>
      </c>
      <c r="B36" s="44" t="s">
        <v>8</v>
      </c>
      <c r="C36" s="44"/>
      <c r="D36" s="44">
        <v>1.0684</v>
      </c>
      <c r="E36" s="44">
        <v>1.3252999999999999</v>
      </c>
      <c r="F36" s="44">
        <v>1.5996999999999999</v>
      </c>
      <c r="G36" s="44">
        <v>243</v>
      </c>
      <c r="H36" s="44">
        <v>305</v>
      </c>
      <c r="I36" s="44">
        <v>329</v>
      </c>
      <c r="J36" s="44">
        <f t="shared" ref="J36:L36" si="18">D36/G36</f>
        <v>4.3967078189300415E-3</v>
      </c>
      <c r="K36" s="44">
        <f t="shared" si="18"/>
        <v>4.3452459016393441E-3</v>
      </c>
      <c r="L36" s="44">
        <f t="shared" si="18"/>
        <v>4.8623100303951368E-3</v>
      </c>
      <c r="M36" s="44">
        <v>551.5</v>
      </c>
      <c r="N36" s="54">
        <f t="shared" si="14"/>
        <v>121616.28370978168</v>
      </c>
      <c r="O36" s="54">
        <f t="shared" si="15"/>
        <v>45.347545836548406</v>
      </c>
      <c r="P36" s="54">
        <f t="shared" si="16"/>
        <v>12.161628370978168</v>
      </c>
      <c r="Q36" s="92"/>
      <c r="R36" s="55"/>
      <c r="S36" s="55"/>
      <c r="T36" s="55"/>
      <c r="U36" s="55"/>
      <c r="W36" s="273"/>
      <c r="X36" s="273"/>
    </row>
    <row r="37" spans="1:24" ht="12.75" hidden="1">
      <c r="A37" s="44" t="s">
        <v>87</v>
      </c>
      <c r="B37" s="44" t="s">
        <v>8</v>
      </c>
      <c r="C37" s="44"/>
      <c r="D37" s="44">
        <f>3.4604-1.8974</f>
        <v>1.5629999999999999</v>
      </c>
      <c r="E37" s="44">
        <f>3.8248-1.889</f>
        <v>1.9358000000000002</v>
      </c>
      <c r="F37" s="44">
        <f>3.364-1.7274</f>
        <v>1.6365999999999998</v>
      </c>
      <c r="G37" s="44">
        <v>245</v>
      </c>
      <c r="H37" s="44">
        <v>389</v>
      </c>
      <c r="I37" s="44">
        <v>351</v>
      </c>
      <c r="J37" s="44">
        <f t="shared" ref="J37:L37" si="19">D37/G37</f>
        <v>6.3795918367346932E-3</v>
      </c>
      <c r="K37" s="44">
        <f t="shared" si="19"/>
        <v>4.9763496143958872E-3</v>
      </c>
      <c r="L37" s="44">
        <f t="shared" si="19"/>
        <v>4.6626780626780624E-3</v>
      </c>
      <c r="M37" s="44">
        <v>1315</v>
      </c>
      <c r="N37" s="54">
        <f t="shared" si="14"/>
        <v>246275.90390041188</v>
      </c>
      <c r="O37" s="54">
        <v>49</v>
      </c>
      <c r="P37" s="54">
        <f t="shared" si="16"/>
        <v>26.836734693877553</v>
      </c>
      <c r="Q37" s="92"/>
      <c r="R37" s="55"/>
      <c r="S37" s="55"/>
      <c r="T37" s="55"/>
      <c r="U37" s="55"/>
      <c r="W37" s="273"/>
      <c r="X37" s="273"/>
    </row>
    <row r="38" spans="1:24" ht="12.75" hidden="1">
      <c r="A38" s="44" t="s">
        <v>88</v>
      </c>
      <c r="B38" s="44" t="s">
        <v>16</v>
      </c>
      <c r="C38" s="44"/>
      <c r="D38" s="44">
        <f>4.4996-1.8982</f>
        <v>2.6013999999999999</v>
      </c>
      <c r="E38" s="44">
        <f>4.9555-1.8886</f>
        <v>3.0668999999999995</v>
      </c>
      <c r="F38" s="44">
        <f>4.6794-1.7267</f>
        <v>2.9527000000000001</v>
      </c>
      <c r="G38" s="44">
        <v>524</v>
      </c>
      <c r="H38" s="44">
        <v>550</v>
      </c>
      <c r="I38" s="44">
        <v>439</v>
      </c>
      <c r="J38" s="44">
        <f t="shared" ref="J38:L38" si="20">D38/G38</f>
        <v>4.9645038167938933E-3</v>
      </c>
      <c r="K38" s="44">
        <f t="shared" si="20"/>
        <v>5.5761818181818169E-3</v>
      </c>
      <c r="L38" s="44">
        <f t="shared" si="20"/>
        <v>6.7259681093394079E-3</v>
      </c>
      <c r="M38" s="44">
        <v>1001.5</v>
      </c>
      <c r="N38" s="54">
        <f t="shared" si="14"/>
        <v>174005.92173160383</v>
      </c>
      <c r="O38" s="54">
        <f t="shared" ref="O38:O43" si="21">AVERAGE(J38:L38)*10000</f>
        <v>57.555512481050386</v>
      </c>
      <c r="P38" s="54">
        <f t="shared" si="16"/>
        <v>17.400592173160383</v>
      </c>
      <c r="Q38" s="92"/>
      <c r="R38" s="55"/>
      <c r="S38" s="55"/>
      <c r="T38" s="55"/>
      <c r="U38" s="55"/>
      <c r="W38" s="273"/>
      <c r="X38" s="273"/>
    </row>
    <row r="39" spans="1:24" ht="12.75" hidden="1">
      <c r="A39" s="44" t="s">
        <v>88</v>
      </c>
      <c r="B39" s="44" t="s">
        <v>19</v>
      </c>
      <c r="C39" s="45">
        <v>43909</v>
      </c>
      <c r="D39" s="44">
        <f>-1.8985+5.005</f>
        <v>3.1064999999999996</v>
      </c>
      <c r="E39" s="44">
        <f>-1.8891+5.2139</f>
        <v>3.3247999999999998</v>
      </c>
      <c r="F39" s="44">
        <f>-1.7274+5.1459</f>
        <v>3.4184999999999999</v>
      </c>
      <c r="G39" s="44">
        <v>771</v>
      </c>
      <c r="H39" s="44">
        <v>850</v>
      </c>
      <c r="I39" s="44">
        <v>874</v>
      </c>
      <c r="J39" s="44">
        <f t="shared" ref="J39:L39" si="22">D39/G39</f>
        <v>4.0291828793774312E-3</v>
      </c>
      <c r="K39" s="44">
        <f t="shared" si="22"/>
        <v>3.9115294117647052E-3</v>
      </c>
      <c r="L39" s="44">
        <f t="shared" si="22"/>
        <v>3.911327231121281E-3</v>
      </c>
      <c r="M39" s="44">
        <v>475.5</v>
      </c>
      <c r="N39" s="54">
        <f t="shared" si="14"/>
        <v>120359.03165192764</v>
      </c>
      <c r="O39" s="54">
        <f t="shared" si="21"/>
        <v>39.506798407544721</v>
      </c>
      <c r="P39" s="54">
        <f t="shared" si="16"/>
        <v>12.035903165192765</v>
      </c>
      <c r="Q39" s="92"/>
      <c r="R39" s="55"/>
      <c r="S39" s="55"/>
      <c r="T39" s="55"/>
      <c r="U39" s="55"/>
      <c r="W39" s="273"/>
      <c r="X39" s="273"/>
    </row>
    <row r="40" spans="1:24" ht="12.75" hidden="1">
      <c r="A40" s="44" t="s">
        <v>89</v>
      </c>
      <c r="B40" s="44" t="s">
        <v>18</v>
      </c>
      <c r="C40" s="45">
        <v>43909</v>
      </c>
      <c r="D40" s="44">
        <f>-1.8985+3.8518</f>
        <v>1.9532999999999998</v>
      </c>
      <c r="E40" s="44">
        <f>-1.8886+3.8883</f>
        <v>1.9997</v>
      </c>
      <c r="F40" s="44">
        <f>-1.7265+3.6879</f>
        <v>1.9614</v>
      </c>
      <c r="G40" s="44">
        <v>456</v>
      </c>
      <c r="H40" s="44">
        <v>486</v>
      </c>
      <c r="I40" s="44">
        <v>466</v>
      </c>
      <c r="J40" s="44">
        <f t="shared" ref="J40:L40" si="23">D40/G40</f>
        <v>4.2835526315789466E-3</v>
      </c>
      <c r="K40" s="44">
        <f t="shared" si="23"/>
        <v>4.1146090534979422E-3</v>
      </c>
      <c r="L40" s="44">
        <f t="shared" si="23"/>
        <v>4.2090128755364808E-3</v>
      </c>
      <c r="M40" s="44">
        <v>811.5</v>
      </c>
      <c r="N40" s="54">
        <f t="shared" si="14"/>
        <v>193104.33026014638</v>
      </c>
      <c r="O40" s="54">
        <f t="shared" si="21"/>
        <v>42.023915202044563</v>
      </c>
      <c r="P40" s="54">
        <f t="shared" si="16"/>
        <v>19.310433026014639</v>
      </c>
      <c r="Q40" s="92"/>
      <c r="R40" s="55"/>
      <c r="S40" s="55"/>
      <c r="T40" s="55"/>
      <c r="U40" s="55"/>
      <c r="W40" s="273"/>
      <c r="X40" s="273"/>
    </row>
    <row r="41" spans="1:24" ht="12.75" hidden="1">
      <c r="A41" s="44" t="s">
        <v>90</v>
      </c>
      <c r="B41" s="44" t="s">
        <v>11</v>
      </c>
      <c r="C41" s="45">
        <v>43909</v>
      </c>
      <c r="D41" s="44">
        <f>3.4933-1.8987</f>
        <v>1.5946</v>
      </c>
      <c r="E41" s="44">
        <f>3.544-1.8886</f>
        <v>1.6554</v>
      </c>
      <c r="F41" s="44">
        <f>3.3517-1.7265</f>
        <v>1.6252000000000002</v>
      </c>
      <c r="G41" s="44">
        <v>143</v>
      </c>
      <c r="H41" s="44">
        <v>170</v>
      </c>
      <c r="I41" s="44">
        <v>156</v>
      </c>
      <c r="J41" s="44">
        <f t="shared" ref="J41:L41" si="24">D41/G41</f>
        <v>1.1151048951048952E-2</v>
      </c>
      <c r="K41" s="44">
        <f t="shared" si="24"/>
        <v>9.7376470588235297E-3</v>
      </c>
      <c r="L41" s="44">
        <f t="shared" si="24"/>
        <v>1.0417948717948719E-2</v>
      </c>
      <c r="M41" s="44">
        <v>469</v>
      </c>
      <c r="N41" s="54">
        <f t="shared" si="14"/>
        <v>44942.535753428878</v>
      </c>
      <c r="O41" s="54">
        <f t="shared" si="21"/>
        <v>104.35548242607068</v>
      </c>
      <c r="P41" s="54">
        <f t="shared" si="16"/>
        <v>4.4942535753428876</v>
      </c>
      <c r="Q41" s="92"/>
      <c r="R41" s="55"/>
      <c r="S41" s="55"/>
      <c r="T41" s="55"/>
      <c r="U41" s="55"/>
      <c r="W41" s="273"/>
      <c r="X41" s="273"/>
    </row>
    <row r="42" spans="1:24" ht="12.75" hidden="1">
      <c r="A42" s="45">
        <v>43899</v>
      </c>
      <c r="B42" s="44" t="s">
        <v>24</v>
      </c>
      <c r="C42" s="45">
        <v>43909</v>
      </c>
      <c r="D42" s="44">
        <f>3.3145-1.8987</f>
        <v>1.4157999999999997</v>
      </c>
      <c r="E42" s="44">
        <f>3.3625-1.8886</f>
        <v>1.4738999999999998</v>
      </c>
      <c r="F42" s="44">
        <f>3.2515-1.7265</f>
        <v>1.5250000000000001</v>
      </c>
      <c r="G42" s="44">
        <v>177</v>
      </c>
      <c r="H42" s="44">
        <v>154</v>
      </c>
      <c r="I42" s="44">
        <v>172</v>
      </c>
      <c r="J42" s="44">
        <f t="shared" ref="J42:L42" si="25">D42/G42</f>
        <v>7.9988700564971732E-3</v>
      </c>
      <c r="K42" s="44">
        <f t="shared" si="25"/>
        <v>9.5707792207792193E-3</v>
      </c>
      <c r="L42" s="44">
        <f t="shared" si="25"/>
        <v>8.866279069767443E-3</v>
      </c>
      <c r="M42" s="44">
        <v>767</v>
      </c>
      <c r="N42" s="54">
        <f t="shared" si="14"/>
        <v>87040.635372932025</v>
      </c>
      <c r="O42" s="54">
        <f t="shared" si="21"/>
        <v>88.119761156812785</v>
      </c>
      <c r="P42" s="54">
        <f t="shared" si="16"/>
        <v>8.7040635372932016</v>
      </c>
      <c r="Q42" s="92"/>
      <c r="R42" s="55"/>
      <c r="S42" s="55"/>
      <c r="T42" s="55"/>
      <c r="U42" s="55"/>
      <c r="W42" s="273"/>
      <c r="X42" s="273"/>
    </row>
    <row r="43" spans="1:24" ht="12.75" hidden="1">
      <c r="A43" s="44" t="s">
        <v>91</v>
      </c>
      <c r="B43" s="44" t="s">
        <v>24</v>
      </c>
      <c r="C43" s="45">
        <v>43909</v>
      </c>
      <c r="D43" s="44">
        <f>3.6085-1.8987</f>
        <v>1.7097999999999998</v>
      </c>
      <c r="E43" s="44">
        <f>3.7982-1.8886</f>
        <v>1.9096</v>
      </c>
      <c r="F43" s="44">
        <f>3.3393-1.7265</f>
        <v>1.6128000000000002</v>
      </c>
      <c r="G43" s="44">
        <v>339</v>
      </c>
      <c r="H43" s="44">
        <v>389</v>
      </c>
      <c r="I43" s="44">
        <v>356</v>
      </c>
      <c r="J43" s="44">
        <f t="shared" ref="J43:L43" si="26">D43/G43</f>
        <v>5.0436578171091442E-3</v>
      </c>
      <c r="K43" s="44">
        <f t="shared" si="26"/>
        <v>4.9089974293059129E-3</v>
      </c>
      <c r="L43" s="44">
        <f t="shared" si="26"/>
        <v>4.5303370786516865E-3</v>
      </c>
      <c r="M43" s="44">
        <v>482</v>
      </c>
      <c r="N43" s="54">
        <f t="shared" si="14"/>
        <v>99841.2460315473</v>
      </c>
      <c r="O43" s="54">
        <f t="shared" si="21"/>
        <v>48.276641083555809</v>
      </c>
      <c r="P43" s="54">
        <f t="shared" si="16"/>
        <v>9.984124603154731</v>
      </c>
      <c r="Q43" s="92"/>
      <c r="R43" s="55"/>
      <c r="S43" s="55"/>
      <c r="T43" s="55"/>
      <c r="U43" s="55"/>
      <c r="W43" s="273"/>
      <c r="X43" s="273"/>
    </row>
    <row r="44" spans="1:24" ht="12.75" hidden="1">
      <c r="A44" s="45">
        <v>43903</v>
      </c>
      <c r="B44" s="44" t="s">
        <v>24</v>
      </c>
      <c r="C44" s="45">
        <v>43916</v>
      </c>
      <c r="D44" s="44">
        <f>-1.9287+2.946</f>
        <v>1.0173000000000001</v>
      </c>
      <c r="E44" s="44">
        <f>-1.7662+2.8412</f>
        <v>1.0750000000000002</v>
      </c>
      <c r="F44" s="44">
        <f>-1.7287+2.7483</f>
        <v>1.0196000000000001</v>
      </c>
      <c r="G44" s="44">
        <v>271</v>
      </c>
      <c r="H44" s="44">
        <v>310</v>
      </c>
      <c r="I44" s="44">
        <v>348</v>
      </c>
      <c r="J44" s="44">
        <f t="shared" ref="J44:L44" si="27">D44/G44</f>
        <v>3.7538745387453876E-3</v>
      </c>
      <c r="K44" s="44">
        <f t="shared" si="27"/>
        <v>3.4677419354838717E-3</v>
      </c>
      <c r="L44" s="44">
        <f t="shared" si="27"/>
        <v>2.9298850574712644E-3</v>
      </c>
      <c r="M44" s="44">
        <f>124.5-32</f>
        <v>92.5</v>
      </c>
      <c r="N44" s="54">
        <f>M44/AVERAGE(J44:K44)</f>
        <v>25617.533229600715</v>
      </c>
      <c r="O44" s="54">
        <f>AVERAGE(J44:K44)*10000</f>
        <v>36.108082371146295</v>
      </c>
      <c r="P44" s="54">
        <f t="shared" si="16"/>
        <v>2.5617533229600715</v>
      </c>
      <c r="Q44" s="92"/>
      <c r="R44" s="55"/>
      <c r="S44" s="55"/>
      <c r="T44" s="55"/>
      <c r="U44" s="55"/>
      <c r="W44" s="273"/>
      <c r="X44" s="273"/>
    </row>
    <row r="45" spans="1:24" ht="12.75" hidden="1">
      <c r="A45" s="44" t="s">
        <v>92</v>
      </c>
      <c r="B45" s="44" t="s">
        <v>85</v>
      </c>
      <c r="C45" s="45">
        <v>43916</v>
      </c>
      <c r="D45" s="44">
        <f>-1.928+3.0858</f>
        <v>1.1577999999999999</v>
      </c>
      <c r="E45" s="44">
        <f>-1.7653+2.8014</f>
        <v>1.0361</v>
      </c>
      <c r="F45" s="44">
        <f>-1.7277+2.8147</f>
        <v>1.0870000000000002</v>
      </c>
      <c r="G45" s="44">
        <v>380</v>
      </c>
      <c r="H45" s="44">
        <v>303</v>
      </c>
      <c r="I45" s="44">
        <v>357</v>
      </c>
      <c r="J45" s="44">
        <f t="shared" ref="J45:L45" si="28">D45/G45</f>
        <v>3.0468421052631577E-3</v>
      </c>
      <c r="K45" s="44">
        <f t="shared" si="28"/>
        <v>3.4194719471947197E-3</v>
      </c>
      <c r="L45" s="44">
        <f t="shared" si="28"/>
        <v>3.0448179271708687E-3</v>
      </c>
      <c r="M45" s="44">
        <v>408</v>
      </c>
      <c r="N45" s="54">
        <f>M45/AVERAGE(J45:L45)</f>
        <v>128691.30642089747</v>
      </c>
      <c r="O45" s="54">
        <f>AVERAGE(J45:L45)*10000</f>
        <v>31.703773265429149</v>
      </c>
      <c r="P45" s="54">
        <f t="shared" si="16"/>
        <v>12.869130642089747</v>
      </c>
      <c r="Q45" s="92"/>
      <c r="R45" s="55"/>
      <c r="S45" s="55"/>
      <c r="T45" s="55"/>
      <c r="U45" s="55"/>
      <c r="W45" s="273"/>
      <c r="X45" s="273"/>
    </row>
    <row r="46" spans="1:24" ht="12.75" hidden="1">
      <c r="A46" s="44"/>
      <c r="N46" s="54"/>
      <c r="O46" s="54"/>
      <c r="P46" s="54"/>
      <c r="Q46" s="92"/>
      <c r="R46" s="55"/>
      <c r="S46" s="55"/>
      <c r="T46" s="55"/>
      <c r="U46" s="55"/>
      <c r="W46" s="273"/>
      <c r="X46" s="273"/>
    </row>
    <row r="47" spans="1:24" s="174" customFormat="1" ht="12.75" hidden="1">
      <c r="A47" s="273"/>
      <c r="B47" s="273"/>
      <c r="C47" s="273"/>
      <c r="D47" s="273"/>
      <c r="E47" s="63" t="s">
        <v>93</v>
      </c>
      <c r="F47" s="64"/>
      <c r="G47" s="65"/>
      <c r="H47" s="63" t="s">
        <v>94</v>
      </c>
      <c r="I47" s="66"/>
      <c r="J47" s="67"/>
      <c r="K47" s="63" t="s">
        <v>95</v>
      </c>
      <c r="L47" s="66"/>
      <c r="M47" s="67"/>
      <c r="N47" s="273"/>
      <c r="O47" s="273"/>
      <c r="P47" s="273"/>
      <c r="Q47" s="94"/>
      <c r="R47" s="68"/>
      <c r="S47" s="68"/>
      <c r="T47" s="68"/>
      <c r="U47" s="68"/>
      <c r="V47" s="69" t="s">
        <v>96</v>
      </c>
      <c r="W47" s="46"/>
      <c r="X47" s="273"/>
    </row>
    <row r="48" spans="1:24" s="174" customFormat="1" ht="12.75">
      <c r="A48" s="176" t="s">
        <v>29</v>
      </c>
      <c r="B48" s="176" t="s">
        <v>97</v>
      </c>
      <c r="C48" s="176" t="s">
        <v>98</v>
      </c>
      <c r="D48" s="176" t="s">
        <v>99</v>
      </c>
      <c r="E48" s="47" t="s">
        <v>100</v>
      </c>
      <c r="F48" s="47" t="s">
        <v>101</v>
      </c>
      <c r="G48" s="47" t="s">
        <v>102</v>
      </c>
      <c r="H48" s="47" t="s">
        <v>103</v>
      </c>
      <c r="I48" s="47" t="s">
        <v>104</v>
      </c>
      <c r="J48" s="47" t="s">
        <v>105</v>
      </c>
      <c r="K48" s="47" t="s">
        <v>106</v>
      </c>
      <c r="L48" s="47" t="s">
        <v>107</v>
      </c>
      <c r="M48" s="47" t="s">
        <v>108</v>
      </c>
      <c r="N48" s="175" t="s">
        <v>109</v>
      </c>
      <c r="O48" s="175" t="s">
        <v>110</v>
      </c>
      <c r="P48" s="175" t="s">
        <v>111</v>
      </c>
      <c r="Q48" s="95" t="s">
        <v>112</v>
      </c>
      <c r="R48" s="55" t="s">
        <v>113</v>
      </c>
      <c r="S48" s="55" t="s">
        <v>114</v>
      </c>
      <c r="T48" s="55" t="s">
        <v>6</v>
      </c>
      <c r="U48" s="55" t="s">
        <v>115</v>
      </c>
      <c r="V48" s="53" t="s">
        <v>116</v>
      </c>
      <c r="W48" s="273"/>
      <c r="X48" s="273"/>
    </row>
    <row r="49" spans="1:24" ht="12.75">
      <c r="A49" s="42">
        <v>43910</v>
      </c>
      <c r="B49" s="44" t="s">
        <v>117</v>
      </c>
      <c r="C49" s="42">
        <v>43917</v>
      </c>
      <c r="D49" s="44">
        <v>275.5</v>
      </c>
      <c r="E49" s="44">
        <v>1.3070999999999999</v>
      </c>
      <c r="F49" s="44">
        <v>1.1124000000000001</v>
      </c>
      <c r="G49" s="44">
        <v>1.4191</v>
      </c>
      <c r="H49" s="44">
        <v>329</v>
      </c>
      <c r="I49" s="44">
        <v>292</v>
      </c>
      <c r="J49" s="44">
        <v>279</v>
      </c>
      <c r="K49" s="55">
        <f t="shared" ref="K49:M49" si="29">$D49/E49*H49</f>
        <v>69343.967561777987</v>
      </c>
      <c r="L49" s="55">
        <f t="shared" si="29"/>
        <v>72317.511686443715</v>
      </c>
      <c r="M49" s="55">
        <f t="shared" si="29"/>
        <v>54164.25903741808</v>
      </c>
      <c r="N49" s="70">
        <f t="shared" ref="N49:N104" si="30">AVERAGE(K49:M49)</f>
        <v>65275.246095213261</v>
      </c>
      <c r="O49" s="54">
        <v>6</v>
      </c>
      <c r="P49" s="71">
        <f t="shared" ref="P49:P104" si="31">D49/O49</f>
        <v>45.916666666666664</v>
      </c>
      <c r="Q49" s="85">
        <f>N49/O49</f>
        <v>10879.207682535543</v>
      </c>
      <c r="R49" s="55">
        <f t="shared" ref="R49:R104" si="32">STDEV(K49:M49)</f>
        <v>9736.5813412203861</v>
      </c>
      <c r="S49" s="55">
        <f t="shared" ref="S49:S104" si="33">R49/N49</f>
        <v>0.14916192467536918</v>
      </c>
      <c r="T49" s="55"/>
      <c r="U49" s="55"/>
      <c r="W49" s="273"/>
      <c r="X49" s="273"/>
    </row>
    <row r="50" spans="1:24" ht="12.75">
      <c r="A50" s="42">
        <v>43910</v>
      </c>
      <c r="B50" s="44" t="s">
        <v>118</v>
      </c>
      <c r="C50" s="42">
        <v>43917</v>
      </c>
      <c r="D50" s="44">
        <v>292</v>
      </c>
      <c r="E50" s="44">
        <v>1.4851000000000001</v>
      </c>
      <c r="F50" s="44">
        <v>1.4577</v>
      </c>
      <c r="G50" s="44">
        <v>1.2128000000000001</v>
      </c>
      <c r="H50" s="44">
        <v>170</v>
      </c>
      <c r="I50" s="44">
        <v>178</v>
      </c>
      <c r="J50" s="44">
        <v>187</v>
      </c>
      <c r="K50" s="55">
        <f t="shared" ref="K50:M50" si="34">$D50/E50*H50</f>
        <v>33425.358561713016</v>
      </c>
      <c r="L50" s="55">
        <f t="shared" si="34"/>
        <v>35656.170679838106</v>
      </c>
      <c r="M50" s="55">
        <f t="shared" si="34"/>
        <v>45023.087071240101</v>
      </c>
      <c r="N50" s="70">
        <f t="shared" si="30"/>
        <v>38034.872104263741</v>
      </c>
      <c r="O50" s="54">
        <v>3</v>
      </c>
      <c r="P50" s="71">
        <f t="shared" si="31"/>
        <v>97.333333333333329</v>
      </c>
      <c r="Q50" s="85">
        <f t="shared" ref="Q50:Q113" si="35">N50/O50</f>
        <v>12678.290701421247</v>
      </c>
      <c r="R50" s="55">
        <f t="shared" si="32"/>
        <v>6153.9005512843733</v>
      </c>
      <c r="S50" s="55">
        <f t="shared" si="33"/>
        <v>0.16179627302058197</v>
      </c>
      <c r="T50" s="55"/>
      <c r="U50" s="55"/>
      <c r="W50" s="273"/>
      <c r="X50" s="273"/>
    </row>
    <row r="51" spans="1:24" ht="12.75">
      <c r="A51" s="42">
        <v>43906</v>
      </c>
      <c r="B51" s="44" t="s">
        <v>16</v>
      </c>
      <c r="C51" s="42">
        <v>43922</v>
      </c>
      <c r="D51" s="44">
        <v>424.5</v>
      </c>
      <c r="E51" s="44">
        <v>0.248</v>
      </c>
      <c r="F51" s="44">
        <v>0.42399999999999999</v>
      </c>
      <c r="G51" s="44">
        <v>0.42</v>
      </c>
      <c r="H51" s="44">
        <v>54</v>
      </c>
      <c r="I51" s="44">
        <v>82</v>
      </c>
      <c r="J51" s="44">
        <v>83</v>
      </c>
      <c r="K51" s="55">
        <f t="shared" ref="K51:M51" si="36">$D51/E51*H51</f>
        <v>92431.451612903227</v>
      </c>
      <c r="L51" s="55">
        <f t="shared" si="36"/>
        <v>82096.698113207545</v>
      </c>
      <c r="M51" s="55">
        <f t="shared" si="36"/>
        <v>83889.285714285725</v>
      </c>
      <c r="N51" s="70">
        <f t="shared" si="30"/>
        <v>86139.145146798823</v>
      </c>
      <c r="O51" s="54">
        <v>8</v>
      </c>
      <c r="P51" s="71">
        <f t="shared" si="31"/>
        <v>53.0625</v>
      </c>
      <c r="Q51" s="85">
        <f t="shared" si="35"/>
        <v>10767.393143349853</v>
      </c>
      <c r="R51" s="55">
        <f t="shared" si="32"/>
        <v>5522.516009430773</v>
      </c>
      <c r="S51" s="55">
        <f t="shared" si="33"/>
        <v>6.4111572038697037E-2</v>
      </c>
      <c r="T51" s="55"/>
      <c r="U51" s="55"/>
      <c r="W51" s="273"/>
      <c r="X51" s="273"/>
    </row>
    <row r="52" spans="1:24" ht="12.75">
      <c r="A52" s="42">
        <v>43908</v>
      </c>
      <c r="B52" s="44" t="s">
        <v>16</v>
      </c>
      <c r="C52" s="42">
        <v>43923</v>
      </c>
      <c r="D52" s="44">
        <v>133.55000000000001</v>
      </c>
      <c r="E52" s="44">
        <v>0.64400000000000002</v>
      </c>
      <c r="F52" s="44">
        <v>0.36</v>
      </c>
      <c r="G52" s="44">
        <v>0.32</v>
      </c>
      <c r="H52" s="44">
        <v>157</v>
      </c>
      <c r="I52" s="44">
        <v>86</v>
      </c>
      <c r="J52" s="44">
        <v>84</v>
      </c>
      <c r="K52" s="55">
        <f t="shared" ref="K52:M52" si="37">$D52/E52*H52</f>
        <v>32557.996894409942</v>
      </c>
      <c r="L52" s="55">
        <f t="shared" si="37"/>
        <v>31903.611111111117</v>
      </c>
      <c r="M52" s="55">
        <f t="shared" si="37"/>
        <v>35056.875</v>
      </c>
      <c r="N52" s="70">
        <f t="shared" si="30"/>
        <v>33172.827668507023</v>
      </c>
      <c r="O52" s="54">
        <v>3</v>
      </c>
      <c r="P52" s="71">
        <f t="shared" si="31"/>
        <v>44.516666666666673</v>
      </c>
      <c r="Q52" s="85">
        <f t="shared" si="35"/>
        <v>11057.609222835674</v>
      </c>
      <c r="R52" s="55">
        <f t="shared" si="32"/>
        <v>1664.1156656991334</v>
      </c>
      <c r="S52" s="55">
        <f t="shared" si="33"/>
        <v>5.0165023082400034E-2</v>
      </c>
      <c r="T52" s="55"/>
      <c r="U52" s="55"/>
      <c r="W52" s="273"/>
      <c r="X52" s="273"/>
    </row>
    <row r="53" spans="1:24" ht="12.75">
      <c r="A53" s="42">
        <v>43908</v>
      </c>
      <c r="B53" s="44" t="s">
        <v>8</v>
      </c>
      <c r="C53" s="42">
        <v>43923</v>
      </c>
      <c r="D53" s="44">
        <v>75.5</v>
      </c>
      <c r="E53" s="44">
        <v>0.28999999999999998</v>
      </c>
      <c r="F53" s="44">
        <v>0.57999999999999996</v>
      </c>
      <c r="G53" s="44">
        <v>0.64</v>
      </c>
      <c r="H53" s="44">
        <v>25</v>
      </c>
      <c r="I53" s="44">
        <v>51</v>
      </c>
      <c r="J53" s="44">
        <v>52</v>
      </c>
      <c r="K53" s="55">
        <f t="shared" ref="K53:M53" si="38">$D53/E53*H53</f>
        <v>6508.620689655173</v>
      </c>
      <c r="L53" s="55">
        <f t="shared" si="38"/>
        <v>6638.7931034482763</v>
      </c>
      <c r="M53" s="55">
        <f t="shared" si="38"/>
        <v>6134.375</v>
      </c>
      <c r="N53" s="70">
        <f t="shared" si="30"/>
        <v>6427.2629310344828</v>
      </c>
      <c r="O53" s="54">
        <v>1</v>
      </c>
      <c r="P53" s="71">
        <f t="shared" si="31"/>
        <v>75.5</v>
      </c>
      <c r="Q53" s="85">
        <f t="shared" si="35"/>
        <v>6427.2629310344828</v>
      </c>
      <c r="R53" s="55">
        <f t="shared" si="32"/>
        <v>261.8658424411741</v>
      </c>
      <c r="S53" s="55">
        <f t="shared" si="33"/>
        <v>4.0742979593496445E-2</v>
      </c>
      <c r="T53" s="55"/>
      <c r="U53" s="55"/>
      <c r="W53" s="273"/>
      <c r="X53" s="273"/>
    </row>
    <row r="54" spans="1:24" ht="12.75">
      <c r="A54" s="44" t="s">
        <v>119</v>
      </c>
      <c r="B54" s="44" t="s">
        <v>19</v>
      </c>
      <c r="C54" s="42">
        <v>43923</v>
      </c>
      <c r="D54" s="44">
        <v>334</v>
      </c>
      <c r="E54" s="44">
        <v>0.375</v>
      </c>
      <c r="F54" s="44">
        <v>0.52800000000000002</v>
      </c>
      <c r="G54" s="44">
        <v>0.22900000000000001</v>
      </c>
      <c r="H54" s="44">
        <v>91</v>
      </c>
      <c r="I54" s="44">
        <v>120</v>
      </c>
      <c r="J54" s="44">
        <v>54</v>
      </c>
      <c r="K54" s="55">
        <f t="shared" ref="K54:M54" si="39">$D54/E54*H54</f>
        <v>81050.666666666657</v>
      </c>
      <c r="L54" s="55">
        <f t="shared" si="39"/>
        <v>75909.090909090897</v>
      </c>
      <c r="M54" s="55">
        <f t="shared" si="39"/>
        <v>78759.825327510916</v>
      </c>
      <c r="N54" s="70">
        <f t="shared" si="30"/>
        <v>78573.19430108949</v>
      </c>
      <c r="O54" s="54">
        <v>7</v>
      </c>
      <c r="P54" s="71">
        <f t="shared" si="31"/>
        <v>47.714285714285715</v>
      </c>
      <c r="Q54" s="85">
        <f t="shared" si="35"/>
        <v>11224.742043012784</v>
      </c>
      <c r="R54" s="55">
        <f t="shared" si="32"/>
        <v>2575.8636751078316</v>
      </c>
      <c r="S54" s="55">
        <f t="shared" si="33"/>
        <v>3.2782982771926261E-2</v>
      </c>
      <c r="T54" s="55"/>
      <c r="U54" s="55"/>
      <c r="W54" s="273"/>
      <c r="X54" s="273"/>
    </row>
    <row r="55" spans="1:24" ht="12.75">
      <c r="A55" s="44" t="s">
        <v>120</v>
      </c>
      <c r="B55" s="44" t="s">
        <v>121</v>
      </c>
      <c r="C55" s="42">
        <v>43924</v>
      </c>
      <c r="D55" s="44">
        <v>751</v>
      </c>
      <c r="E55" s="44">
        <v>0.49</v>
      </c>
      <c r="F55" s="44">
        <v>0.34</v>
      </c>
      <c r="G55" s="44">
        <v>0.53</v>
      </c>
      <c r="H55" s="44">
        <v>93</v>
      </c>
      <c r="I55" s="44">
        <v>71</v>
      </c>
      <c r="J55" s="44">
        <v>98</v>
      </c>
      <c r="K55" s="55">
        <f t="shared" ref="K55:M55" si="40">$D55/E55*H55</f>
        <v>142536.73469387754</v>
      </c>
      <c r="L55" s="55">
        <f t="shared" si="40"/>
        <v>156826.47058823527</v>
      </c>
      <c r="M55" s="55">
        <f t="shared" si="40"/>
        <v>138864.15094339621</v>
      </c>
      <c r="N55" s="70">
        <f t="shared" si="30"/>
        <v>146075.785408503</v>
      </c>
      <c r="O55" s="54">
        <v>14</v>
      </c>
      <c r="P55" s="71">
        <f t="shared" si="31"/>
        <v>53.642857142857146</v>
      </c>
      <c r="Q55" s="85">
        <f t="shared" si="35"/>
        <v>10433.984672035929</v>
      </c>
      <c r="R55" s="55">
        <f t="shared" si="32"/>
        <v>9489.7255875162755</v>
      </c>
      <c r="S55" s="55">
        <f t="shared" si="33"/>
        <v>6.4964398863084138E-2</v>
      </c>
      <c r="T55" s="55"/>
      <c r="U55" s="55"/>
      <c r="W55" s="273"/>
      <c r="X55" s="273"/>
    </row>
    <row r="56" spans="1:24" ht="12.75">
      <c r="A56" s="42">
        <v>43927</v>
      </c>
      <c r="B56" s="44" t="s">
        <v>16</v>
      </c>
      <c r="C56" s="42">
        <v>43944</v>
      </c>
      <c r="D56" s="44">
        <v>121</v>
      </c>
      <c r="E56" s="44">
        <f>-1.892+3.3489</f>
        <v>1.4569000000000001</v>
      </c>
      <c r="F56" s="44">
        <f>-1.9347+3.2339</f>
        <v>1.2992000000000001</v>
      </c>
      <c r="G56" s="44">
        <f>-1.9108+3.2956</f>
        <v>1.3847999999999998</v>
      </c>
      <c r="H56" s="44">
        <v>130</v>
      </c>
      <c r="I56" s="44">
        <v>90</v>
      </c>
      <c r="J56" s="44">
        <v>149</v>
      </c>
      <c r="K56" s="55">
        <f t="shared" ref="K56:M56" si="41">$D56/E56*H56</f>
        <v>10796.897522136042</v>
      </c>
      <c r="L56" s="55">
        <f t="shared" si="41"/>
        <v>8382.0812807881775</v>
      </c>
      <c r="M56" s="55">
        <f t="shared" si="41"/>
        <v>13019.208549971116</v>
      </c>
      <c r="N56" s="70">
        <f t="shared" si="30"/>
        <v>10732.729117631779</v>
      </c>
      <c r="O56" s="54">
        <v>1</v>
      </c>
      <c r="P56" s="71">
        <f t="shared" si="31"/>
        <v>121</v>
      </c>
      <c r="Q56" s="85">
        <f t="shared" si="35"/>
        <v>10732.729117631779</v>
      </c>
      <c r="R56" s="55">
        <f t="shared" si="32"/>
        <v>2319.229509072456</v>
      </c>
      <c r="S56" s="55">
        <f t="shared" si="33"/>
        <v>0.21608944786116091</v>
      </c>
      <c r="T56" s="55"/>
      <c r="U56" s="55"/>
      <c r="W56" s="273"/>
      <c r="X56" s="273"/>
    </row>
    <row r="57" spans="1:24" ht="12.75">
      <c r="A57" s="42">
        <v>43936</v>
      </c>
      <c r="B57" s="44" t="s">
        <v>16</v>
      </c>
      <c r="C57" s="42">
        <v>43944</v>
      </c>
      <c r="D57" s="44">
        <v>77.5</v>
      </c>
      <c r="E57" s="44">
        <f>-1.8912+3.0862</f>
        <v>1.1949999999999998</v>
      </c>
      <c r="F57" s="44">
        <f>-1.9345+3.148</f>
        <v>1.2135</v>
      </c>
      <c r="G57" s="44">
        <f>-1.9114+3.1307</f>
        <v>1.2193000000000001</v>
      </c>
      <c r="H57" s="44">
        <v>62</v>
      </c>
      <c r="I57" s="44">
        <v>64</v>
      </c>
      <c r="J57" s="44">
        <v>70</v>
      </c>
      <c r="K57" s="55">
        <f t="shared" ref="K57:M57" si="42">$D57/E57*H57</f>
        <v>4020.9205020920504</v>
      </c>
      <c r="L57" s="55">
        <f t="shared" si="42"/>
        <v>4087.3506386485374</v>
      </c>
      <c r="M57" s="55">
        <f t="shared" si="42"/>
        <v>4449.2741737062242</v>
      </c>
      <c r="N57" s="70">
        <f t="shared" si="30"/>
        <v>4185.848438148937</v>
      </c>
      <c r="O57" s="54">
        <v>0</v>
      </c>
      <c r="P57" s="71" t="e">
        <f t="shared" si="31"/>
        <v>#DIV/0!</v>
      </c>
      <c r="Q57" s="85" t="e">
        <f t="shared" si="35"/>
        <v>#DIV/0!</v>
      </c>
      <c r="R57" s="55">
        <f t="shared" si="32"/>
        <v>230.53867219221945</v>
      </c>
      <c r="S57" s="55">
        <f t="shared" si="33"/>
        <v>5.5075733294865328E-2</v>
      </c>
      <c r="T57" s="55"/>
      <c r="U57" s="55"/>
      <c r="W57" s="273"/>
      <c r="X57" s="273"/>
    </row>
    <row r="58" spans="1:24" ht="12.75">
      <c r="A58" s="44" t="s">
        <v>122</v>
      </c>
      <c r="B58" s="44" t="s">
        <v>19</v>
      </c>
      <c r="C58" s="42">
        <v>43944</v>
      </c>
      <c r="D58" s="44">
        <v>207</v>
      </c>
      <c r="E58" s="44">
        <f>-1.8923+2.7374</f>
        <v>0.84509999999999996</v>
      </c>
      <c r="F58" s="44">
        <f>-1.9349+2.6924</f>
        <v>0.75750000000000006</v>
      </c>
      <c r="G58" s="44">
        <f>-1.9127+2.6068</f>
        <v>0.69409999999999972</v>
      </c>
      <c r="H58" s="44">
        <v>236</v>
      </c>
      <c r="I58" s="44">
        <v>214</v>
      </c>
      <c r="J58" s="44">
        <v>199</v>
      </c>
      <c r="K58" s="55">
        <f t="shared" ref="K58:M58" si="43">$D58/E58*H58</f>
        <v>57806.176783812567</v>
      </c>
      <c r="L58" s="55">
        <f t="shared" si="43"/>
        <v>58479.207920792076</v>
      </c>
      <c r="M58" s="55">
        <f t="shared" si="43"/>
        <v>59347.356288719231</v>
      </c>
      <c r="N58" s="70">
        <f t="shared" si="30"/>
        <v>58544.24699777463</v>
      </c>
      <c r="O58" s="54">
        <v>5</v>
      </c>
      <c r="P58" s="71">
        <f t="shared" si="31"/>
        <v>41.4</v>
      </c>
      <c r="Q58" s="85">
        <f t="shared" si="35"/>
        <v>11708.849399554925</v>
      </c>
      <c r="R58" s="55">
        <f t="shared" si="32"/>
        <v>772.64553822379901</v>
      </c>
      <c r="S58" s="55">
        <f t="shared" si="33"/>
        <v>1.3197633889682937E-2</v>
      </c>
      <c r="T58" s="55"/>
      <c r="U58" s="55"/>
      <c r="W58" s="273"/>
      <c r="X58" s="273"/>
    </row>
    <row r="59" spans="1:24" ht="12.75">
      <c r="A59" s="42">
        <v>43916</v>
      </c>
      <c r="B59" s="44" t="s">
        <v>123</v>
      </c>
      <c r="C59" s="42">
        <v>43944</v>
      </c>
      <c r="D59" s="44">
        <v>188</v>
      </c>
      <c r="E59" s="44">
        <v>1.9040999999999999</v>
      </c>
      <c r="F59" s="44">
        <v>1.9008</v>
      </c>
      <c r="G59" s="44">
        <v>1.4320999999999999</v>
      </c>
      <c r="H59" s="44">
        <v>138</v>
      </c>
      <c r="I59" s="44">
        <v>109</v>
      </c>
      <c r="J59" s="44">
        <v>57</v>
      </c>
      <c r="K59" s="55">
        <f t="shared" ref="K59:M59" si="44">$D59/E59*H59</f>
        <v>13625.334803844336</v>
      </c>
      <c r="L59" s="55">
        <f t="shared" si="44"/>
        <v>10780.723905723906</v>
      </c>
      <c r="M59" s="55">
        <f t="shared" si="44"/>
        <v>7482.7176873123399</v>
      </c>
      <c r="N59" s="70">
        <f t="shared" si="30"/>
        <v>10629.592132293526</v>
      </c>
      <c r="O59" s="54">
        <v>1</v>
      </c>
      <c r="P59" s="71">
        <f t="shared" si="31"/>
        <v>188</v>
      </c>
      <c r="Q59" s="85">
        <f t="shared" si="35"/>
        <v>10629.592132293526</v>
      </c>
      <c r="R59" s="55">
        <f t="shared" si="32"/>
        <v>3074.0961061396783</v>
      </c>
      <c r="S59" s="55">
        <f t="shared" si="33"/>
        <v>0.28920169916965444</v>
      </c>
      <c r="T59" s="55"/>
      <c r="U59" s="55"/>
      <c r="W59" s="273"/>
      <c r="X59" s="273"/>
    </row>
    <row r="60" spans="1:24" ht="12.75">
      <c r="A60" s="42">
        <v>43924</v>
      </c>
      <c r="B60" s="44" t="s">
        <v>24</v>
      </c>
      <c r="C60" s="42">
        <v>43944</v>
      </c>
      <c r="D60" s="44">
        <v>267</v>
      </c>
      <c r="E60" s="44">
        <v>1.1041000000000001</v>
      </c>
      <c r="F60" s="44">
        <v>1.1577</v>
      </c>
      <c r="G60" s="44">
        <v>1.3304</v>
      </c>
      <c r="H60" s="44">
        <v>54</v>
      </c>
      <c r="I60" s="44">
        <v>53</v>
      </c>
      <c r="J60" s="44">
        <v>34</v>
      </c>
      <c r="K60" s="55">
        <f t="shared" ref="K60:M60" si="45">$D60/E60*H60</f>
        <v>13058.599764514083</v>
      </c>
      <c r="L60" s="55">
        <f t="shared" si="45"/>
        <v>12223.373931070226</v>
      </c>
      <c r="M60" s="55">
        <f t="shared" si="45"/>
        <v>6823.5117257967531</v>
      </c>
      <c r="N60" s="70">
        <f t="shared" si="30"/>
        <v>10701.828473793688</v>
      </c>
      <c r="O60" s="54">
        <v>1</v>
      </c>
      <c r="P60" s="71">
        <f t="shared" si="31"/>
        <v>267</v>
      </c>
      <c r="Q60" s="85">
        <f t="shared" si="35"/>
        <v>10701.828473793688</v>
      </c>
      <c r="R60" s="55">
        <f t="shared" si="32"/>
        <v>3384.5836001727207</v>
      </c>
      <c r="S60" s="55">
        <f t="shared" si="33"/>
        <v>0.31626217972571563</v>
      </c>
      <c r="T60" s="55"/>
      <c r="U60" s="55"/>
      <c r="W60" s="273"/>
      <c r="X60" s="273"/>
    </row>
    <row r="61" spans="1:24" ht="12.75">
      <c r="A61" s="42">
        <v>43930</v>
      </c>
      <c r="B61" s="44" t="s">
        <v>8</v>
      </c>
      <c r="C61" s="42">
        <v>43944</v>
      </c>
      <c r="D61" s="44">
        <v>233.5</v>
      </c>
      <c r="E61" s="44">
        <v>1.6539999999999999</v>
      </c>
      <c r="F61" s="44">
        <v>1.8252999999999999</v>
      </c>
      <c r="G61" s="44">
        <v>2.1989999999999998</v>
      </c>
      <c r="H61" s="44">
        <v>79</v>
      </c>
      <c r="I61" s="44">
        <v>61</v>
      </c>
      <c r="J61" s="44">
        <v>96</v>
      </c>
      <c r="K61" s="55">
        <f t="shared" ref="K61:M61" si="46">$D61/E61*H61</f>
        <v>11152.660217654173</v>
      </c>
      <c r="L61" s="55">
        <f t="shared" si="46"/>
        <v>7803.3747877061305</v>
      </c>
      <c r="M61" s="55">
        <f t="shared" si="46"/>
        <v>10193.724420190996</v>
      </c>
      <c r="N61" s="70">
        <f t="shared" si="30"/>
        <v>9716.5864751837671</v>
      </c>
      <c r="O61" s="54">
        <v>0</v>
      </c>
      <c r="P61" s="71" t="e">
        <f t="shared" si="31"/>
        <v>#DIV/0!</v>
      </c>
      <c r="Q61" s="85" t="e">
        <f t="shared" si="35"/>
        <v>#DIV/0!</v>
      </c>
      <c r="R61" s="55">
        <f t="shared" si="32"/>
        <v>1724.8691796017058</v>
      </c>
      <c r="S61" s="55">
        <f t="shared" si="33"/>
        <v>0.17751801869998629</v>
      </c>
      <c r="T61" s="55"/>
      <c r="U61" s="55"/>
      <c r="W61" s="273"/>
      <c r="X61" s="273"/>
    </row>
    <row r="62" spans="1:24" ht="12.75">
      <c r="A62" s="42">
        <v>43938</v>
      </c>
      <c r="B62" s="44" t="s">
        <v>8</v>
      </c>
      <c r="C62" s="42">
        <v>43949</v>
      </c>
      <c r="D62" s="44">
        <v>357</v>
      </c>
      <c r="E62" s="44">
        <v>0.3523</v>
      </c>
      <c r="F62" s="44">
        <v>0.45710000000000001</v>
      </c>
      <c r="G62" s="44">
        <v>0.37130000000000002</v>
      </c>
      <c r="H62" s="44">
        <v>50</v>
      </c>
      <c r="I62" s="44">
        <v>62</v>
      </c>
      <c r="J62" s="44">
        <v>49</v>
      </c>
      <c r="K62" s="55">
        <f t="shared" ref="K62:M62" si="47">$D62/E62*H62</f>
        <v>50667.045131989784</v>
      </c>
      <c r="L62" s="55">
        <f t="shared" si="47"/>
        <v>48422.664624808574</v>
      </c>
      <c r="M62" s="55">
        <f t="shared" si="47"/>
        <v>47112.846754645841</v>
      </c>
      <c r="N62" s="70">
        <f t="shared" si="30"/>
        <v>48734.185503814741</v>
      </c>
      <c r="O62" s="54">
        <v>4</v>
      </c>
      <c r="P62" s="71">
        <f t="shared" si="31"/>
        <v>89.25</v>
      </c>
      <c r="Q62" s="85">
        <f t="shared" si="35"/>
        <v>12183.546375953685</v>
      </c>
      <c r="R62" s="55">
        <f t="shared" si="32"/>
        <v>1797.4608396071264</v>
      </c>
      <c r="S62" s="55">
        <f t="shared" si="33"/>
        <v>3.6882956409857871E-2</v>
      </c>
      <c r="T62" s="55"/>
      <c r="U62" s="55"/>
      <c r="V62" s="44" t="s">
        <v>124</v>
      </c>
      <c r="W62" s="273"/>
      <c r="X62" s="273"/>
    </row>
    <row r="63" spans="1:24" ht="12.75">
      <c r="A63" s="42">
        <v>43938</v>
      </c>
      <c r="B63" s="44" t="s">
        <v>11</v>
      </c>
      <c r="C63" s="42">
        <v>43949</v>
      </c>
      <c r="D63" s="44">
        <v>251.5</v>
      </c>
      <c r="E63" s="44">
        <v>1.36</v>
      </c>
      <c r="F63" s="44">
        <v>1.5743</v>
      </c>
      <c r="G63" s="44">
        <v>1.3943000000000001</v>
      </c>
      <c r="H63" s="44">
        <v>57</v>
      </c>
      <c r="I63" s="44">
        <v>67</v>
      </c>
      <c r="J63" s="44">
        <v>68</v>
      </c>
      <c r="K63" s="55">
        <f t="shared" ref="K63:M63" si="48">$D63/E63*H63</f>
        <v>10540.808823529411</v>
      </c>
      <c r="L63" s="55">
        <f t="shared" si="48"/>
        <v>10703.487264180905</v>
      </c>
      <c r="M63" s="55">
        <f t="shared" si="48"/>
        <v>12265.653015850246</v>
      </c>
      <c r="N63" s="70">
        <f t="shared" si="30"/>
        <v>11169.983034520186</v>
      </c>
      <c r="O63" s="54">
        <v>1</v>
      </c>
      <c r="P63" s="71">
        <f t="shared" si="31"/>
        <v>251.5</v>
      </c>
      <c r="Q63" s="85">
        <f t="shared" si="35"/>
        <v>11169.983034520186</v>
      </c>
      <c r="R63" s="55">
        <f t="shared" si="32"/>
        <v>952.35791578274768</v>
      </c>
      <c r="S63" s="55">
        <f t="shared" si="33"/>
        <v>8.5260462154646124E-2</v>
      </c>
      <c r="T63" s="55"/>
      <c r="U63" s="55"/>
      <c r="W63" s="273"/>
      <c r="X63" s="273"/>
    </row>
    <row r="64" spans="1:24" ht="12.75">
      <c r="A64" s="42">
        <v>43936</v>
      </c>
      <c r="B64" s="44" t="s">
        <v>24</v>
      </c>
      <c r="C64" s="42">
        <v>43949</v>
      </c>
      <c r="D64" s="44">
        <v>277</v>
      </c>
      <c r="E64" s="44">
        <v>1.7135</v>
      </c>
      <c r="F64" s="44">
        <v>2.0425</v>
      </c>
      <c r="G64" s="44">
        <v>1.8461000000000001</v>
      </c>
      <c r="H64" s="44">
        <v>227</v>
      </c>
      <c r="I64" s="44">
        <v>241</v>
      </c>
      <c r="J64" s="44">
        <v>222</v>
      </c>
      <c r="K64" s="55">
        <f t="shared" ref="K64:M64" si="49">$D64/E64*H64</f>
        <v>36696.235774730085</v>
      </c>
      <c r="L64" s="55">
        <f t="shared" si="49"/>
        <v>32683.965728274172</v>
      </c>
      <c r="M64" s="55">
        <f t="shared" si="49"/>
        <v>33310.221548128487</v>
      </c>
      <c r="N64" s="70">
        <f t="shared" si="30"/>
        <v>34230.141017044247</v>
      </c>
      <c r="O64" s="54">
        <v>3</v>
      </c>
      <c r="P64" s="71">
        <f t="shared" si="31"/>
        <v>92.333333333333329</v>
      </c>
      <c r="Q64" s="85">
        <f t="shared" si="35"/>
        <v>11410.047005681416</v>
      </c>
      <c r="R64" s="55">
        <f t="shared" si="32"/>
        <v>2158.5334380985446</v>
      </c>
      <c r="S64" s="55">
        <f t="shared" si="33"/>
        <v>6.3059437500527504E-2</v>
      </c>
      <c r="T64" s="55"/>
      <c r="U64" s="55"/>
      <c r="W64" s="273"/>
      <c r="X64" s="273"/>
    </row>
    <row r="65" spans="1:24" ht="12.75">
      <c r="A65" s="44" t="s">
        <v>125</v>
      </c>
      <c r="B65" s="44" t="s">
        <v>19</v>
      </c>
      <c r="C65" s="42">
        <v>43950</v>
      </c>
      <c r="D65" s="44">
        <v>325.5</v>
      </c>
      <c r="E65" s="44">
        <v>1.2768999999999999</v>
      </c>
      <c r="F65" s="44">
        <v>1.1311</v>
      </c>
      <c r="G65" s="44">
        <v>1.2278</v>
      </c>
      <c r="H65" s="44">
        <v>251</v>
      </c>
      <c r="I65" s="44">
        <v>192</v>
      </c>
      <c r="J65" s="44">
        <v>281</v>
      </c>
      <c r="K65" s="55">
        <f t="shared" ref="K65:M65" si="50">$D65/E65*H65</f>
        <v>63983.475604980813</v>
      </c>
      <c r="L65" s="55">
        <f t="shared" si="50"/>
        <v>55252.409159225528</v>
      </c>
      <c r="M65" s="55">
        <f t="shared" si="50"/>
        <v>74495.438996579251</v>
      </c>
      <c r="N65" s="70">
        <f t="shared" si="30"/>
        <v>64577.107920261857</v>
      </c>
      <c r="O65" s="54">
        <v>6</v>
      </c>
      <c r="P65" s="71">
        <f t="shared" si="31"/>
        <v>54.25</v>
      </c>
      <c r="Q65" s="85">
        <f t="shared" si="35"/>
        <v>10762.851320043643</v>
      </c>
      <c r="R65" s="55">
        <f t="shared" si="32"/>
        <v>9635.2399463963375</v>
      </c>
      <c r="S65" s="55">
        <f t="shared" si="33"/>
        <v>0.14920519448306174</v>
      </c>
      <c r="T65" s="55"/>
      <c r="U65" s="55"/>
      <c r="W65" s="273"/>
      <c r="X65" s="273"/>
    </row>
    <row r="66" spans="1:24" ht="12.75">
      <c r="A66" s="42">
        <v>43938</v>
      </c>
      <c r="B66" s="44" t="s">
        <v>24</v>
      </c>
      <c r="C66" s="42">
        <v>43950</v>
      </c>
      <c r="D66" s="44">
        <v>212.5</v>
      </c>
      <c r="E66" s="44">
        <v>1.2884</v>
      </c>
      <c r="F66" s="44">
        <v>1.1587000000000001</v>
      </c>
      <c r="G66" s="44">
        <v>1.2307999999999999</v>
      </c>
      <c r="H66" s="44">
        <v>221</v>
      </c>
      <c r="I66" s="44">
        <v>230</v>
      </c>
      <c r="J66" s="44">
        <v>259</v>
      </c>
      <c r="K66" s="55">
        <f t="shared" ref="K66:M66" si="51">$D66/E66*H66</f>
        <v>36450.248370071407</v>
      </c>
      <c r="L66" s="55">
        <f t="shared" si="51"/>
        <v>42180.892379390694</v>
      </c>
      <c r="M66" s="55">
        <f t="shared" si="51"/>
        <v>44716.850828729286</v>
      </c>
      <c r="N66" s="70">
        <f t="shared" si="30"/>
        <v>41115.997192730458</v>
      </c>
      <c r="O66" s="54">
        <v>4</v>
      </c>
      <c r="P66" s="71">
        <f t="shared" si="31"/>
        <v>53.125</v>
      </c>
      <c r="Q66" s="85">
        <f t="shared" si="35"/>
        <v>10278.999298182614</v>
      </c>
      <c r="R66" s="55">
        <f t="shared" si="32"/>
        <v>4234.9356986028988</v>
      </c>
      <c r="S66" s="55">
        <f t="shared" si="33"/>
        <v>0.10299970784489837</v>
      </c>
      <c r="T66" s="55"/>
      <c r="U66" s="55"/>
      <c r="W66" s="273"/>
      <c r="X66" s="273"/>
    </row>
    <row r="67" spans="1:24" ht="12.75">
      <c r="A67" s="50">
        <v>43941</v>
      </c>
      <c r="B67" s="44" t="s">
        <v>11</v>
      </c>
      <c r="C67" s="42">
        <v>43952</v>
      </c>
      <c r="D67" s="44">
        <v>299.5</v>
      </c>
      <c r="E67" s="44">
        <v>2.298</v>
      </c>
      <c r="F67" s="44">
        <v>2.6103000000000001</v>
      </c>
      <c r="G67" s="44">
        <v>2.4234</v>
      </c>
      <c r="H67" s="44">
        <v>179</v>
      </c>
      <c r="I67" s="44">
        <v>163</v>
      </c>
      <c r="J67" s="44">
        <v>174</v>
      </c>
      <c r="K67" s="55">
        <f t="shared" ref="K67:M67" si="52">$D67/E67*H67</f>
        <v>23329.199303742382</v>
      </c>
      <c r="L67" s="55">
        <f t="shared" si="52"/>
        <v>18702.256445619278</v>
      </c>
      <c r="M67" s="55">
        <f t="shared" si="52"/>
        <v>21504.085169596434</v>
      </c>
      <c r="N67" s="70">
        <f t="shared" si="30"/>
        <v>21178.513639652698</v>
      </c>
      <c r="O67" s="54">
        <v>2</v>
      </c>
      <c r="P67" s="71">
        <f t="shared" si="31"/>
        <v>149.75</v>
      </c>
      <c r="Q67" s="85">
        <f t="shared" si="35"/>
        <v>10589.256819826349</v>
      </c>
      <c r="R67" s="55">
        <f t="shared" si="32"/>
        <v>2330.5895539361986</v>
      </c>
      <c r="S67" s="55">
        <f t="shared" si="33"/>
        <v>0.11004500096610262</v>
      </c>
      <c r="T67" s="55"/>
      <c r="U67" s="55"/>
      <c r="W67" s="273"/>
      <c r="X67" s="273"/>
    </row>
    <row r="68" spans="1:24" ht="12.75">
      <c r="A68" s="42">
        <v>43941</v>
      </c>
      <c r="B68" s="44" t="s">
        <v>19</v>
      </c>
      <c r="C68" s="42">
        <v>43952</v>
      </c>
      <c r="D68" s="44">
        <v>412</v>
      </c>
      <c r="E68" s="44">
        <v>1.1399999999999999</v>
      </c>
      <c r="F68" s="44">
        <v>1.1531</v>
      </c>
      <c r="G68" s="44">
        <v>1.2274</v>
      </c>
      <c r="H68" s="44">
        <v>127</v>
      </c>
      <c r="I68" s="44">
        <v>122</v>
      </c>
      <c r="J68" s="44">
        <v>144</v>
      </c>
      <c r="K68" s="55">
        <f t="shared" ref="K68:M68" si="53">$D68/E68*H68</f>
        <v>45898.245614035091</v>
      </c>
      <c r="L68" s="55">
        <f t="shared" si="53"/>
        <v>43590.321741392763</v>
      </c>
      <c r="M68" s="55">
        <f t="shared" si="53"/>
        <v>48336.320677855627</v>
      </c>
      <c r="N68" s="70">
        <f t="shared" si="30"/>
        <v>45941.629344427834</v>
      </c>
      <c r="O68" s="54">
        <v>4</v>
      </c>
      <c r="P68" s="71">
        <f t="shared" si="31"/>
        <v>103</v>
      </c>
      <c r="Q68" s="85">
        <f t="shared" si="35"/>
        <v>11485.407336106959</v>
      </c>
      <c r="R68" s="55">
        <f t="shared" si="32"/>
        <v>2373.296881402272</v>
      </c>
      <c r="S68" s="55">
        <f t="shared" si="33"/>
        <v>5.1658961932096216E-2</v>
      </c>
      <c r="T68" s="55"/>
      <c r="U68" s="55"/>
      <c r="W68" s="273"/>
      <c r="X68" s="273"/>
    </row>
    <row r="69" spans="1:24" ht="12.75">
      <c r="A69" s="50">
        <v>43943</v>
      </c>
      <c r="B69" s="44" t="s">
        <v>11</v>
      </c>
      <c r="C69" s="42">
        <v>43956</v>
      </c>
      <c r="D69" s="44">
        <v>249.5</v>
      </c>
      <c r="E69" s="44">
        <v>0.48</v>
      </c>
      <c r="F69" s="44">
        <v>0.63</v>
      </c>
      <c r="G69" s="44">
        <v>0.74</v>
      </c>
      <c r="H69" s="44">
        <v>43</v>
      </c>
      <c r="I69" s="44">
        <v>51</v>
      </c>
      <c r="J69" s="44">
        <v>71</v>
      </c>
      <c r="K69" s="55">
        <f t="shared" ref="K69:M69" si="54">$D69/E69*H69</f>
        <v>22351.041666666672</v>
      </c>
      <c r="L69" s="55">
        <f t="shared" si="54"/>
        <v>20197.619047619046</v>
      </c>
      <c r="M69" s="55">
        <f t="shared" si="54"/>
        <v>23938.513513513517</v>
      </c>
      <c r="N69" s="70">
        <f t="shared" si="30"/>
        <v>22162.391409266409</v>
      </c>
      <c r="O69" s="54">
        <v>2</v>
      </c>
      <c r="P69" s="71">
        <f t="shared" si="31"/>
        <v>124.75</v>
      </c>
      <c r="Q69" s="85">
        <f t="shared" si="35"/>
        <v>11081.195704633205</v>
      </c>
      <c r="R69" s="55">
        <f t="shared" si="32"/>
        <v>1877.5687846129256</v>
      </c>
      <c r="S69" s="55">
        <f t="shared" si="33"/>
        <v>8.4718690773951749E-2</v>
      </c>
      <c r="T69" s="55"/>
      <c r="U69" s="55"/>
      <c r="V69" s="44" t="s">
        <v>126</v>
      </c>
      <c r="W69" s="273"/>
      <c r="X69" s="273"/>
    </row>
    <row r="70" spans="1:24" ht="12.75">
      <c r="A70" s="42">
        <v>43948</v>
      </c>
      <c r="B70" s="44" t="s">
        <v>11</v>
      </c>
      <c r="C70" s="42">
        <v>43956</v>
      </c>
      <c r="D70" s="44">
        <v>181</v>
      </c>
      <c r="E70" s="44">
        <v>0.66</v>
      </c>
      <c r="F70" s="44">
        <v>0.85</v>
      </c>
      <c r="G70" s="44">
        <v>1.07</v>
      </c>
      <c r="H70" s="44">
        <v>52</v>
      </c>
      <c r="I70" s="44">
        <v>67</v>
      </c>
      <c r="J70" s="44">
        <v>85</v>
      </c>
      <c r="K70" s="55">
        <f t="shared" ref="K70:M70" si="55">$D70/E70*H70</f>
        <v>14260.60606060606</v>
      </c>
      <c r="L70" s="55">
        <f t="shared" si="55"/>
        <v>14267.058823529411</v>
      </c>
      <c r="M70" s="55">
        <f t="shared" si="55"/>
        <v>14378.504672897196</v>
      </c>
      <c r="N70" s="70">
        <f t="shared" si="30"/>
        <v>14302.056519010888</v>
      </c>
      <c r="O70" s="54">
        <v>1</v>
      </c>
      <c r="P70" s="71">
        <f t="shared" si="31"/>
        <v>181</v>
      </c>
      <c r="Q70" s="85">
        <f t="shared" si="35"/>
        <v>14302.056519010888</v>
      </c>
      <c r="R70" s="55">
        <f t="shared" si="32"/>
        <v>66.284611425311809</v>
      </c>
      <c r="S70" s="55">
        <f t="shared" si="33"/>
        <v>4.6346209957430634E-3</v>
      </c>
      <c r="T70" s="55"/>
      <c r="U70" s="55"/>
      <c r="V70" s="44" t="s">
        <v>127</v>
      </c>
      <c r="W70" s="273"/>
      <c r="X70" s="273"/>
    </row>
    <row r="71" spans="1:24" ht="12.75">
      <c r="A71" s="42">
        <v>43941</v>
      </c>
      <c r="B71" s="44" t="s">
        <v>8</v>
      </c>
      <c r="C71" s="42">
        <v>43956</v>
      </c>
      <c r="D71" s="44">
        <v>371</v>
      </c>
      <c r="E71" s="44">
        <v>1.8032999999999999</v>
      </c>
      <c r="F71" s="44">
        <v>1.6768000000000001</v>
      </c>
      <c r="G71" s="44">
        <v>1.9560999999999999</v>
      </c>
      <c r="H71" s="44">
        <v>229</v>
      </c>
      <c r="I71" s="44">
        <v>196</v>
      </c>
      <c r="J71" s="44">
        <v>220</v>
      </c>
      <c r="K71" s="55">
        <f t="shared" ref="K71:M71" si="56">$D71/E71*H71</f>
        <v>47113.070481894305</v>
      </c>
      <c r="L71" s="55">
        <f t="shared" si="56"/>
        <v>43365.935114503816</v>
      </c>
      <c r="M71" s="55">
        <f t="shared" si="56"/>
        <v>41725.883134809061</v>
      </c>
      <c r="N71" s="70">
        <f t="shared" si="30"/>
        <v>44068.296243735727</v>
      </c>
      <c r="O71" s="54">
        <v>4</v>
      </c>
      <c r="P71" s="71">
        <f t="shared" si="31"/>
        <v>92.75</v>
      </c>
      <c r="Q71" s="85">
        <f t="shared" si="35"/>
        <v>11017.074060933932</v>
      </c>
      <c r="R71" s="55">
        <f t="shared" si="32"/>
        <v>2761.4181583093823</v>
      </c>
      <c r="S71" s="55">
        <f t="shared" si="33"/>
        <v>6.2662240061116856E-2</v>
      </c>
      <c r="T71" s="55"/>
      <c r="U71" s="55"/>
      <c r="W71" s="273"/>
      <c r="X71" s="273"/>
    </row>
    <row r="72" spans="1:24" ht="12.75">
      <c r="A72" s="42">
        <v>43943</v>
      </c>
      <c r="B72" s="44" t="s">
        <v>18</v>
      </c>
      <c r="C72" s="42">
        <v>43958</v>
      </c>
      <c r="D72" s="44">
        <v>242.5</v>
      </c>
      <c r="E72" s="44">
        <v>1.4533</v>
      </c>
      <c r="F72" s="44">
        <v>1.3371</v>
      </c>
      <c r="G72" s="44">
        <v>1.2966</v>
      </c>
      <c r="H72" s="44">
        <v>277</v>
      </c>
      <c r="I72" s="44">
        <v>245</v>
      </c>
      <c r="J72" s="44">
        <v>253</v>
      </c>
      <c r="K72" s="55">
        <f t="shared" ref="K72:M72" si="57">$D72/E72*H72</f>
        <v>46220.67019885777</v>
      </c>
      <c r="L72" s="55">
        <f t="shared" si="57"/>
        <v>44433.849375514175</v>
      </c>
      <c r="M72" s="55">
        <f t="shared" si="57"/>
        <v>47317.985500539871</v>
      </c>
      <c r="N72" s="70">
        <f t="shared" si="30"/>
        <v>45990.835024970605</v>
      </c>
      <c r="O72" s="54">
        <v>4</v>
      </c>
      <c r="P72" s="71">
        <f t="shared" si="31"/>
        <v>60.625</v>
      </c>
      <c r="Q72" s="85">
        <f t="shared" si="35"/>
        <v>11497.708756242651</v>
      </c>
      <c r="R72" s="55">
        <f t="shared" si="32"/>
        <v>1455.7398298756432</v>
      </c>
      <c r="S72" s="55">
        <f t="shared" si="33"/>
        <v>3.1652824504822603E-2</v>
      </c>
      <c r="T72" s="55"/>
      <c r="U72" s="55"/>
      <c r="W72" s="273"/>
      <c r="X72" s="273"/>
    </row>
    <row r="73" spans="1:24" ht="12.75">
      <c r="A73" s="44" t="s">
        <v>128</v>
      </c>
      <c r="B73" s="44" t="s">
        <v>8</v>
      </c>
      <c r="C73" s="42">
        <v>43962</v>
      </c>
      <c r="D73" s="44">
        <v>402.5</v>
      </c>
      <c r="E73" s="44">
        <v>2.8763999999999998</v>
      </c>
      <c r="F73" s="44">
        <v>3.1173000000000002</v>
      </c>
      <c r="G73" s="44">
        <v>2.7105999999999999</v>
      </c>
      <c r="H73" s="44">
        <v>138</v>
      </c>
      <c r="I73" s="44">
        <v>140</v>
      </c>
      <c r="J73" s="44">
        <v>125</v>
      </c>
      <c r="K73" s="55">
        <f t="shared" ref="K73:M73" si="58">$D73/E73*H73</f>
        <v>19310.596579057154</v>
      </c>
      <c r="L73" s="55">
        <f t="shared" si="58"/>
        <v>18076.540596028612</v>
      </c>
      <c r="M73" s="55">
        <f t="shared" si="58"/>
        <v>18561.388622445214</v>
      </c>
      <c r="N73" s="70">
        <f t="shared" si="30"/>
        <v>18649.508599176992</v>
      </c>
      <c r="O73" s="54">
        <v>1</v>
      </c>
      <c r="P73" s="71">
        <f t="shared" si="31"/>
        <v>402.5</v>
      </c>
      <c r="Q73" s="85">
        <f t="shared" si="35"/>
        <v>18649.508599176992</v>
      </c>
      <c r="R73" s="55">
        <f t="shared" si="32"/>
        <v>621.72935433075872</v>
      </c>
      <c r="S73" s="55">
        <f t="shared" si="33"/>
        <v>3.3337572999547871E-2</v>
      </c>
      <c r="T73" s="55"/>
      <c r="U73" s="55"/>
      <c r="V73" s="44" t="s">
        <v>129</v>
      </c>
      <c r="W73" s="273"/>
      <c r="X73" s="273"/>
    </row>
    <row r="74" spans="1:24" ht="12.75">
      <c r="A74" s="42">
        <v>43952</v>
      </c>
      <c r="B74" s="44" t="s">
        <v>16</v>
      </c>
      <c r="C74" s="42">
        <v>43962</v>
      </c>
      <c r="D74" s="44">
        <v>268.5</v>
      </c>
      <c r="E74" s="44">
        <f>5.9277-1.8916</f>
        <v>4.0360999999999994</v>
      </c>
      <c r="F74" s="44">
        <f>5.7092-1.9359</f>
        <v>3.7732999999999999</v>
      </c>
      <c r="G74" s="44">
        <f>6.1679-1.9826</f>
        <v>4.1853000000000007</v>
      </c>
      <c r="H74" s="44">
        <v>97</v>
      </c>
      <c r="I74" s="44">
        <v>102</v>
      </c>
      <c r="J74" s="44">
        <v>106</v>
      </c>
      <c r="K74" s="55">
        <f t="shared" ref="K74:M74" si="59">$D74/E74*H74</f>
        <v>6452.8876886102935</v>
      </c>
      <c r="L74" s="55">
        <f t="shared" si="59"/>
        <v>7258.1029867755014</v>
      </c>
      <c r="M74" s="55">
        <f t="shared" si="59"/>
        <v>6800.2293742384054</v>
      </c>
      <c r="N74" s="70">
        <f t="shared" si="30"/>
        <v>6837.0733498747331</v>
      </c>
      <c r="O74" s="54">
        <v>0</v>
      </c>
      <c r="P74" s="71" t="e">
        <f t="shared" si="31"/>
        <v>#DIV/0!</v>
      </c>
      <c r="Q74" s="85" t="e">
        <f t="shared" si="35"/>
        <v>#DIV/0!</v>
      </c>
      <c r="R74" s="55">
        <f t="shared" si="32"/>
        <v>403.87006326953593</v>
      </c>
      <c r="S74" s="55">
        <f t="shared" si="33"/>
        <v>5.9070605594268709E-2</v>
      </c>
      <c r="T74" s="55"/>
      <c r="U74" s="55"/>
      <c r="V74" s="44" t="s">
        <v>130</v>
      </c>
      <c r="W74" s="273"/>
      <c r="X74" s="273"/>
    </row>
    <row r="75" spans="1:24" ht="12.75">
      <c r="A75" s="42">
        <v>43943</v>
      </c>
      <c r="B75" s="44" t="s">
        <v>8</v>
      </c>
      <c r="C75" s="42">
        <v>43962</v>
      </c>
      <c r="D75" s="44">
        <v>137.16</v>
      </c>
      <c r="E75" s="44">
        <v>1.27</v>
      </c>
      <c r="F75" s="44">
        <v>1.115</v>
      </c>
      <c r="G75" s="44">
        <v>0.59899999999999998</v>
      </c>
      <c r="H75" s="44">
        <v>163</v>
      </c>
      <c r="I75" s="44">
        <v>151</v>
      </c>
      <c r="J75" s="44">
        <v>80</v>
      </c>
      <c r="K75" s="55">
        <f t="shared" ref="K75:M75" si="60">$D75/E75*H75</f>
        <v>17604</v>
      </c>
      <c r="L75" s="55">
        <f t="shared" si="60"/>
        <v>18575.031390134529</v>
      </c>
      <c r="M75" s="55">
        <f t="shared" si="60"/>
        <v>18318.530884808013</v>
      </c>
      <c r="N75" s="70">
        <f t="shared" si="30"/>
        <v>18165.854091647514</v>
      </c>
      <c r="O75" s="54">
        <v>1</v>
      </c>
      <c r="P75" s="71">
        <f t="shared" si="31"/>
        <v>137.16</v>
      </c>
      <c r="Q75" s="85">
        <f t="shared" si="35"/>
        <v>18165.854091647514</v>
      </c>
      <c r="R75" s="55">
        <f t="shared" si="32"/>
        <v>503.19791586807997</v>
      </c>
      <c r="S75" s="55">
        <f t="shared" si="33"/>
        <v>2.7700206845735129E-2</v>
      </c>
      <c r="T75" s="55"/>
      <c r="U75" s="55"/>
      <c r="V75" s="44" t="s">
        <v>129</v>
      </c>
      <c r="W75" s="273"/>
      <c r="X75" s="273"/>
    </row>
    <row r="76" spans="1:24" ht="12.75">
      <c r="A76" s="42">
        <v>43952</v>
      </c>
      <c r="B76" s="44" t="s">
        <v>11</v>
      </c>
      <c r="C76" s="42">
        <v>43963</v>
      </c>
      <c r="D76" s="44">
        <v>803</v>
      </c>
      <c r="E76" s="44">
        <v>1.8809</v>
      </c>
      <c r="F76" s="44">
        <v>1.9554</v>
      </c>
      <c r="G76" s="44">
        <v>2.0905</v>
      </c>
      <c r="H76" s="44">
        <v>141</v>
      </c>
      <c r="I76" s="44">
        <v>155</v>
      </c>
      <c r="J76" s="44">
        <v>160</v>
      </c>
      <c r="K76" s="55">
        <f t="shared" ref="K76:M76" si="61">$D76/E76*H76</f>
        <v>60196.182678504971</v>
      </c>
      <c r="L76" s="55">
        <f t="shared" si="61"/>
        <v>63651.938222358593</v>
      </c>
      <c r="M76" s="55">
        <f t="shared" si="61"/>
        <v>61458.981104998806</v>
      </c>
      <c r="N76" s="70">
        <f t="shared" si="30"/>
        <v>61769.034001954125</v>
      </c>
      <c r="O76" s="54">
        <v>6</v>
      </c>
      <c r="P76" s="71">
        <f t="shared" si="31"/>
        <v>133.83333333333334</v>
      </c>
      <c r="Q76" s="85">
        <f t="shared" si="35"/>
        <v>10294.839000325688</v>
      </c>
      <c r="R76" s="55">
        <f t="shared" si="32"/>
        <v>1748.616937439858</v>
      </c>
      <c r="S76" s="55">
        <f t="shared" si="33"/>
        <v>2.8308957161035396E-2</v>
      </c>
      <c r="T76" s="55"/>
      <c r="U76" s="55"/>
      <c r="W76" s="273"/>
      <c r="X76" s="273"/>
    </row>
    <row r="77" spans="1:24" ht="12.75">
      <c r="A77" s="42">
        <v>43955</v>
      </c>
      <c r="B77" s="44" t="s">
        <v>16</v>
      </c>
      <c r="C77" s="42">
        <v>43963</v>
      </c>
      <c r="D77" s="44">
        <v>253</v>
      </c>
      <c r="E77" s="44">
        <v>0.71</v>
      </c>
      <c r="F77" s="44">
        <v>1.085</v>
      </c>
      <c r="G77" s="44">
        <v>1</v>
      </c>
      <c r="H77" s="44">
        <v>41</v>
      </c>
      <c r="I77" s="44">
        <v>90</v>
      </c>
      <c r="J77" s="44">
        <v>81</v>
      </c>
      <c r="K77" s="55">
        <f t="shared" ref="K77:M77" si="62">$D77/E77*H77</f>
        <v>14609.859154929578</v>
      </c>
      <c r="L77" s="55">
        <f t="shared" si="62"/>
        <v>20986.175115207374</v>
      </c>
      <c r="M77" s="55">
        <f t="shared" si="62"/>
        <v>20493</v>
      </c>
      <c r="N77" s="70">
        <f t="shared" si="30"/>
        <v>18696.344756712318</v>
      </c>
      <c r="O77" s="54">
        <v>1</v>
      </c>
      <c r="P77" s="71">
        <f t="shared" si="31"/>
        <v>253</v>
      </c>
      <c r="Q77" s="85">
        <f t="shared" si="35"/>
        <v>18696.344756712318</v>
      </c>
      <c r="R77" s="55">
        <f t="shared" si="32"/>
        <v>3547.5807043319255</v>
      </c>
      <c r="S77" s="55">
        <f t="shared" si="33"/>
        <v>0.18974728753107109</v>
      </c>
      <c r="T77" s="55"/>
      <c r="U77" s="55"/>
      <c r="V77" s="44" t="s">
        <v>129</v>
      </c>
      <c r="W77" s="273"/>
      <c r="X77" s="273"/>
    </row>
    <row r="78" spans="1:24" ht="12.75">
      <c r="A78" s="42">
        <v>43950</v>
      </c>
      <c r="B78" s="44" t="s">
        <v>11</v>
      </c>
      <c r="C78" s="42">
        <v>43963</v>
      </c>
      <c r="D78" s="44">
        <v>232.5</v>
      </c>
      <c r="E78" s="44">
        <v>1.06</v>
      </c>
      <c r="F78" s="44">
        <v>1.36</v>
      </c>
      <c r="G78" s="44">
        <v>1.01</v>
      </c>
      <c r="H78" s="44">
        <v>136</v>
      </c>
      <c r="I78" s="44">
        <v>181</v>
      </c>
      <c r="J78" s="44">
        <v>142</v>
      </c>
      <c r="K78" s="55">
        <f t="shared" ref="K78:M78" si="63">$D78/E78*H78</f>
        <v>29830.188679245282</v>
      </c>
      <c r="L78" s="55">
        <f t="shared" si="63"/>
        <v>30943.01470588235</v>
      </c>
      <c r="M78" s="55">
        <f t="shared" si="63"/>
        <v>32688.118811881188</v>
      </c>
      <c r="N78" s="70">
        <f t="shared" si="30"/>
        <v>31153.774065669608</v>
      </c>
      <c r="O78" s="54">
        <v>3</v>
      </c>
      <c r="P78" s="71">
        <f t="shared" si="31"/>
        <v>77.5</v>
      </c>
      <c r="Q78" s="85">
        <f t="shared" si="35"/>
        <v>10384.591355223203</v>
      </c>
      <c r="R78" s="55">
        <f t="shared" si="32"/>
        <v>1440.5748128995322</v>
      </c>
      <c r="S78" s="55">
        <f t="shared" si="33"/>
        <v>4.6240780005110081E-2</v>
      </c>
      <c r="T78" s="55"/>
      <c r="U78" s="55"/>
      <c r="V78" s="44" t="s">
        <v>131</v>
      </c>
      <c r="W78" s="273"/>
      <c r="X78" s="273"/>
    </row>
    <row r="79" spans="1:24" ht="12.75">
      <c r="A79" s="44" t="s">
        <v>132</v>
      </c>
      <c r="B79" s="44" t="s">
        <v>24</v>
      </c>
      <c r="C79" s="42">
        <v>43963</v>
      </c>
      <c r="D79" s="44">
        <v>520</v>
      </c>
      <c r="E79" s="44">
        <v>2.2921</v>
      </c>
      <c r="F79" s="44">
        <v>2.0222000000000002</v>
      </c>
      <c r="G79" s="44">
        <v>1.9678</v>
      </c>
      <c r="H79" s="44">
        <v>346</v>
      </c>
      <c r="I79" s="44">
        <v>274</v>
      </c>
      <c r="J79" s="44">
        <v>284</v>
      </c>
      <c r="K79" s="55">
        <f t="shared" ref="K79:M79" si="64">$D79/E79*H79</f>
        <v>78495.702630775268</v>
      </c>
      <c r="L79" s="55">
        <f t="shared" si="64"/>
        <v>70457.917119968348</v>
      </c>
      <c r="M79" s="55">
        <f t="shared" si="64"/>
        <v>75048.277263949596</v>
      </c>
      <c r="N79" s="70">
        <f t="shared" si="30"/>
        <v>74667.299004897737</v>
      </c>
      <c r="O79" s="54">
        <v>7</v>
      </c>
      <c r="P79" s="71">
        <f t="shared" si="31"/>
        <v>74.285714285714292</v>
      </c>
      <c r="Q79" s="85">
        <f t="shared" si="35"/>
        <v>10666.757000699678</v>
      </c>
      <c r="R79" s="55">
        <f t="shared" si="32"/>
        <v>4032.4133350683501</v>
      </c>
      <c r="S79" s="55">
        <f t="shared" si="33"/>
        <v>5.4005078378472585E-2</v>
      </c>
      <c r="T79" s="55"/>
      <c r="U79" s="55"/>
      <c r="W79" s="273"/>
      <c r="X79" s="273"/>
    </row>
    <row r="80" spans="1:24" ht="12.75">
      <c r="A80" s="42">
        <v>43943</v>
      </c>
      <c r="B80" s="44" t="s">
        <v>24</v>
      </c>
      <c r="C80" s="42">
        <v>43963</v>
      </c>
      <c r="D80" s="44">
        <v>392.5</v>
      </c>
      <c r="E80" s="44">
        <v>0.76</v>
      </c>
      <c r="F80" s="44">
        <v>0.94</v>
      </c>
      <c r="G80" s="44">
        <v>0.72499999999999998</v>
      </c>
      <c r="H80" s="44">
        <v>68</v>
      </c>
      <c r="I80" s="44">
        <v>96</v>
      </c>
      <c r="J80" s="44">
        <v>63</v>
      </c>
      <c r="K80" s="55">
        <f t="shared" ref="K80:M80" si="65">$D80/E80*H80</f>
        <v>35118.42105263158</v>
      </c>
      <c r="L80" s="55">
        <f t="shared" si="65"/>
        <v>40085.106382978724</v>
      </c>
      <c r="M80" s="55">
        <f t="shared" si="65"/>
        <v>34106.896551724138</v>
      </c>
      <c r="N80" s="70">
        <f t="shared" si="30"/>
        <v>36436.807995778152</v>
      </c>
      <c r="O80" s="54">
        <v>3</v>
      </c>
      <c r="P80" s="71">
        <f t="shared" si="31"/>
        <v>130.83333333333334</v>
      </c>
      <c r="Q80" s="85">
        <f t="shared" si="35"/>
        <v>12145.602665259385</v>
      </c>
      <c r="R80" s="55">
        <f t="shared" si="32"/>
        <v>3199.743160868034</v>
      </c>
      <c r="S80" s="55">
        <f t="shared" si="33"/>
        <v>8.7816231357005281E-2</v>
      </c>
      <c r="T80" s="55"/>
      <c r="U80" s="55"/>
      <c r="V80" s="44" t="s">
        <v>131</v>
      </c>
      <c r="W80" s="273"/>
      <c r="X80" s="273"/>
    </row>
    <row r="81" spans="1:24" ht="12.75">
      <c r="A81" s="44" t="s">
        <v>133</v>
      </c>
      <c r="B81" s="44" t="s">
        <v>19</v>
      </c>
      <c r="C81" s="42">
        <v>43966</v>
      </c>
      <c r="D81" s="44">
        <v>272</v>
      </c>
      <c r="E81" s="44">
        <v>1.3189</v>
      </c>
      <c r="F81" s="44">
        <v>1.4032</v>
      </c>
      <c r="G81" s="44">
        <v>1.4017999999999999</v>
      </c>
      <c r="H81" s="44">
        <v>234</v>
      </c>
      <c r="I81" s="44">
        <v>254</v>
      </c>
      <c r="J81" s="44">
        <v>253</v>
      </c>
      <c r="K81" s="55">
        <f t="shared" ref="K81:M81" si="66">$D81/E81*H81</f>
        <v>48258.397149139433</v>
      </c>
      <c r="L81" s="55">
        <f t="shared" si="66"/>
        <v>49236.031927023942</v>
      </c>
      <c r="M81" s="55">
        <f t="shared" si="66"/>
        <v>49091.168497645886</v>
      </c>
      <c r="N81" s="70">
        <f t="shared" si="30"/>
        <v>48861.86585793642</v>
      </c>
      <c r="O81" s="54">
        <v>4</v>
      </c>
      <c r="P81" s="71">
        <f t="shared" si="31"/>
        <v>68</v>
      </c>
      <c r="Q81" s="85">
        <f t="shared" si="35"/>
        <v>12215.466464484105</v>
      </c>
      <c r="R81" s="55">
        <f t="shared" si="32"/>
        <v>527.61464646616821</v>
      </c>
      <c r="S81" s="55">
        <f t="shared" si="33"/>
        <v>1.0798086344066005E-2</v>
      </c>
      <c r="T81" s="55"/>
      <c r="U81" s="55"/>
      <c r="W81" s="273"/>
      <c r="X81" s="273"/>
    </row>
    <row r="82" spans="1:24" ht="12.75">
      <c r="A82" s="42">
        <v>43952</v>
      </c>
      <c r="B82" s="44" t="s">
        <v>19</v>
      </c>
      <c r="C82" s="42">
        <v>43966</v>
      </c>
      <c r="D82" s="44">
        <v>433</v>
      </c>
      <c r="E82" s="44">
        <v>1.2931999999999999</v>
      </c>
      <c r="F82" s="44">
        <v>1.2297</v>
      </c>
      <c r="G82" s="44">
        <v>1.2144999999999999</v>
      </c>
      <c r="H82" s="44">
        <v>113</v>
      </c>
      <c r="I82" s="44">
        <v>104</v>
      </c>
      <c r="J82" s="44">
        <v>98</v>
      </c>
      <c r="K82" s="55">
        <f t="shared" ref="K82:M82" si="67">$D82/E82*H82</f>
        <v>37835.601608413243</v>
      </c>
      <c r="L82" s="55">
        <f t="shared" si="67"/>
        <v>36620.313897698623</v>
      </c>
      <c r="M82" s="55">
        <f t="shared" si="67"/>
        <v>34939.481268011528</v>
      </c>
      <c r="N82" s="70">
        <f t="shared" si="30"/>
        <v>36465.132258041129</v>
      </c>
      <c r="O82" s="54">
        <v>3</v>
      </c>
      <c r="P82" s="71">
        <f t="shared" si="31"/>
        <v>144.33333333333334</v>
      </c>
      <c r="Q82" s="85">
        <f t="shared" si="35"/>
        <v>12155.04408601371</v>
      </c>
      <c r="R82" s="55">
        <f t="shared" si="32"/>
        <v>1454.283075087937</v>
      </c>
      <c r="S82" s="55">
        <f t="shared" si="33"/>
        <v>3.9881469914790864E-2</v>
      </c>
      <c r="T82" s="55"/>
      <c r="U82" s="55"/>
      <c r="W82" s="273"/>
      <c r="X82" s="273"/>
    </row>
    <row r="83" spans="1:24" ht="12.75">
      <c r="A83" s="42">
        <v>43957</v>
      </c>
      <c r="B83" s="44" t="s">
        <v>16</v>
      </c>
      <c r="C83" s="42">
        <v>43966</v>
      </c>
      <c r="D83" s="44">
        <v>170</v>
      </c>
      <c r="E83" s="44">
        <v>1.3073999999999999</v>
      </c>
      <c r="F83" s="44">
        <v>1.2615000000000001</v>
      </c>
      <c r="G83" s="44">
        <v>1.2773000000000001</v>
      </c>
      <c r="H83" s="44">
        <v>98</v>
      </c>
      <c r="I83" s="44">
        <v>109</v>
      </c>
      <c r="J83" s="44">
        <v>142</v>
      </c>
      <c r="K83" s="55">
        <f t="shared" ref="K83:M83" si="68">$D83/E83*H83</f>
        <v>12742.848401407377</v>
      </c>
      <c r="L83" s="55">
        <f t="shared" si="68"/>
        <v>14688.862465319062</v>
      </c>
      <c r="M83" s="55">
        <f t="shared" si="68"/>
        <v>18899.240585610271</v>
      </c>
      <c r="N83" s="70">
        <f t="shared" si="30"/>
        <v>15443.650484112237</v>
      </c>
      <c r="O83" s="54">
        <v>1</v>
      </c>
      <c r="P83" s="71">
        <f t="shared" si="31"/>
        <v>170</v>
      </c>
      <c r="Q83" s="85">
        <f t="shared" si="35"/>
        <v>15443.650484112237</v>
      </c>
      <c r="R83" s="55">
        <f t="shared" si="32"/>
        <v>3146.8349013594379</v>
      </c>
      <c r="S83" s="55">
        <f t="shared" si="33"/>
        <v>0.20376237500303224</v>
      </c>
      <c r="T83" s="55"/>
      <c r="U83" s="55"/>
      <c r="W83" s="273"/>
      <c r="X83" s="273"/>
    </row>
    <row r="84" spans="1:24" ht="12.75">
      <c r="A84" s="42">
        <v>43955</v>
      </c>
      <c r="B84" s="44" t="s">
        <v>18</v>
      </c>
      <c r="C84" s="42">
        <v>43966</v>
      </c>
      <c r="D84" s="44">
        <v>363.5</v>
      </c>
      <c r="E84" s="44">
        <v>1.3170999999999999</v>
      </c>
      <c r="F84" s="44">
        <v>1.4681999999999999</v>
      </c>
      <c r="G84" s="44">
        <v>1.3736999999999999</v>
      </c>
      <c r="H84" s="44">
        <v>164</v>
      </c>
      <c r="I84" s="44">
        <v>175</v>
      </c>
      <c r="J84" s="44">
        <v>177</v>
      </c>
      <c r="K84" s="55">
        <f t="shared" ref="K84:M84" si="69">$D84/E84*H84</f>
        <v>45261.559486751197</v>
      </c>
      <c r="L84" s="55">
        <f t="shared" si="69"/>
        <v>43326.862825228171</v>
      </c>
      <c r="M84" s="55">
        <f t="shared" si="69"/>
        <v>46836.645555798212</v>
      </c>
      <c r="N84" s="70">
        <f t="shared" si="30"/>
        <v>45141.6892892592</v>
      </c>
      <c r="O84" s="54">
        <v>4</v>
      </c>
      <c r="P84" s="71">
        <f t="shared" si="31"/>
        <v>90.875</v>
      </c>
      <c r="Q84" s="85">
        <f t="shared" si="35"/>
        <v>11285.4223223148</v>
      </c>
      <c r="R84" s="55">
        <f t="shared" si="32"/>
        <v>1757.9591440465852</v>
      </c>
      <c r="S84" s="55">
        <f t="shared" si="33"/>
        <v>3.8943140403584001E-2</v>
      </c>
      <c r="T84" s="55"/>
      <c r="U84" s="55"/>
      <c r="W84" s="273"/>
      <c r="X84" s="273"/>
    </row>
    <row r="85" spans="1:24" ht="12.75">
      <c r="A85" s="42">
        <v>43955</v>
      </c>
      <c r="B85" s="44" t="s">
        <v>11</v>
      </c>
      <c r="C85" s="42">
        <v>43969</v>
      </c>
      <c r="D85" s="44">
        <v>256.5</v>
      </c>
      <c r="E85" s="44">
        <v>1.3745000000000001</v>
      </c>
      <c r="F85" s="44">
        <v>1.2994000000000001</v>
      </c>
      <c r="G85" s="44">
        <v>1.3027</v>
      </c>
      <c r="H85" s="44">
        <v>204</v>
      </c>
      <c r="I85" s="44">
        <v>196</v>
      </c>
      <c r="J85" s="44">
        <v>187</v>
      </c>
      <c r="K85" s="55">
        <f t="shared" ref="K85:M85" si="70">$D85/E85*H85</f>
        <v>38069.116042197158</v>
      </c>
      <c r="L85" s="55">
        <f t="shared" si="70"/>
        <v>38690.164691396021</v>
      </c>
      <c r="M85" s="55">
        <f t="shared" si="70"/>
        <v>36820.066016734476</v>
      </c>
      <c r="N85" s="70">
        <f t="shared" si="30"/>
        <v>37859.782250109223</v>
      </c>
      <c r="O85" s="54">
        <v>3</v>
      </c>
      <c r="P85" s="71">
        <f t="shared" si="31"/>
        <v>85.5</v>
      </c>
      <c r="Q85" s="85">
        <f t="shared" si="35"/>
        <v>12619.927416703074</v>
      </c>
      <c r="R85" s="55">
        <f t="shared" si="32"/>
        <v>952.4614116199956</v>
      </c>
      <c r="S85" s="55">
        <f t="shared" si="33"/>
        <v>2.5157604059311455E-2</v>
      </c>
      <c r="T85" s="55"/>
      <c r="U85" s="55"/>
      <c r="W85" s="273"/>
      <c r="X85" s="273"/>
    </row>
    <row r="86" spans="1:24" ht="12.75">
      <c r="A86" s="44" t="s">
        <v>134</v>
      </c>
      <c r="B86" s="44" t="s">
        <v>19</v>
      </c>
      <c r="C86" s="42">
        <v>43969</v>
      </c>
      <c r="D86" s="44">
        <v>295.5</v>
      </c>
      <c r="E86" s="44">
        <v>1.3398000000000001</v>
      </c>
      <c r="F86" s="44">
        <v>1.3332999999999999</v>
      </c>
      <c r="G86" s="44">
        <v>1.2363999999999999</v>
      </c>
      <c r="H86" s="44">
        <v>142</v>
      </c>
      <c r="I86" s="44">
        <v>147</v>
      </c>
      <c r="J86" s="44">
        <v>131</v>
      </c>
      <c r="K86" s="55">
        <f t="shared" ref="K86:M86" si="71">$D86/E86*H86</f>
        <v>31318.853560232867</v>
      </c>
      <c r="L86" s="55">
        <f t="shared" si="71"/>
        <v>32579.689492237307</v>
      </c>
      <c r="M86" s="55">
        <f t="shared" si="71"/>
        <v>31309.042381106439</v>
      </c>
      <c r="N86" s="70">
        <f t="shared" si="30"/>
        <v>31735.861811192201</v>
      </c>
      <c r="O86" s="54">
        <v>3</v>
      </c>
      <c r="P86" s="71">
        <f t="shared" si="31"/>
        <v>98.5</v>
      </c>
      <c r="Q86" s="85">
        <f t="shared" si="35"/>
        <v>10578.620603730733</v>
      </c>
      <c r="R86" s="55">
        <f t="shared" si="32"/>
        <v>730.79267325448006</v>
      </c>
      <c r="S86" s="55">
        <f t="shared" si="33"/>
        <v>2.3027346085706529E-2</v>
      </c>
      <c r="T86" s="55"/>
      <c r="U86" s="55"/>
      <c r="W86" s="273"/>
      <c r="X86" s="273"/>
    </row>
    <row r="87" spans="1:24" ht="12.75">
      <c r="A87" s="44" t="s">
        <v>135</v>
      </c>
      <c r="B87" s="44" t="s">
        <v>8</v>
      </c>
      <c r="C87" s="42">
        <v>43969</v>
      </c>
      <c r="D87" s="44">
        <v>244.5</v>
      </c>
      <c r="E87" s="44">
        <v>1.0640000000000001</v>
      </c>
      <c r="F87" s="44">
        <v>0.76600000000000001</v>
      </c>
      <c r="G87" s="44">
        <v>0.98</v>
      </c>
      <c r="H87" s="44">
        <v>164</v>
      </c>
      <c r="I87" s="44">
        <v>144</v>
      </c>
      <c r="J87" s="44">
        <v>166</v>
      </c>
      <c r="K87" s="55">
        <f t="shared" ref="K87:M87" si="72">$D87/E87*H87</f>
        <v>37686.090225563908</v>
      </c>
      <c r="L87" s="55">
        <f t="shared" si="72"/>
        <v>45963.446475195822</v>
      </c>
      <c r="M87" s="55">
        <f t="shared" si="72"/>
        <v>41415.306122448979</v>
      </c>
      <c r="N87" s="70">
        <f t="shared" si="30"/>
        <v>41688.28094106957</v>
      </c>
      <c r="O87" s="54">
        <v>4</v>
      </c>
      <c r="P87" s="71">
        <f t="shared" si="31"/>
        <v>61.125</v>
      </c>
      <c r="Q87" s="85">
        <f t="shared" si="35"/>
        <v>10422.070235267392</v>
      </c>
      <c r="R87" s="55">
        <f t="shared" si="32"/>
        <v>4145.4243521659919</v>
      </c>
      <c r="S87" s="55">
        <f t="shared" si="33"/>
        <v>9.9438601414770525E-2</v>
      </c>
      <c r="T87" s="55"/>
      <c r="U87" s="55"/>
      <c r="W87" s="273"/>
      <c r="X87" s="273"/>
    </row>
    <row r="88" spans="1:24" ht="12.75">
      <c r="A88" s="42">
        <v>43959</v>
      </c>
      <c r="B88" s="44" t="s">
        <v>19</v>
      </c>
      <c r="C88" s="42">
        <v>43972</v>
      </c>
      <c r="D88" s="44">
        <v>167</v>
      </c>
      <c r="E88" s="44">
        <v>1.7370000000000001</v>
      </c>
      <c r="F88" s="44">
        <v>1.8004</v>
      </c>
      <c r="G88" s="44">
        <v>1.7402</v>
      </c>
      <c r="H88" s="44">
        <v>99</v>
      </c>
      <c r="I88" s="44">
        <v>115</v>
      </c>
      <c r="J88" s="44">
        <v>113</v>
      </c>
      <c r="K88" s="55">
        <f t="shared" ref="K88:M88" si="73">$D88/E88*H88</f>
        <v>9518.1347150259062</v>
      </c>
      <c r="L88" s="55">
        <f t="shared" si="73"/>
        <v>10667.073983559209</v>
      </c>
      <c r="M88" s="55">
        <f t="shared" si="73"/>
        <v>10844.155844155845</v>
      </c>
      <c r="N88" s="70">
        <f t="shared" si="30"/>
        <v>10343.121514246986</v>
      </c>
      <c r="O88" s="54">
        <v>1</v>
      </c>
      <c r="P88" s="71">
        <f t="shared" si="31"/>
        <v>167</v>
      </c>
      <c r="Q88" s="85">
        <f t="shared" si="35"/>
        <v>10343.121514246986</v>
      </c>
      <c r="R88" s="55">
        <f t="shared" si="32"/>
        <v>719.92493393747225</v>
      </c>
      <c r="S88" s="55">
        <f t="shared" si="33"/>
        <v>6.9604222762521137E-2</v>
      </c>
      <c r="T88" s="55"/>
      <c r="U88" s="55"/>
      <c r="W88" s="273"/>
      <c r="X88" s="273"/>
    </row>
    <row r="89" spans="1:24" ht="12.75">
      <c r="A89" s="44" t="s">
        <v>136</v>
      </c>
      <c r="B89" s="44" t="s">
        <v>16</v>
      </c>
      <c r="C89" s="42">
        <v>43972</v>
      </c>
      <c r="D89" s="44">
        <v>288.5</v>
      </c>
      <c r="E89" s="44">
        <v>0.71</v>
      </c>
      <c r="F89" s="44">
        <v>1.19</v>
      </c>
      <c r="G89" s="44">
        <v>0.70699999999999996</v>
      </c>
      <c r="H89" s="44">
        <v>114</v>
      </c>
      <c r="I89" s="44">
        <v>206</v>
      </c>
      <c r="J89" s="44">
        <v>131</v>
      </c>
      <c r="K89" s="55">
        <f t="shared" ref="K89:M89" si="74">$D89/E89*H89</f>
        <v>46322.535211267605</v>
      </c>
      <c r="L89" s="55">
        <f t="shared" si="74"/>
        <v>49942.016806722691</v>
      </c>
      <c r="M89" s="55">
        <f t="shared" si="74"/>
        <v>53456.152758132957</v>
      </c>
      <c r="N89" s="70">
        <f t="shared" si="30"/>
        <v>49906.901592041082</v>
      </c>
      <c r="O89" s="54">
        <v>5</v>
      </c>
      <c r="P89" s="71">
        <f t="shared" si="31"/>
        <v>57.7</v>
      </c>
      <c r="Q89" s="85">
        <f t="shared" si="35"/>
        <v>9981.3803184082171</v>
      </c>
      <c r="R89" s="55">
        <f t="shared" si="32"/>
        <v>3566.9384119946503</v>
      </c>
      <c r="S89" s="55">
        <f t="shared" si="33"/>
        <v>7.1471846542432702E-2</v>
      </c>
      <c r="T89" s="55"/>
      <c r="U89" s="55"/>
      <c r="V89" s="44" t="s">
        <v>124</v>
      </c>
      <c r="W89" s="273"/>
      <c r="X89" s="273"/>
    </row>
    <row r="90" spans="1:24" ht="12.75">
      <c r="A90" s="42">
        <v>43957</v>
      </c>
      <c r="B90" s="44" t="s">
        <v>11</v>
      </c>
      <c r="C90" s="42">
        <v>43972</v>
      </c>
      <c r="D90" s="44">
        <v>146.5</v>
      </c>
      <c r="E90" s="44">
        <v>1.3740000000000001</v>
      </c>
      <c r="F90" s="44">
        <v>1.254</v>
      </c>
      <c r="G90" s="44">
        <v>1.2445999999999999</v>
      </c>
      <c r="H90" s="44">
        <v>455</v>
      </c>
      <c r="I90" s="44">
        <v>439</v>
      </c>
      <c r="J90" s="44">
        <v>431</v>
      </c>
      <c r="K90" s="55">
        <f t="shared" ref="K90:M90" si="75">$D90/E90*H90</f>
        <v>48513.464337700141</v>
      </c>
      <c r="L90" s="55">
        <f t="shared" si="75"/>
        <v>51286.682615629979</v>
      </c>
      <c r="M90" s="55">
        <f t="shared" si="75"/>
        <v>50732.363811666401</v>
      </c>
      <c r="N90" s="70">
        <f t="shared" si="30"/>
        <v>50177.503588332176</v>
      </c>
      <c r="O90" s="54">
        <v>5</v>
      </c>
      <c r="P90" s="71">
        <f t="shared" si="31"/>
        <v>29.3</v>
      </c>
      <c r="Q90" s="85">
        <f t="shared" si="35"/>
        <v>10035.500717666435</v>
      </c>
      <c r="R90" s="55">
        <f t="shared" si="32"/>
        <v>1467.5105808272442</v>
      </c>
      <c r="S90" s="55">
        <f t="shared" si="33"/>
        <v>2.9246384851407511E-2</v>
      </c>
      <c r="T90" s="55"/>
      <c r="U90" s="55"/>
      <c r="W90" s="273"/>
      <c r="X90" s="273"/>
    </row>
    <row r="91" spans="1:24" ht="12.75">
      <c r="A91" s="44" t="s">
        <v>137</v>
      </c>
      <c r="B91" s="44" t="s">
        <v>8</v>
      </c>
      <c r="C91" s="42">
        <v>43972</v>
      </c>
      <c r="D91" s="44">
        <v>236.5</v>
      </c>
      <c r="E91" s="44">
        <v>0.34</v>
      </c>
      <c r="F91" s="44">
        <v>0.44</v>
      </c>
      <c r="G91" s="44">
        <v>0.69</v>
      </c>
      <c r="H91" s="44">
        <v>83</v>
      </c>
      <c r="I91" s="44">
        <v>103</v>
      </c>
      <c r="J91" s="44">
        <v>205</v>
      </c>
      <c r="K91" s="55">
        <f t="shared" ref="K91:M91" si="76">$D91/E91*H91</f>
        <v>57733.823529411755</v>
      </c>
      <c r="L91" s="55">
        <f t="shared" si="76"/>
        <v>55362.5</v>
      </c>
      <c r="M91" s="55">
        <f t="shared" si="76"/>
        <v>70264.492753623184</v>
      </c>
      <c r="N91" s="70">
        <f t="shared" si="30"/>
        <v>61120.272094344975</v>
      </c>
      <c r="O91" s="54">
        <v>6</v>
      </c>
      <c r="P91" s="71">
        <f t="shared" si="31"/>
        <v>39.416666666666664</v>
      </c>
      <c r="Q91" s="85">
        <f t="shared" si="35"/>
        <v>10186.712015724162</v>
      </c>
      <c r="R91" s="55">
        <f t="shared" si="32"/>
        <v>8007.3948584707696</v>
      </c>
      <c r="S91" s="55">
        <f t="shared" si="33"/>
        <v>0.13101045829950808</v>
      </c>
      <c r="T91" s="55"/>
      <c r="U91" s="55"/>
      <c r="W91" s="273"/>
      <c r="X91" s="273"/>
    </row>
    <row r="92" spans="1:24" ht="12.75">
      <c r="A92" s="42">
        <v>43959</v>
      </c>
      <c r="B92" s="44" t="s">
        <v>11</v>
      </c>
      <c r="C92" s="42">
        <v>43972</v>
      </c>
      <c r="D92" s="44">
        <v>137</v>
      </c>
      <c r="E92" s="44">
        <v>0.97</v>
      </c>
      <c r="F92" s="44">
        <v>1.175</v>
      </c>
      <c r="G92" s="44">
        <v>0.49</v>
      </c>
      <c r="H92" s="44">
        <v>137</v>
      </c>
      <c r="I92" s="44">
        <v>151</v>
      </c>
      <c r="J92" s="44">
        <v>86</v>
      </c>
      <c r="K92" s="55">
        <f t="shared" ref="K92:M92" si="77">$D92/E92*H92</f>
        <v>19349.484536082473</v>
      </c>
      <c r="L92" s="55">
        <f t="shared" si="77"/>
        <v>17605.957446808508</v>
      </c>
      <c r="M92" s="55">
        <f t="shared" si="77"/>
        <v>24044.897959183672</v>
      </c>
      <c r="N92" s="70">
        <f t="shared" si="30"/>
        <v>20333.446647358218</v>
      </c>
      <c r="O92" s="54">
        <v>2</v>
      </c>
      <c r="P92" s="71">
        <f t="shared" si="31"/>
        <v>68.5</v>
      </c>
      <c r="Q92" s="85">
        <f t="shared" si="35"/>
        <v>10166.723323679109</v>
      </c>
      <c r="R92" s="55">
        <f t="shared" si="32"/>
        <v>3330.3340384706339</v>
      </c>
      <c r="S92" s="55">
        <f t="shared" si="33"/>
        <v>0.16378600717470201</v>
      </c>
      <c r="T92" s="55"/>
      <c r="U92" s="55"/>
      <c r="W92" s="273"/>
      <c r="X92" s="273"/>
    </row>
    <row r="93" spans="1:24" ht="12.75">
      <c r="A93" s="44" t="s">
        <v>138</v>
      </c>
      <c r="B93" s="44" t="s">
        <v>19</v>
      </c>
      <c r="C93" s="42">
        <v>43977</v>
      </c>
      <c r="D93" s="44">
        <v>255</v>
      </c>
      <c r="E93" s="44">
        <v>1.5618000000000001</v>
      </c>
      <c r="F93" s="44">
        <v>1.4351</v>
      </c>
      <c r="G93" s="44">
        <v>1.7131000000000001</v>
      </c>
      <c r="H93" s="44">
        <v>129</v>
      </c>
      <c r="I93" s="44">
        <v>131</v>
      </c>
      <c r="J93" s="44">
        <v>152</v>
      </c>
      <c r="K93" s="55">
        <f t="shared" ref="K93:M93" si="78">$D93/E93*H93</f>
        <v>21062.235881674991</v>
      </c>
      <c r="L93" s="55">
        <f t="shared" si="78"/>
        <v>23277.123545397531</v>
      </c>
      <c r="M93" s="55">
        <f t="shared" si="78"/>
        <v>22625.649407506859</v>
      </c>
      <c r="N93" s="70">
        <f t="shared" si="30"/>
        <v>22321.66961152646</v>
      </c>
      <c r="O93" s="54">
        <v>2</v>
      </c>
      <c r="P93" s="71">
        <f t="shared" si="31"/>
        <v>127.5</v>
      </c>
      <c r="Q93" s="85">
        <f t="shared" si="35"/>
        <v>11160.83480576323</v>
      </c>
      <c r="R93" s="55">
        <f t="shared" si="32"/>
        <v>1138.3033989234973</v>
      </c>
      <c r="S93" s="55">
        <f t="shared" si="33"/>
        <v>5.0995441592581424E-2</v>
      </c>
      <c r="T93" s="55"/>
      <c r="U93" s="55"/>
      <c r="W93" s="273"/>
      <c r="X93" s="273"/>
    </row>
    <row r="94" spans="1:24" ht="12.75">
      <c r="A94" s="42">
        <v>43964</v>
      </c>
      <c r="B94" s="44" t="s">
        <v>8</v>
      </c>
      <c r="C94" s="42">
        <v>43977</v>
      </c>
      <c r="D94" s="44">
        <v>97</v>
      </c>
      <c r="E94" s="44">
        <v>0.44</v>
      </c>
      <c r="F94" s="44">
        <v>0.53700000000000003</v>
      </c>
      <c r="G94" s="44">
        <v>0.60499999999999998</v>
      </c>
      <c r="H94" s="44">
        <v>55</v>
      </c>
      <c r="I94" s="44">
        <v>82</v>
      </c>
      <c r="J94" s="44">
        <v>76</v>
      </c>
      <c r="K94" s="55">
        <f t="shared" ref="K94:M94" si="79">$D94/E94*H94</f>
        <v>12125</v>
      </c>
      <c r="L94" s="55">
        <f t="shared" si="79"/>
        <v>14811.91806331471</v>
      </c>
      <c r="M94" s="55">
        <f t="shared" si="79"/>
        <v>12185.123966942148</v>
      </c>
      <c r="N94" s="70">
        <f t="shared" si="30"/>
        <v>13040.680676752287</v>
      </c>
      <c r="O94" s="54">
        <v>1</v>
      </c>
      <c r="P94" s="71">
        <f t="shared" si="31"/>
        <v>97</v>
      </c>
      <c r="Q94" s="85">
        <f t="shared" si="35"/>
        <v>13040.680676752287</v>
      </c>
      <c r="R94" s="55">
        <f t="shared" si="32"/>
        <v>1534.2311209585009</v>
      </c>
      <c r="S94" s="55">
        <f t="shared" si="33"/>
        <v>0.11764961960103705</v>
      </c>
      <c r="T94" s="55"/>
      <c r="U94" s="55"/>
      <c r="W94" s="273"/>
      <c r="X94" s="273"/>
    </row>
    <row r="95" spans="1:24" ht="12.75">
      <c r="A95" s="42">
        <v>43962</v>
      </c>
      <c r="B95" s="44" t="s">
        <v>8</v>
      </c>
      <c r="C95" s="42">
        <v>43977</v>
      </c>
      <c r="D95" s="44">
        <v>91</v>
      </c>
      <c r="E95" s="44">
        <v>0.46500000000000002</v>
      </c>
      <c r="F95" s="44">
        <v>0.56599999999999995</v>
      </c>
      <c r="G95" s="44">
        <v>0.47099999999999997</v>
      </c>
      <c r="H95" s="44">
        <v>53</v>
      </c>
      <c r="I95" s="44">
        <v>63</v>
      </c>
      <c r="J95" s="44">
        <v>49</v>
      </c>
      <c r="K95" s="55">
        <f t="shared" ref="K95:M95" si="80">$D95/E95*H95</f>
        <v>10372.043010752688</v>
      </c>
      <c r="L95" s="55">
        <f t="shared" si="80"/>
        <v>10128.975265017669</v>
      </c>
      <c r="M95" s="55">
        <f t="shared" si="80"/>
        <v>9467.091295116772</v>
      </c>
      <c r="N95" s="70">
        <f t="shared" si="30"/>
        <v>9989.3698569623757</v>
      </c>
      <c r="O95" s="54">
        <v>1</v>
      </c>
      <c r="P95" s="71">
        <f t="shared" si="31"/>
        <v>91</v>
      </c>
      <c r="Q95" s="85">
        <f t="shared" si="35"/>
        <v>9989.3698569623757</v>
      </c>
      <c r="R95" s="55">
        <f t="shared" si="32"/>
        <v>468.34992727319872</v>
      </c>
      <c r="S95" s="55">
        <f t="shared" si="33"/>
        <v>4.6884831974338091E-2</v>
      </c>
      <c r="T95" s="55"/>
      <c r="U95" s="55"/>
      <c r="V95" s="44" t="s">
        <v>130</v>
      </c>
      <c r="W95" s="273"/>
      <c r="X95" s="273"/>
    </row>
    <row r="96" spans="1:24" ht="12.75">
      <c r="A96" s="44" t="s">
        <v>139</v>
      </c>
      <c r="B96" s="44" t="s">
        <v>16</v>
      </c>
      <c r="C96" s="42">
        <v>43977</v>
      </c>
      <c r="D96" s="44">
        <v>273</v>
      </c>
      <c r="E96" s="44">
        <v>3.7824</v>
      </c>
      <c r="F96" s="44">
        <v>4.0231000000000003</v>
      </c>
      <c r="G96" s="44">
        <v>3.9237000000000002</v>
      </c>
      <c r="H96" s="44">
        <v>122</v>
      </c>
      <c r="I96" s="44">
        <v>114</v>
      </c>
      <c r="J96" s="44">
        <v>128</v>
      </c>
      <c r="K96" s="55">
        <f t="shared" ref="K96:M96" si="81">$D96/E96*H96</f>
        <v>8805.5203045685266</v>
      </c>
      <c r="L96" s="55">
        <f t="shared" si="81"/>
        <v>7735.825607118888</v>
      </c>
      <c r="M96" s="55">
        <f t="shared" si="81"/>
        <v>8905.8796544078286</v>
      </c>
      <c r="N96" s="70">
        <f t="shared" si="30"/>
        <v>8482.4085220317484</v>
      </c>
      <c r="O96" s="54">
        <v>1</v>
      </c>
      <c r="P96" s="71">
        <f t="shared" si="31"/>
        <v>273</v>
      </c>
      <c r="Q96" s="85">
        <f t="shared" si="35"/>
        <v>8482.4085220317484</v>
      </c>
      <c r="R96" s="55">
        <f t="shared" si="32"/>
        <v>648.50407585833932</v>
      </c>
      <c r="S96" s="55">
        <f t="shared" si="33"/>
        <v>7.6452822824313399E-2</v>
      </c>
      <c r="T96" s="55"/>
      <c r="U96" s="55"/>
      <c r="V96" s="44" t="s">
        <v>130</v>
      </c>
      <c r="W96" s="273"/>
      <c r="X96" s="273"/>
    </row>
    <row r="97" spans="1:24" ht="12.75">
      <c r="A97" s="42">
        <v>43962</v>
      </c>
      <c r="B97" s="44" t="s">
        <v>11</v>
      </c>
      <c r="C97" s="42">
        <v>43977</v>
      </c>
      <c r="D97" s="44">
        <v>98</v>
      </c>
      <c r="E97" s="44">
        <v>0.78500000000000003</v>
      </c>
      <c r="F97" s="44">
        <v>0.65600000000000003</v>
      </c>
      <c r="G97" s="44">
        <v>0.76</v>
      </c>
      <c r="H97" s="44">
        <v>61</v>
      </c>
      <c r="I97" s="44">
        <v>47</v>
      </c>
      <c r="J97" s="44">
        <v>54</v>
      </c>
      <c r="K97" s="55">
        <f t="shared" ref="K97:M97" si="82">$D97/E97*H97</f>
        <v>7615.2866242038208</v>
      </c>
      <c r="L97" s="55">
        <f t="shared" si="82"/>
        <v>7021.3414634146338</v>
      </c>
      <c r="M97" s="55">
        <f t="shared" si="82"/>
        <v>6963.1578947368416</v>
      </c>
      <c r="N97" s="70">
        <f t="shared" si="30"/>
        <v>7199.9286607850981</v>
      </c>
      <c r="O97" s="54">
        <v>1</v>
      </c>
      <c r="P97" s="71">
        <f t="shared" si="31"/>
        <v>98</v>
      </c>
      <c r="Q97" s="85">
        <f t="shared" si="35"/>
        <v>7199.9286607850981</v>
      </c>
      <c r="R97" s="55">
        <f t="shared" si="32"/>
        <v>360.88503743925457</v>
      </c>
      <c r="S97" s="55">
        <f t="shared" si="33"/>
        <v>5.0123418500635918E-2</v>
      </c>
      <c r="T97" s="55"/>
      <c r="U97" s="55"/>
      <c r="V97" s="44" t="s">
        <v>130</v>
      </c>
      <c r="W97" s="273"/>
      <c r="X97" s="273"/>
    </row>
    <row r="98" spans="1:24" ht="12.75">
      <c r="A98" s="42">
        <v>43964</v>
      </c>
      <c r="B98" s="44" t="s">
        <v>11</v>
      </c>
      <c r="C98" s="42">
        <v>43977</v>
      </c>
      <c r="D98" s="44">
        <v>93</v>
      </c>
      <c r="E98" s="44">
        <v>0.58499999999999996</v>
      </c>
      <c r="F98" s="44">
        <v>0.47799999999999998</v>
      </c>
      <c r="G98" s="44">
        <v>0.44500000000000001</v>
      </c>
      <c r="H98" s="44">
        <v>105</v>
      </c>
      <c r="I98" s="44">
        <v>92</v>
      </c>
      <c r="J98" s="44">
        <v>90</v>
      </c>
      <c r="K98" s="55">
        <f t="shared" ref="K98:M98" si="83">$D98/E98*H98</f>
        <v>16692.307692307691</v>
      </c>
      <c r="L98" s="55">
        <f t="shared" si="83"/>
        <v>17899.581589958161</v>
      </c>
      <c r="M98" s="55">
        <f t="shared" si="83"/>
        <v>18808.988764044945</v>
      </c>
      <c r="N98" s="70">
        <f t="shared" si="30"/>
        <v>17800.292682103598</v>
      </c>
      <c r="O98" s="54">
        <v>1</v>
      </c>
      <c r="P98" s="71">
        <f t="shared" si="31"/>
        <v>93</v>
      </c>
      <c r="Q98" s="85">
        <f t="shared" si="35"/>
        <v>17800.292682103598</v>
      </c>
      <c r="R98" s="55">
        <f t="shared" si="32"/>
        <v>1061.8278604745244</v>
      </c>
      <c r="S98" s="55">
        <f t="shared" si="33"/>
        <v>5.9652269737232207E-2</v>
      </c>
      <c r="T98" s="55"/>
      <c r="U98" s="55"/>
      <c r="W98" s="273"/>
      <c r="X98" s="273"/>
    </row>
    <row r="99" spans="1:24" ht="12.75">
      <c r="A99" s="42">
        <v>43973</v>
      </c>
      <c r="B99" s="44" t="s">
        <v>16</v>
      </c>
      <c r="C99" s="45">
        <v>43983</v>
      </c>
      <c r="D99" s="44">
        <v>358</v>
      </c>
      <c r="E99" s="44">
        <v>0.55600000000000005</v>
      </c>
      <c r="F99" s="44">
        <v>0.63</v>
      </c>
      <c r="G99" s="44">
        <v>0.85099999999999998</v>
      </c>
      <c r="H99" s="44">
        <v>100</v>
      </c>
      <c r="I99" s="44">
        <v>104</v>
      </c>
      <c r="J99" s="44">
        <v>145</v>
      </c>
      <c r="K99" s="55">
        <f t="shared" ref="K99:M99" si="84">$D99/E99*H99</f>
        <v>64388.489208633087</v>
      </c>
      <c r="L99" s="55">
        <f t="shared" si="84"/>
        <v>59098.412698412692</v>
      </c>
      <c r="M99" s="55">
        <f t="shared" si="84"/>
        <v>60998.824911868389</v>
      </c>
      <c r="N99" s="70">
        <f t="shared" si="30"/>
        <v>61495.242272971394</v>
      </c>
      <c r="O99" s="54">
        <v>6</v>
      </c>
      <c r="P99" s="71">
        <f t="shared" si="31"/>
        <v>59.666666666666664</v>
      </c>
      <c r="Q99" s="85">
        <f t="shared" si="35"/>
        <v>10249.207045495232</v>
      </c>
      <c r="R99" s="55">
        <f t="shared" si="32"/>
        <v>2679.7481259065653</v>
      </c>
      <c r="S99" s="55">
        <f t="shared" si="33"/>
        <v>4.3576511399230272E-2</v>
      </c>
      <c r="T99" s="55"/>
      <c r="U99" s="55"/>
      <c r="W99" s="273"/>
      <c r="X99" s="273"/>
    </row>
    <row r="100" spans="1:24" ht="12.75">
      <c r="A100" s="44" t="s">
        <v>140</v>
      </c>
      <c r="B100" s="44" t="s">
        <v>18</v>
      </c>
      <c r="C100" s="45">
        <v>43983</v>
      </c>
      <c r="D100" s="44">
        <v>172</v>
      </c>
      <c r="E100" s="44">
        <v>0.77600000000000002</v>
      </c>
      <c r="F100" s="44">
        <v>1.05</v>
      </c>
      <c r="G100" s="44">
        <v>0.53</v>
      </c>
      <c r="H100" s="44">
        <v>77</v>
      </c>
      <c r="I100" s="44">
        <v>126</v>
      </c>
      <c r="J100" s="44">
        <v>73</v>
      </c>
      <c r="K100" s="55">
        <f t="shared" ref="K100:M100" si="85">$D100/E100*H100</f>
        <v>17067.01030927835</v>
      </c>
      <c r="L100" s="55">
        <f t="shared" si="85"/>
        <v>20640</v>
      </c>
      <c r="M100" s="55">
        <f t="shared" si="85"/>
        <v>23690.566037735851</v>
      </c>
      <c r="N100" s="70">
        <f t="shared" si="30"/>
        <v>20465.858782338069</v>
      </c>
      <c r="O100" s="54">
        <v>2</v>
      </c>
      <c r="P100" s="71">
        <f t="shared" si="31"/>
        <v>86</v>
      </c>
      <c r="Q100" s="85">
        <f t="shared" si="35"/>
        <v>10232.929391169035</v>
      </c>
      <c r="R100" s="55">
        <f t="shared" si="32"/>
        <v>3315.2098719028427</v>
      </c>
      <c r="S100" s="55">
        <f t="shared" si="33"/>
        <v>0.16198733252102041</v>
      </c>
      <c r="T100" s="55"/>
      <c r="U100" s="55"/>
      <c r="W100" s="273"/>
      <c r="X100" s="273"/>
    </row>
    <row r="101" spans="1:24" ht="12.75">
      <c r="A101" s="44" t="s">
        <v>141</v>
      </c>
      <c r="B101" s="44" t="s">
        <v>11</v>
      </c>
      <c r="C101" s="42">
        <v>43987</v>
      </c>
      <c r="D101" s="44">
        <v>635</v>
      </c>
      <c r="E101" s="44">
        <f>3.5924-1.9733</f>
        <v>1.6191</v>
      </c>
      <c r="F101" s="44">
        <f>3.8855-1.9379</f>
        <v>1.9476</v>
      </c>
      <c r="G101" s="44">
        <f>3.6302-1.9131</f>
        <v>1.7170999999999998</v>
      </c>
      <c r="H101" s="44">
        <v>304</v>
      </c>
      <c r="I101" s="44">
        <v>316</v>
      </c>
      <c r="J101" s="44">
        <v>263</v>
      </c>
      <c r="K101" s="55">
        <f t="shared" ref="K101:M101" si="86">$D101/E101*H101</f>
        <v>119226.73089988266</v>
      </c>
      <c r="L101" s="55">
        <f t="shared" si="86"/>
        <v>103029.36948038611</v>
      </c>
      <c r="M101" s="55">
        <f t="shared" si="86"/>
        <v>97259.914972919461</v>
      </c>
      <c r="N101" s="70">
        <f t="shared" si="30"/>
        <v>106505.33845106274</v>
      </c>
      <c r="O101" s="54">
        <v>10</v>
      </c>
      <c r="P101" s="71">
        <f t="shared" si="31"/>
        <v>63.5</v>
      </c>
      <c r="Q101" s="85">
        <f t="shared" si="35"/>
        <v>10650.533845106274</v>
      </c>
      <c r="R101" s="55">
        <f t="shared" si="32"/>
        <v>11388.459979562695</v>
      </c>
      <c r="S101" s="55">
        <f t="shared" si="33"/>
        <v>0.1069285365896986</v>
      </c>
      <c r="T101" s="55"/>
      <c r="U101" s="55"/>
      <c r="W101" s="273"/>
      <c r="X101" s="273"/>
    </row>
    <row r="102" spans="1:24" ht="12.75">
      <c r="A102" s="44" t="s">
        <v>142</v>
      </c>
      <c r="B102" s="44" t="s">
        <v>11</v>
      </c>
      <c r="C102" s="42">
        <v>43987</v>
      </c>
      <c r="D102" s="44">
        <v>202.5</v>
      </c>
      <c r="E102" s="44">
        <v>0.67300000000000004</v>
      </c>
      <c r="F102" s="44">
        <v>0.59099999999999997</v>
      </c>
      <c r="G102" s="44">
        <v>0.41</v>
      </c>
      <c r="H102" s="44">
        <v>91</v>
      </c>
      <c r="I102" s="44">
        <v>60</v>
      </c>
      <c r="J102" s="44">
        <v>50</v>
      </c>
      <c r="K102" s="55">
        <f t="shared" ref="K102:M102" si="87">$D102/E102*H102</f>
        <v>27381.129271916787</v>
      </c>
      <c r="L102" s="55">
        <f t="shared" si="87"/>
        <v>20558.375634517768</v>
      </c>
      <c r="M102" s="55">
        <f t="shared" si="87"/>
        <v>24695.121951219513</v>
      </c>
      <c r="N102" s="70">
        <f t="shared" si="30"/>
        <v>24211.542285884687</v>
      </c>
      <c r="O102" s="54">
        <v>2</v>
      </c>
      <c r="P102" s="71">
        <f t="shared" si="31"/>
        <v>101.25</v>
      </c>
      <c r="Q102" s="85">
        <f t="shared" si="35"/>
        <v>12105.771142942343</v>
      </c>
      <c r="R102" s="55">
        <f t="shared" si="32"/>
        <v>3436.9868735135797</v>
      </c>
      <c r="S102" s="55">
        <f t="shared" si="33"/>
        <v>0.14195654423540546</v>
      </c>
      <c r="T102" s="55"/>
      <c r="U102" s="55"/>
      <c r="W102" s="273"/>
      <c r="X102" s="273"/>
    </row>
    <row r="103" spans="1:24" ht="12.75">
      <c r="A103" s="42">
        <v>43978</v>
      </c>
      <c r="B103" s="44" t="s">
        <v>24</v>
      </c>
      <c r="C103" s="42">
        <v>43987</v>
      </c>
      <c r="D103" s="44">
        <v>173</v>
      </c>
      <c r="E103" s="44">
        <v>0.41199999999999998</v>
      </c>
      <c r="F103" s="44">
        <v>0.27300000000000002</v>
      </c>
      <c r="G103" s="44">
        <v>0.51600000000000001</v>
      </c>
      <c r="H103" s="44">
        <v>112</v>
      </c>
      <c r="I103" s="44">
        <v>24</v>
      </c>
      <c r="J103" s="44">
        <v>155</v>
      </c>
      <c r="K103" s="55">
        <f t="shared" ref="K103:M103" si="88">$D103/E103*H103</f>
        <v>47029.126213592237</v>
      </c>
      <c r="L103" s="55">
        <f t="shared" si="88"/>
        <v>15208.791208791208</v>
      </c>
      <c r="M103" s="55">
        <f t="shared" si="88"/>
        <v>51967.054263565893</v>
      </c>
      <c r="N103" s="70">
        <f t="shared" si="30"/>
        <v>38068.323895316447</v>
      </c>
      <c r="O103" s="54">
        <v>3</v>
      </c>
      <c r="P103" s="71">
        <f t="shared" si="31"/>
        <v>57.666666666666664</v>
      </c>
      <c r="Q103" s="85">
        <f t="shared" si="35"/>
        <v>12689.441298438816</v>
      </c>
      <c r="R103" s="55">
        <f t="shared" si="32"/>
        <v>19950.299730615989</v>
      </c>
      <c r="S103" s="55">
        <f t="shared" si="33"/>
        <v>0.52406561910834426</v>
      </c>
      <c r="T103" s="55"/>
      <c r="U103" s="55"/>
      <c r="W103" s="273"/>
      <c r="X103" s="273"/>
    </row>
    <row r="104" spans="1:24" ht="12.75">
      <c r="A104" s="44" t="s">
        <v>143</v>
      </c>
      <c r="B104" s="44" t="s">
        <v>16</v>
      </c>
      <c r="C104" s="42">
        <v>43987</v>
      </c>
      <c r="D104" s="44">
        <v>323</v>
      </c>
      <c r="E104" s="44">
        <f>3.6875-1.9719</f>
        <v>1.7156</v>
      </c>
      <c r="F104" s="44">
        <f>3.4761-1.9372</f>
        <v>1.5389000000000002</v>
      </c>
      <c r="G104" s="44">
        <f>3.6401-1.9123</f>
        <v>1.7277999999999998</v>
      </c>
      <c r="H104" s="44">
        <v>401</v>
      </c>
      <c r="I104" s="44">
        <v>385</v>
      </c>
      <c r="J104" s="44">
        <v>446</v>
      </c>
      <c r="K104" s="55">
        <f t="shared" ref="K104:M104" si="89">$D104/E104*H104</f>
        <v>75497.202145022151</v>
      </c>
      <c r="L104" s="55">
        <f t="shared" si="89"/>
        <v>80807.719799857034</v>
      </c>
      <c r="M104" s="55">
        <f t="shared" si="89"/>
        <v>83376.54821159858</v>
      </c>
      <c r="N104" s="70">
        <f t="shared" si="30"/>
        <v>79893.823385492593</v>
      </c>
      <c r="O104" s="54">
        <v>7</v>
      </c>
      <c r="P104" s="71">
        <f t="shared" si="31"/>
        <v>46.142857142857146</v>
      </c>
      <c r="Q104" s="85">
        <f t="shared" si="35"/>
        <v>11413.403340784656</v>
      </c>
      <c r="R104" s="55">
        <f t="shared" si="32"/>
        <v>4018.3863180833555</v>
      </c>
      <c r="S104" s="55">
        <f t="shared" si="33"/>
        <v>5.029658298732801E-2</v>
      </c>
      <c r="T104" s="55"/>
      <c r="U104" s="55"/>
      <c r="W104" s="273"/>
      <c r="X104" s="273"/>
    </row>
    <row r="105" spans="1:24" ht="12.75">
      <c r="A105" s="44" t="s">
        <v>144</v>
      </c>
      <c r="B105" s="44" t="s">
        <v>19</v>
      </c>
      <c r="C105" s="42">
        <v>43987</v>
      </c>
      <c r="D105" s="44" t="s">
        <v>54</v>
      </c>
      <c r="E105" s="44" t="s">
        <v>54</v>
      </c>
      <c r="F105" s="44" t="s">
        <v>54</v>
      </c>
      <c r="G105" s="44" t="s">
        <v>54</v>
      </c>
      <c r="H105" s="44" t="s">
        <v>54</v>
      </c>
      <c r="I105" s="44" t="s">
        <v>54</v>
      </c>
      <c r="J105" s="44" t="s">
        <v>54</v>
      </c>
      <c r="K105" s="55" t="s">
        <v>54</v>
      </c>
      <c r="L105" s="55" t="s">
        <v>54</v>
      </c>
      <c r="M105" s="55" t="s">
        <v>54</v>
      </c>
      <c r="N105" s="70" t="s">
        <v>54</v>
      </c>
      <c r="O105" s="54" t="s">
        <v>54</v>
      </c>
      <c r="P105" s="71" t="s">
        <v>54</v>
      </c>
      <c r="Q105" s="85" t="e">
        <f t="shared" si="35"/>
        <v>#VALUE!</v>
      </c>
      <c r="R105" s="55" t="s">
        <v>54</v>
      </c>
      <c r="S105" s="55" t="s">
        <v>54</v>
      </c>
      <c r="T105" s="55"/>
      <c r="U105" s="55"/>
      <c r="V105" s="44" t="s">
        <v>130</v>
      </c>
      <c r="W105" s="273"/>
      <c r="X105" s="273"/>
    </row>
    <row r="106" spans="1:24" ht="12.75">
      <c r="A106" s="42">
        <v>43980</v>
      </c>
      <c r="C106" s="42">
        <v>43993</v>
      </c>
      <c r="D106" s="44">
        <v>632.5</v>
      </c>
      <c r="E106" s="44">
        <f>3.9312-1.9739</f>
        <v>1.9573</v>
      </c>
      <c r="F106" s="44">
        <f>3.8145-1.9392</f>
        <v>1.8752999999999997</v>
      </c>
      <c r="G106" s="44">
        <f>3.7099-1.9135</f>
        <v>1.7964000000000002</v>
      </c>
      <c r="H106" s="44">
        <v>355</v>
      </c>
      <c r="I106" s="44">
        <v>338</v>
      </c>
      <c r="J106" s="44">
        <v>323</v>
      </c>
      <c r="K106" s="55">
        <f t="shared" ref="K106:M106" si="90">$D106/E106*H106</f>
        <v>114717.97884841364</v>
      </c>
      <c r="L106" s="55">
        <f t="shared" si="90"/>
        <v>114000.42659841094</v>
      </c>
      <c r="M106" s="55">
        <f t="shared" si="90"/>
        <v>113726.06323758628</v>
      </c>
      <c r="N106" s="70">
        <f t="shared" ref="N106:N147" si="91">AVERAGE(K106:M106)</f>
        <v>114148.15622813696</v>
      </c>
      <c r="O106" s="54">
        <v>11</v>
      </c>
      <c r="P106" s="71">
        <f t="shared" ref="P106:P146" si="92">D106/O106</f>
        <v>57.5</v>
      </c>
      <c r="Q106" s="85">
        <f t="shared" si="35"/>
        <v>10377.105111648814</v>
      </c>
      <c r="R106" s="55">
        <f t="shared" ref="R106:R148" si="93">STDEV(K106:M106)</f>
        <v>512.19349602956936</v>
      </c>
      <c r="S106" s="55">
        <f t="shared" ref="S106:S148" si="94">R106/N106</f>
        <v>4.4870939045734337E-3</v>
      </c>
      <c r="T106" s="55"/>
      <c r="U106" s="55"/>
      <c r="W106" s="273"/>
      <c r="X106" s="273"/>
    </row>
    <row r="107" spans="1:24" ht="12.75">
      <c r="A107" s="44" t="s">
        <v>145</v>
      </c>
      <c r="B107" s="44" t="s">
        <v>19</v>
      </c>
      <c r="C107" s="42">
        <v>43993</v>
      </c>
      <c r="D107" s="44">
        <v>350.5</v>
      </c>
      <c r="E107" s="44">
        <v>0.26</v>
      </c>
      <c r="F107" s="44">
        <v>0.75</v>
      </c>
      <c r="G107" s="44">
        <v>0.60399999999999998</v>
      </c>
      <c r="H107" s="44">
        <v>26</v>
      </c>
      <c r="I107" s="44">
        <v>67</v>
      </c>
      <c r="J107" s="44">
        <v>71</v>
      </c>
      <c r="K107" s="55">
        <f t="shared" ref="K107:M107" si="95">$D107/E107*H107</f>
        <v>35050</v>
      </c>
      <c r="L107" s="55">
        <f t="shared" si="95"/>
        <v>31311.333333333332</v>
      </c>
      <c r="M107" s="55">
        <f t="shared" si="95"/>
        <v>41201.158940397348</v>
      </c>
      <c r="N107" s="70">
        <f t="shared" si="91"/>
        <v>35854.164091243561</v>
      </c>
      <c r="O107" s="54">
        <v>3</v>
      </c>
      <c r="P107" s="71">
        <f t="shared" si="92"/>
        <v>116.83333333333333</v>
      </c>
      <c r="Q107" s="85">
        <f t="shared" si="35"/>
        <v>11951.38803041452</v>
      </c>
      <c r="R107" s="55">
        <f t="shared" si="93"/>
        <v>4993.7133026205292</v>
      </c>
      <c r="S107" s="55">
        <f t="shared" si="94"/>
        <v>0.13927847515597533</v>
      </c>
      <c r="T107" s="55"/>
      <c r="U107" s="55"/>
      <c r="W107" s="273"/>
      <c r="X107" s="273"/>
    </row>
    <row r="108" spans="1:24" ht="12.75">
      <c r="A108" s="42">
        <v>43983</v>
      </c>
      <c r="B108" s="44" t="s">
        <v>8</v>
      </c>
      <c r="C108" s="42">
        <v>43993</v>
      </c>
      <c r="D108" s="44">
        <v>109.5</v>
      </c>
      <c r="E108" s="44">
        <v>0.41599999999999998</v>
      </c>
      <c r="F108" s="44">
        <v>0.59599999999999997</v>
      </c>
      <c r="G108" s="44">
        <v>0.42599999999999999</v>
      </c>
      <c r="H108" s="44">
        <v>104</v>
      </c>
      <c r="I108" s="44">
        <v>145</v>
      </c>
      <c r="J108" s="44">
        <v>106</v>
      </c>
      <c r="K108" s="55">
        <f t="shared" ref="K108:M108" si="96">$D108/E108*H108</f>
        <v>27375.000000000004</v>
      </c>
      <c r="L108" s="55">
        <f t="shared" si="96"/>
        <v>26640.100671140943</v>
      </c>
      <c r="M108" s="55">
        <f t="shared" si="96"/>
        <v>27246.478873239437</v>
      </c>
      <c r="N108" s="70">
        <f t="shared" si="91"/>
        <v>27087.193181460127</v>
      </c>
      <c r="O108" s="54">
        <v>2</v>
      </c>
      <c r="P108" s="71">
        <f t="shared" si="92"/>
        <v>54.75</v>
      </c>
      <c r="Q108" s="85">
        <f t="shared" si="35"/>
        <v>13543.596590730063</v>
      </c>
      <c r="R108" s="55">
        <f t="shared" si="93"/>
        <v>392.4897509408168</v>
      </c>
      <c r="S108" s="55">
        <f t="shared" si="94"/>
        <v>1.4489864206729881E-2</v>
      </c>
      <c r="T108" s="55"/>
      <c r="U108" s="55"/>
      <c r="W108" s="273"/>
      <c r="X108" s="273"/>
    </row>
    <row r="109" spans="1:24" ht="12.75">
      <c r="A109" s="42">
        <v>43971</v>
      </c>
      <c r="B109" s="44" t="s">
        <v>18</v>
      </c>
      <c r="C109" s="42">
        <v>43994</v>
      </c>
      <c r="D109" s="44">
        <v>45.05</v>
      </c>
      <c r="E109" s="44">
        <v>0.48830000000000001</v>
      </c>
      <c r="F109" s="44">
        <v>0.61629999999999996</v>
      </c>
      <c r="G109" s="44">
        <v>0.68620000000000003</v>
      </c>
      <c r="H109" s="44">
        <v>73</v>
      </c>
      <c r="I109" s="44">
        <v>97</v>
      </c>
      <c r="J109" s="44">
        <v>89</v>
      </c>
      <c r="K109" s="55">
        <f t="shared" ref="K109:M109" si="97">$D109/E109*H109</f>
        <v>6734.8965799713287</v>
      </c>
      <c r="L109" s="55">
        <f t="shared" si="97"/>
        <v>7090.4591919519717</v>
      </c>
      <c r="M109" s="55">
        <f t="shared" si="97"/>
        <v>5842.9758088020981</v>
      </c>
      <c r="N109" s="70">
        <f t="shared" si="91"/>
        <v>6556.1105269084655</v>
      </c>
      <c r="O109" s="54">
        <v>1</v>
      </c>
      <c r="P109" s="71">
        <f t="shared" si="92"/>
        <v>45.05</v>
      </c>
      <c r="Q109" s="85">
        <f t="shared" si="35"/>
        <v>6556.1105269084655</v>
      </c>
      <c r="R109" s="55">
        <f t="shared" si="93"/>
        <v>642.67179600952704</v>
      </c>
      <c r="S109" s="55">
        <f t="shared" si="94"/>
        <v>9.8026382162379286E-2</v>
      </c>
      <c r="T109" s="55"/>
      <c r="U109" s="55"/>
      <c r="W109" s="273"/>
      <c r="X109" s="273"/>
    </row>
    <row r="110" spans="1:24" ht="12.75">
      <c r="A110" s="44" t="s">
        <v>146</v>
      </c>
      <c r="B110" s="44" t="s">
        <v>19</v>
      </c>
      <c r="C110" s="42">
        <v>43998</v>
      </c>
      <c r="D110" s="44">
        <v>454.5</v>
      </c>
      <c r="E110" s="44">
        <f>-1.9792+5.4478</f>
        <v>3.4685999999999999</v>
      </c>
      <c r="F110" s="44">
        <f>-1.9382+6.462</f>
        <v>4.5237999999999996</v>
      </c>
      <c r="G110" s="44">
        <f>-1.9135+6.0903</f>
        <v>4.1768000000000001</v>
      </c>
      <c r="H110" s="44">
        <v>340</v>
      </c>
      <c r="I110" s="44">
        <v>434</v>
      </c>
      <c r="J110" s="44">
        <v>413</v>
      </c>
      <c r="K110" s="55">
        <f t="shared" ref="K110:M110" si="98">$D110/E110*H110</f>
        <v>44551.115723923198</v>
      </c>
      <c r="L110" s="55">
        <f t="shared" si="98"/>
        <v>43603.386533445337</v>
      </c>
      <c r="M110" s="55">
        <f t="shared" si="98"/>
        <v>44940.744110323692</v>
      </c>
      <c r="N110" s="70">
        <f t="shared" si="91"/>
        <v>44365.082122564076</v>
      </c>
      <c r="O110" s="54">
        <v>4</v>
      </c>
      <c r="P110" s="71">
        <f t="shared" si="92"/>
        <v>113.625</v>
      </c>
      <c r="Q110" s="85">
        <f t="shared" si="35"/>
        <v>11091.270530641019</v>
      </c>
      <c r="R110" s="55">
        <f t="shared" si="93"/>
        <v>687.81370859737183</v>
      </c>
      <c r="S110" s="55">
        <f t="shared" si="94"/>
        <v>1.5503492289210705E-2</v>
      </c>
      <c r="T110" s="55"/>
      <c r="U110" s="55"/>
      <c r="W110" s="273"/>
      <c r="X110" s="273"/>
    </row>
    <row r="111" spans="1:24" ht="12.75">
      <c r="A111" s="42">
        <v>43985</v>
      </c>
      <c r="B111" s="44" t="s">
        <v>8</v>
      </c>
      <c r="C111" s="42">
        <v>43998</v>
      </c>
      <c r="D111" s="44">
        <v>322</v>
      </c>
      <c r="E111" s="44">
        <v>1.3380000000000001</v>
      </c>
      <c r="F111" s="44">
        <v>1.2733000000000001</v>
      </c>
      <c r="G111" s="44">
        <v>0.97109999999999996</v>
      </c>
      <c r="H111" s="44">
        <v>212</v>
      </c>
      <c r="I111" s="44">
        <v>193</v>
      </c>
      <c r="J111" s="44">
        <v>184</v>
      </c>
      <c r="K111" s="55">
        <f t="shared" ref="K111:M111" si="99">$D111/E111*H111</f>
        <v>51019.431988041855</v>
      </c>
      <c r="L111" s="55">
        <f t="shared" si="99"/>
        <v>48807.036833424951</v>
      </c>
      <c r="M111" s="55">
        <f t="shared" si="99"/>
        <v>61011.224384718364</v>
      </c>
      <c r="N111" s="70">
        <f t="shared" si="91"/>
        <v>53612.564402061726</v>
      </c>
      <c r="O111" s="54">
        <v>5</v>
      </c>
      <c r="P111" s="71">
        <f t="shared" si="92"/>
        <v>64.400000000000006</v>
      </c>
      <c r="Q111" s="85">
        <f t="shared" si="35"/>
        <v>10722.512880412345</v>
      </c>
      <c r="R111" s="55">
        <f t="shared" si="93"/>
        <v>6502.2150252253778</v>
      </c>
      <c r="S111" s="55">
        <f t="shared" si="94"/>
        <v>0.12128155214629742</v>
      </c>
      <c r="T111" s="55"/>
      <c r="U111" s="55"/>
      <c r="W111" s="273"/>
      <c r="X111" s="273"/>
    </row>
    <row r="112" spans="1:24" ht="12.75">
      <c r="A112" s="42">
        <v>43985</v>
      </c>
      <c r="B112" s="44" t="s">
        <v>24</v>
      </c>
      <c r="C112" s="42">
        <v>43999</v>
      </c>
      <c r="D112" s="44">
        <v>305</v>
      </c>
      <c r="E112" s="44">
        <v>1.6041000000000001</v>
      </c>
      <c r="F112" s="44">
        <v>1.6951000000000001</v>
      </c>
      <c r="G112" s="44">
        <v>1.694</v>
      </c>
      <c r="H112" s="44">
        <v>241</v>
      </c>
      <c r="I112" s="44">
        <v>289</v>
      </c>
      <c r="J112" s="44">
        <v>265</v>
      </c>
      <c r="K112" s="55">
        <f t="shared" ref="K112:M112" si="100">$D112/E112*H112</f>
        <v>45823.203042204354</v>
      </c>
      <c r="L112" s="55">
        <f t="shared" si="100"/>
        <v>51999.882012860595</v>
      </c>
      <c r="M112" s="55">
        <f t="shared" si="100"/>
        <v>47712.5147579693</v>
      </c>
      <c r="N112" s="70">
        <f t="shared" si="91"/>
        <v>48511.866604344745</v>
      </c>
      <c r="O112" s="54">
        <v>4</v>
      </c>
      <c r="P112" s="71">
        <f t="shared" si="92"/>
        <v>76.25</v>
      </c>
      <c r="Q112" s="85">
        <f t="shared" si="35"/>
        <v>12127.966651086186</v>
      </c>
      <c r="R112" s="55">
        <f t="shared" si="93"/>
        <v>3164.9744560366739</v>
      </c>
      <c r="S112" s="55">
        <f t="shared" si="94"/>
        <v>6.5241242557201817E-2</v>
      </c>
      <c r="T112" s="55"/>
      <c r="U112" s="55"/>
      <c r="W112" s="273"/>
      <c r="X112" s="273"/>
    </row>
    <row r="113" spans="1:24" ht="12.75">
      <c r="A113" s="42">
        <v>43983</v>
      </c>
      <c r="B113" s="44" t="s">
        <v>24</v>
      </c>
      <c r="C113" s="42">
        <v>43999</v>
      </c>
      <c r="D113" s="44">
        <v>238</v>
      </c>
      <c r="E113" s="44">
        <v>1.9658</v>
      </c>
      <c r="F113" s="44">
        <v>1.9638</v>
      </c>
      <c r="G113" s="44">
        <v>1.9913000000000001</v>
      </c>
      <c r="H113" s="44">
        <v>133</v>
      </c>
      <c r="I113" s="44">
        <v>149</v>
      </c>
      <c r="J113" s="44">
        <v>135</v>
      </c>
      <c r="K113" s="55">
        <f t="shared" ref="K113:M113" si="101">$D113/E113*H113</f>
        <v>16102.350188218537</v>
      </c>
      <c r="L113" s="55">
        <f t="shared" si="101"/>
        <v>18057.847031265912</v>
      </c>
      <c r="M113" s="55">
        <f t="shared" si="101"/>
        <v>16135.188068096219</v>
      </c>
      <c r="N113" s="70">
        <f t="shared" si="91"/>
        <v>16765.128429193555</v>
      </c>
      <c r="O113" s="54">
        <v>2</v>
      </c>
      <c r="P113" s="71">
        <f t="shared" si="92"/>
        <v>119</v>
      </c>
      <c r="Q113" s="85">
        <f t="shared" si="35"/>
        <v>8382.5642145967777</v>
      </c>
      <c r="R113" s="55">
        <f t="shared" si="93"/>
        <v>1119.6475426207323</v>
      </c>
      <c r="S113" s="55">
        <f t="shared" si="94"/>
        <v>6.6784310501973893E-2</v>
      </c>
      <c r="T113" s="55"/>
      <c r="U113" s="55"/>
      <c r="V113" s="44" t="s">
        <v>129</v>
      </c>
      <c r="W113" s="273"/>
      <c r="X113" s="273"/>
    </row>
    <row r="114" spans="1:24" ht="12.75">
      <c r="A114" s="42">
        <v>43987</v>
      </c>
      <c r="B114" s="44" t="s">
        <v>8</v>
      </c>
      <c r="C114" s="42">
        <v>44001</v>
      </c>
      <c r="D114" s="44">
        <v>453</v>
      </c>
      <c r="E114" s="44">
        <v>1.9816</v>
      </c>
      <c r="F114" s="44">
        <v>1.9529000000000001</v>
      </c>
      <c r="G114" s="44">
        <v>1.9089</v>
      </c>
      <c r="H114" s="44">
        <v>214</v>
      </c>
      <c r="I114" s="44">
        <v>217</v>
      </c>
      <c r="J114" s="44">
        <v>225</v>
      </c>
      <c r="K114" s="55">
        <f t="shared" ref="K114:M114" si="102">$D114/E114*H114</f>
        <v>48921.073879693176</v>
      </c>
      <c r="L114" s="55">
        <f t="shared" si="102"/>
        <v>50335.91069691228</v>
      </c>
      <c r="M114" s="55">
        <f t="shared" si="102"/>
        <v>53394.625176803398</v>
      </c>
      <c r="N114" s="70">
        <f t="shared" si="91"/>
        <v>50883.869917802956</v>
      </c>
      <c r="O114" s="54">
        <v>5</v>
      </c>
      <c r="P114" s="71">
        <f t="shared" si="92"/>
        <v>90.6</v>
      </c>
      <c r="Q114" s="85">
        <f t="shared" ref="Q114:Q177" si="103">N114/O114</f>
        <v>10176.773983560592</v>
      </c>
      <c r="R114" s="55">
        <f t="shared" si="93"/>
        <v>2286.5606886300811</v>
      </c>
      <c r="S114" s="55">
        <f t="shared" si="94"/>
        <v>4.4936847223368763E-2</v>
      </c>
      <c r="T114" s="55"/>
      <c r="U114" s="55"/>
      <c r="W114" s="273"/>
      <c r="X114" s="273"/>
    </row>
    <row r="115" spans="1:24" ht="12.75">
      <c r="A115" s="42">
        <v>43990</v>
      </c>
      <c r="B115" s="44" t="s">
        <v>19</v>
      </c>
      <c r="C115" s="42">
        <v>44001</v>
      </c>
      <c r="D115" s="44">
        <v>191.5</v>
      </c>
      <c r="E115" s="44">
        <v>1.7705</v>
      </c>
      <c r="F115" s="44">
        <v>1.8048</v>
      </c>
      <c r="G115" s="44">
        <v>1.7645999999999999</v>
      </c>
      <c r="H115" s="44">
        <v>214</v>
      </c>
      <c r="I115" s="44">
        <v>253</v>
      </c>
      <c r="J115" s="44">
        <v>210</v>
      </c>
      <c r="K115" s="55">
        <f t="shared" ref="K115:M115" si="104">$D115/E115*H115</f>
        <v>23146.568765885342</v>
      </c>
      <c r="L115" s="55">
        <f t="shared" si="104"/>
        <v>26844.802748226954</v>
      </c>
      <c r="M115" s="55">
        <f t="shared" si="104"/>
        <v>22789.867392043521</v>
      </c>
      <c r="N115" s="70">
        <f t="shared" si="91"/>
        <v>24260.412968718607</v>
      </c>
      <c r="O115" s="54">
        <v>2</v>
      </c>
      <c r="P115" s="71">
        <f t="shared" si="92"/>
        <v>95.75</v>
      </c>
      <c r="Q115" s="85">
        <f t="shared" si="103"/>
        <v>12130.206484359303</v>
      </c>
      <c r="R115" s="55">
        <f t="shared" si="93"/>
        <v>2245.2420508367391</v>
      </c>
      <c r="S115" s="55">
        <f t="shared" si="94"/>
        <v>9.2547561071270948E-2</v>
      </c>
      <c r="T115" s="55"/>
      <c r="U115" s="55"/>
      <c r="W115" s="273"/>
      <c r="X115" s="273"/>
    </row>
    <row r="116" spans="1:24" ht="12.75">
      <c r="A116" s="42">
        <v>43997</v>
      </c>
      <c r="B116" s="44" t="s">
        <v>19</v>
      </c>
      <c r="C116" s="42">
        <v>44004</v>
      </c>
      <c r="D116" s="44">
        <v>275</v>
      </c>
      <c r="E116" s="44">
        <v>1.8190999999999999</v>
      </c>
      <c r="F116" s="44">
        <v>2.4112</v>
      </c>
      <c r="G116" s="44">
        <v>1.5507</v>
      </c>
      <c r="H116" s="44">
        <v>116</v>
      </c>
      <c r="I116" s="44">
        <v>147</v>
      </c>
      <c r="J116" s="44">
        <v>126</v>
      </c>
      <c r="K116" s="55">
        <f t="shared" ref="K116:M116" si="105">$D116/E116*H116</f>
        <v>17536.144247155185</v>
      </c>
      <c r="L116" s="55">
        <f t="shared" si="105"/>
        <v>16765.51094890511</v>
      </c>
      <c r="M116" s="55">
        <f t="shared" si="105"/>
        <v>22344.747533372025</v>
      </c>
      <c r="N116" s="70">
        <f t="shared" si="91"/>
        <v>18882.134243144104</v>
      </c>
      <c r="O116" s="54">
        <v>2</v>
      </c>
      <c r="P116" s="71">
        <f t="shared" si="92"/>
        <v>137.5</v>
      </c>
      <c r="Q116" s="85">
        <f t="shared" si="103"/>
        <v>9441.0671215720522</v>
      </c>
      <c r="R116" s="55">
        <f t="shared" si="93"/>
        <v>3023.3651811086552</v>
      </c>
      <c r="S116" s="55">
        <f t="shared" si="94"/>
        <v>0.16011776752442092</v>
      </c>
      <c r="T116" s="55"/>
      <c r="U116" s="55"/>
      <c r="V116" s="44" t="s">
        <v>129</v>
      </c>
      <c r="W116" s="273"/>
      <c r="X116" s="273"/>
    </row>
    <row r="117" spans="1:24" ht="12.75">
      <c r="A117" s="42">
        <v>43992</v>
      </c>
      <c r="B117" s="44" t="s">
        <v>8</v>
      </c>
      <c r="C117" s="42">
        <v>44004</v>
      </c>
      <c r="D117" s="44">
        <v>384</v>
      </c>
      <c r="E117" s="44">
        <v>1.7457</v>
      </c>
      <c r="F117" s="44">
        <v>1.5994999999999999</v>
      </c>
      <c r="G117" s="44">
        <v>2.1958000000000002</v>
      </c>
      <c r="H117" s="44">
        <v>170</v>
      </c>
      <c r="I117" s="44">
        <v>179</v>
      </c>
      <c r="J117" s="44">
        <v>199</v>
      </c>
      <c r="K117" s="55">
        <f t="shared" ref="K117:M117" si="106">$D117/E117*H117</f>
        <v>37394.741364495618</v>
      </c>
      <c r="L117" s="55">
        <f t="shared" si="106"/>
        <v>42973.429196623947</v>
      </c>
      <c r="M117" s="55">
        <f t="shared" si="106"/>
        <v>34800.983696147188</v>
      </c>
      <c r="N117" s="70">
        <f t="shared" si="91"/>
        <v>38389.718085755587</v>
      </c>
      <c r="O117" s="54">
        <v>4</v>
      </c>
      <c r="P117" s="71">
        <f t="shared" si="92"/>
        <v>96</v>
      </c>
      <c r="Q117" s="85">
        <f t="shared" si="103"/>
        <v>9597.4295214388967</v>
      </c>
      <c r="R117" s="55">
        <f t="shared" si="93"/>
        <v>4176.0867293978254</v>
      </c>
      <c r="S117" s="55">
        <f t="shared" si="94"/>
        <v>0.10878138568429217</v>
      </c>
      <c r="T117" s="55"/>
      <c r="U117" s="55"/>
      <c r="V117" s="44" t="s">
        <v>147</v>
      </c>
      <c r="W117" s="273"/>
      <c r="X117" s="273"/>
    </row>
    <row r="118" spans="1:24" ht="12.75">
      <c r="A118" s="44" t="s">
        <v>148</v>
      </c>
      <c r="B118" s="44" t="s">
        <v>16</v>
      </c>
      <c r="C118" s="42">
        <v>44005</v>
      </c>
      <c r="D118" s="44">
        <v>552</v>
      </c>
      <c r="E118" s="44">
        <v>1.7583</v>
      </c>
      <c r="F118" s="44">
        <v>1.5915999999999999</v>
      </c>
      <c r="G118" s="44">
        <v>1.8214999999999999</v>
      </c>
      <c r="H118" s="44">
        <v>164</v>
      </c>
      <c r="I118" s="44">
        <v>161</v>
      </c>
      <c r="J118" s="44">
        <v>185</v>
      </c>
      <c r="K118" s="55">
        <f t="shared" ref="K118:M118" si="107">$D118/E118*H118</f>
        <v>51486.094523118925</v>
      </c>
      <c r="L118" s="55">
        <f t="shared" si="107"/>
        <v>55838.150289017351</v>
      </c>
      <c r="M118" s="55">
        <f t="shared" si="107"/>
        <v>56063.683777106788</v>
      </c>
      <c r="N118" s="70">
        <f t="shared" si="91"/>
        <v>54462.642863081019</v>
      </c>
      <c r="O118" s="54">
        <v>5</v>
      </c>
      <c r="P118" s="71">
        <f t="shared" si="92"/>
        <v>110.4</v>
      </c>
      <c r="Q118" s="85">
        <f t="shared" si="103"/>
        <v>10892.528572616204</v>
      </c>
      <c r="R118" s="55">
        <f t="shared" si="93"/>
        <v>2580.2318410679259</v>
      </c>
      <c r="S118" s="55">
        <f t="shared" si="94"/>
        <v>4.7376177604061993E-2</v>
      </c>
      <c r="T118" s="55"/>
      <c r="U118" s="55"/>
      <c r="W118" s="273"/>
      <c r="X118" s="273"/>
    </row>
    <row r="119" spans="1:24" ht="12.75">
      <c r="A119" s="44" t="s">
        <v>148</v>
      </c>
      <c r="B119" s="44" t="s">
        <v>11</v>
      </c>
      <c r="C119" s="42">
        <v>44005</v>
      </c>
      <c r="D119" s="44">
        <v>289.5</v>
      </c>
      <c r="E119" s="44">
        <v>1.5995999999999999</v>
      </c>
      <c r="F119" s="44">
        <v>1.4964999999999999</v>
      </c>
      <c r="G119" s="44">
        <v>2.0541999999999998</v>
      </c>
      <c r="H119" s="44">
        <v>201</v>
      </c>
      <c r="I119" s="44">
        <v>160</v>
      </c>
      <c r="J119" s="44">
        <v>221</v>
      </c>
      <c r="K119" s="55">
        <f t="shared" ref="K119:M119" si="108">$D119/E119*H119</f>
        <v>36377.531882970747</v>
      </c>
      <c r="L119" s="55">
        <f t="shared" si="108"/>
        <v>30952.221850985632</v>
      </c>
      <c r="M119" s="55">
        <f t="shared" si="108"/>
        <v>31145.701489631007</v>
      </c>
      <c r="N119" s="70">
        <f t="shared" si="91"/>
        <v>32825.15174119579</v>
      </c>
      <c r="O119" s="54">
        <v>3</v>
      </c>
      <c r="P119" s="71">
        <f t="shared" si="92"/>
        <v>96.5</v>
      </c>
      <c r="Q119" s="85">
        <f t="shared" si="103"/>
        <v>10941.717247065264</v>
      </c>
      <c r="R119" s="55">
        <f t="shared" si="93"/>
        <v>3077.9720753119832</v>
      </c>
      <c r="S119" s="55">
        <f t="shared" si="94"/>
        <v>9.3768708202165207E-2</v>
      </c>
      <c r="T119" s="55"/>
      <c r="U119" s="55"/>
      <c r="W119" s="273"/>
      <c r="X119" s="273"/>
    </row>
    <row r="120" spans="1:24" ht="12.75">
      <c r="A120" s="44" t="s">
        <v>149</v>
      </c>
      <c r="B120" s="44" t="s">
        <v>24</v>
      </c>
      <c r="C120" s="42">
        <v>44008</v>
      </c>
      <c r="D120" s="44">
        <v>329.5</v>
      </c>
      <c r="E120" s="44">
        <v>1.5289999999999999</v>
      </c>
      <c r="F120" s="44">
        <v>1.4154</v>
      </c>
      <c r="G120" s="44">
        <v>1.5278</v>
      </c>
      <c r="H120" s="44">
        <v>121</v>
      </c>
      <c r="I120" s="44">
        <v>122</v>
      </c>
      <c r="J120" s="44">
        <v>119</v>
      </c>
      <c r="K120" s="55">
        <f t="shared" ref="K120:M120" si="109">$D120/E120*H120</f>
        <v>26075.539568345328</v>
      </c>
      <c r="L120" s="55">
        <f t="shared" si="109"/>
        <v>28401.158683057791</v>
      </c>
      <c r="M120" s="55">
        <f t="shared" si="109"/>
        <v>25664.681241000129</v>
      </c>
      <c r="N120" s="70">
        <f t="shared" si="91"/>
        <v>26713.793164134415</v>
      </c>
      <c r="O120" s="54">
        <v>2</v>
      </c>
      <c r="P120" s="71">
        <f t="shared" si="92"/>
        <v>164.75</v>
      </c>
      <c r="Q120" s="85">
        <f t="shared" si="103"/>
        <v>13356.896582067207</v>
      </c>
      <c r="R120" s="55">
        <f t="shared" si="93"/>
        <v>1475.6703348396911</v>
      </c>
      <c r="S120" s="55">
        <f t="shared" si="94"/>
        <v>5.5240014990492123E-2</v>
      </c>
      <c r="T120" s="55"/>
      <c r="U120" s="55"/>
      <c r="W120" s="273"/>
      <c r="X120" s="273"/>
    </row>
    <row r="121" spans="1:24" ht="12.75">
      <c r="A121" s="44" t="s">
        <v>150</v>
      </c>
      <c r="B121" s="44" t="s">
        <v>16</v>
      </c>
      <c r="C121" s="42">
        <v>44008</v>
      </c>
      <c r="D121" s="44">
        <v>683</v>
      </c>
      <c r="E121" s="44">
        <v>1.6093999999999999</v>
      </c>
      <c r="F121" s="44">
        <v>1.4610000000000001</v>
      </c>
      <c r="G121" s="44">
        <v>1.6455</v>
      </c>
      <c r="H121" s="44">
        <v>163</v>
      </c>
      <c r="I121" s="44">
        <v>152</v>
      </c>
      <c r="J121" s="44">
        <v>139</v>
      </c>
      <c r="K121" s="55">
        <f t="shared" ref="K121:M121" si="110">$D121/E121*H121</f>
        <v>69174.226419783765</v>
      </c>
      <c r="L121" s="55">
        <f t="shared" si="110"/>
        <v>71058.17932922655</v>
      </c>
      <c r="M121" s="55">
        <f t="shared" si="110"/>
        <v>57694.925554542693</v>
      </c>
      <c r="N121" s="70">
        <f t="shared" si="91"/>
        <v>65975.777101184343</v>
      </c>
      <c r="O121" s="54">
        <v>6</v>
      </c>
      <c r="P121" s="71">
        <f t="shared" si="92"/>
        <v>113.83333333333333</v>
      </c>
      <c r="Q121" s="85">
        <f t="shared" si="103"/>
        <v>10995.962850197391</v>
      </c>
      <c r="R121" s="55">
        <f t="shared" si="93"/>
        <v>7233.0281621453305</v>
      </c>
      <c r="S121" s="55">
        <f t="shared" si="94"/>
        <v>0.10963157207003915</v>
      </c>
      <c r="T121" s="55"/>
      <c r="U121" s="55"/>
      <c r="W121" s="273"/>
      <c r="X121" s="273"/>
    </row>
    <row r="122" spans="1:24" ht="12.75">
      <c r="A122" s="42">
        <v>43990</v>
      </c>
      <c r="B122" s="44" t="s">
        <v>8</v>
      </c>
      <c r="C122" s="42">
        <v>44011</v>
      </c>
      <c r="D122" s="44">
        <v>193.5</v>
      </c>
      <c r="E122" s="44">
        <v>1.339</v>
      </c>
      <c r="F122" s="44">
        <v>1.6419999999999999</v>
      </c>
      <c r="G122" s="44">
        <v>1.5162</v>
      </c>
      <c r="H122" s="44">
        <v>135</v>
      </c>
      <c r="I122" s="44">
        <v>204</v>
      </c>
      <c r="J122" s="44">
        <v>193</v>
      </c>
      <c r="K122" s="55">
        <f t="shared" ref="K122:M122" si="111">$D122/E122*H122</f>
        <v>19508.961911874532</v>
      </c>
      <c r="L122" s="55">
        <f t="shared" si="111"/>
        <v>24040.194884287455</v>
      </c>
      <c r="M122" s="55">
        <f t="shared" si="111"/>
        <v>24630.985358132173</v>
      </c>
      <c r="N122" s="70">
        <f t="shared" si="91"/>
        <v>22726.714051431383</v>
      </c>
      <c r="O122" s="54">
        <v>2</v>
      </c>
      <c r="P122" s="71">
        <f t="shared" si="92"/>
        <v>96.75</v>
      </c>
      <c r="Q122" s="85">
        <f t="shared" si="103"/>
        <v>11363.357025715692</v>
      </c>
      <c r="R122" s="55">
        <f t="shared" si="93"/>
        <v>2802.2678261924875</v>
      </c>
      <c r="S122" s="55">
        <f t="shared" si="94"/>
        <v>0.1233028153498501</v>
      </c>
      <c r="T122" s="55"/>
      <c r="U122" s="55"/>
      <c r="W122" s="273"/>
      <c r="X122" s="273"/>
    </row>
    <row r="123" spans="1:24" ht="12.75">
      <c r="A123" s="42">
        <v>43997</v>
      </c>
      <c r="B123" s="44" t="s">
        <v>16</v>
      </c>
      <c r="C123" s="42">
        <v>44011</v>
      </c>
      <c r="D123" s="44">
        <v>189.5</v>
      </c>
      <c r="E123" s="44">
        <f>3.2673-1.9159</f>
        <v>1.3514000000000002</v>
      </c>
      <c r="F123" s="44">
        <f>3.5102-2.0208</f>
        <v>1.4894000000000003</v>
      </c>
      <c r="G123" s="44">
        <f>3.6475-1.9847</f>
        <v>1.6628000000000001</v>
      </c>
      <c r="H123" s="44">
        <v>304</v>
      </c>
      <c r="I123" s="44">
        <v>344</v>
      </c>
      <c r="J123" s="44">
        <v>373</v>
      </c>
      <c r="K123" s="55">
        <f t="shared" ref="K123:M123" si="112">$D123/E123*H123</f>
        <v>42628.385378126382</v>
      </c>
      <c r="L123" s="55">
        <f t="shared" si="112"/>
        <v>43767.960252450641</v>
      </c>
      <c r="M123" s="55">
        <f t="shared" si="112"/>
        <v>42508.720230935774</v>
      </c>
      <c r="N123" s="70">
        <f t="shared" si="91"/>
        <v>42968.355287170933</v>
      </c>
      <c r="O123" s="54">
        <v>4</v>
      </c>
      <c r="P123" s="71">
        <f t="shared" si="92"/>
        <v>47.375</v>
      </c>
      <c r="Q123" s="85">
        <f t="shared" si="103"/>
        <v>10742.088821792733</v>
      </c>
      <c r="R123" s="55">
        <f t="shared" si="93"/>
        <v>695.05827974207318</v>
      </c>
      <c r="S123" s="55">
        <f t="shared" si="94"/>
        <v>1.6176050376999113E-2</v>
      </c>
      <c r="T123" s="55"/>
      <c r="U123" s="55"/>
      <c r="W123" s="273"/>
      <c r="X123" s="273"/>
    </row>
    <row r="124" spans="1:24" ht="12.75">
      <c r="A124" s="44" t="s">
        <v>151</v>
      </c>
      <c r="B124" s="44" t="s">
        <v>19</v>
      </c>
      <c r="C124" s="42">
        <v>44013</v>
      </c>
      <c r="D124" s="44">
        <v>204</v>
      </c>
      <c r="E124" s="44">
        <v>1.6437999999999999</v>
      </c>
      <c r="F124" s="44">
        <v>1.6819</v>
      </c>
      <c r="G124" s="44">
        <v>1.8113999999999999</v>
      </c>
      <c r="H124" s="44">
        <v>151</v>
      </c>
      <c r="I124" s="44">
        <v>173</v>
      </c>
      <c r="J124" s="44">
        <v>163</v>
      </c>
      <c r="K124" s="55">
        <f t="shared" ref="K124:M124" si="113">$D124/E124*H124</f>
        <v>18739.506022630492</v>
      </c>
      <c r="L124" s="55">
        <f t="shared" si="113"/>
        <v>20983.411617813188</v>
      </c>
      <c r="M124" s="55">
        <f t="shared" si="113"/>
        <v>18357.071878105337</v>
      </c>
      <c r="N124" s="70">
        <f t="shared" si="91"/>
        <v>19359.996506183004</v>
      </c>
      <c r="O124" s="54">
        <v>1</v>
      </c>
      <c r="P124" s="71">
        <f t="shared" si="92"/>
        <v>204</v>
      </c>
      <c r="Q124" s="85">
        <f t="shared" si="103"/>
        <v>19359.996506183004</v>
      </c>
      <c r="R124" s="55">
        <f t="shared" si="93"/>
        <v>1418.8627267028337</v>
      </c>
      <c r="S124" s="55">
        <f t="shared" si="94"/>
        <v>7.3288377208626632E-2</v>
      </c>
      <c r="T124" s="55"/>
      <c r="U124" s="55"/>
      <c r="W124" s="273"/>
      <c r="X124" s="273"/>
    </row>
    <row r="125" spans="1:24" ht="12.75">
      <c r="A125" s="44" t="s">
        <v>152</v>
      </c>
      <c r="B125" s="44" t="s">
        <v>16</v>
      </c>
      <c r="C125" s="42">
        <v>44014</v>
      </c>
      <c r="D125" s="44">
        <v>474</v>
      </c>
      <c r="E125" s="44">
        <v>2.0960999999999999</v>
      </c>
      <c r="F125" s="44">
        <v>1.9790000000000001</v>
      </c>
      <c r="G125" s="44">
        <v>1.6753</v>
      </c>
      <c r="H125" s="44">
        <v>218</v>
      </c>
      <c r="I125" s="44">
        <v>222</v>
      </c>
      <c r="J125" s="44">
        <v>215</v>
      </c>
      <c r="K125" s="55">
        <f t="shared" ref="K125:M125" si="114">$D125/E125*H125</f>
        <v>49297.266351796199</v>
      </c>
      <c r="L125" s="55">
        <f t="shared" si="114"/>
        <v>53172.30924709449</v>
      </c>
      <c r="M125" s="55">
        <f t="shared" si="114"/>
        <v>60830.895958932728</v>
      </c>
      <c r="N125" s="70">
        <f t="shared" si="91"/>
        <v>54433.49051927447</v>
      </c>
      <c r="O125" s="54">
        <v>5</v>
      </c>
      <c r="P125" s="71">
        <f t="shared" si="92"/>
        <v>94.8</v>
      </c>
      <c r="Q125" s="85">
        <f t="shared" si="103"/>
        <v>10886.698103854895</v>
      </c>
      <c r="R125" s="55">
        <f t="shared" si="93"/>
        <v>5869.3344281636582</v>
      </c>
      <c r="S125" s="55">
        <f t="shared" si="94"/>
        <v>0.10782579570357284</v>
      </c>
      <c r="T125" s="55"/>
      <c r="U125" s="55"/>
      <c r="W125" s="273"/>
      <c r="X125" s="273"/>
    </row>
    <row r="126" spans="1:24" ht="12.75">
      <c r="A126" s="42">
        <v>44003</v>
      </c>
      <c r="B126" s="44" t="s">
        <v>16</v>
      </c>
      <c r="C126" s="42">
        <v>44014</v>
      </c>
      <c r="D126" s="44">
        <v>256</v>
      </c>
      <c r="E126" s="44">
        <v>2.0849000000000002</v>
      </c>
      <c r="F126" s="44">
        <v>2.1263000000000001</v>
      </c>
      <c r="G126" s="44">
        <v>1.9258999999999999</v>
      </c>
      <c r="H126" s="44">
        <v>103</v>
      </c>
      <c r="I126" s="44">
        <v>72</v>
      </c>
      <c r="J126" s="44">
        <v>71</v>
      </c>
      <c r="K126" s="55">
        <f t="shared" ref="K126:M126" si="115">$D126/E126*H126</f>
        <v>12647.129358722239</v>
      </c>
      <c r="L126" s="55">
        <f t="shared" si="115"/>
        <v>8668.5792221229349</v>
      </c>
      <c r="M126" s="55">
        <f t="shared" si="115"/>
        <v>9437.6655070356719</v>
      </c>
      <c r="N126" s="70">
        <f t="shared" si="91"/>
        <v>10251.124695960281</v>
      </c>
      <c r="O126" s="54">
        <v>1</v>
      </c>
      <c r="P126" s="71">
        <f t="shared" si="92"/>
        <v>256</v>
      </c>
      <c r="Q126" s="85">
        <f t="shared" si="103"/>
        <v>10251.124695960281</v>
      </c>
      <c r="R126" s="55">
        <f t="shared" si="93"/>
        <v>2110.3322454990334</v>
      </c>
      <c r="S126" s="55">
        <f t="shared" si="94"/>
        <v>0.20586348406537908</v>
      </c>
      <c r="T126" s="55"/>
      <c r="U126" s="55"/>
      <c r="W126" s="273"/>
      <c r="X126" s="273"/>
    </row>
    <row r="127" spans="1:24" ht="12.75">
      <c r="A127" s="42">
        <v>44015</v>
      </c>
      <c r="B127" s="44" t="s">
        <v>153</v>
      </c>
      <c r="C127" s="42">
        <v>44025</v>
      </c>
      <c r="D127" s="44">
        <v>833.5</v>
      </c>
      <c r="E127" s="44">
        <f>1.7809</f>
        <v>1.7808999999999999</v>
      </c>
      <c r="F127" s="44">
        <v>1.6763999999999999</v>
      </c>
      <c r="G127" s="44">
        <v>1.5345</v>
      </c>
      <c r="H127" s="44">
        <v>258</v>
      </c>
      <c r="I127" s="44">
        <v>273</v>
      </c>
      <c r="J127" s="44">
        <v>253</v>
      </c>
      <c r="K127" s="55">
        <f t="shared" ref="K127:M127" si="116">$D127/E127*H127</f>
        <v>120749.62097815712</v>
      </c>
      <c r="L127" s="55">
        <f t="shared" si="116"/>
        <v>135734.60987831067</v>
      </c>
      <c r="M127" s="55">
        <f t="shared" si="116"/>
        <v>137422.93906810036</v>
      </c>
      <c r="N127" s="70">
        <f t="shared" si="91"/>
        <v>131302.38997485605</v>
      </c>
      <c r="O127" s="54">
        <v>13</v>
      </c>
      <c r="P127" s="71">
        <f t="shared" si="92"/>
        <v>64.115384615384613</v>
      </c>
      <c r="Q127" s="85">
        <f t="shared" si="103"/>
        <v>10100.183844219697</v>
      </c>
      <c r="R127" s="55">
        <f t="shared" si="93"/>
        <v>9177.8708852620894</v>
      </c>
      <c r="S127" s="55">
        <f t="shared" si="94"/>
        <v>6.9898734417702682E-2</v>
      </c>
      <c r="T127" s="55"/>
      <c r="U127" s="55"/>
      <c r="W127" s="273"/>
      <c r="X127" s="273"/>
    </row>
    <row r="128" spans="1:24" ht="12.75">
      <c r="A128" s="44" t="s">
        <v>154</v>
      </c>
      <c r="B128" s="44" t="s">
        <v>16</v>
      </c>
      <c r="C128" s="42">
        <v>44027</v>
      </c>
      <c r="D128" s="44">
        <v>748</v>
      </c>
      <c r="E128" s="44">
        <v>1.6146</v>
      </c>
      <c r="F128" s="44">
        <v>1.5913999999999999</v>
      </c>
      <c r="G128" s="44">
        <v>1.7018</v>
      </c>
      <c r="H128" s="44">
        <v>369</v>
      </c>
      <c r="I128" s="44">
        <v>357</v>
      </c>
      <c r="J128" s="44">
        <v>393</v>
      </c>
      <c r="K128" s="55">
        <f t="shared" ref="K128:M128" si="117">$D128/E128*H128</f>
        <v>170947.60312151615</v>
      </c>
      <c r="L128" s="55">
        <f t="shared" si="117"/>
        <v>167799.42189267313</v>
      </c>
      <c r="M128" s="55">
        <f t="shared" si="117"/>
        <v>172737.10189211424</v>
      </c>
      <c r="N128" s="70">
        <f t="shared" si="91"/>
        <v>170494.70896876787</v>
      </c>
      <c r="O128" s="54">
        <v>17</v>
      </c>
      <c r="P128" s="71">
        <f t="shared" si="92"/>
        <v>44</v>
      </c>
      <c r="Q128" s="85">
        <f t="shared" si="103"/>
        <v>10029.100527574581</v>
      </c>
      <c r="R128" s="55">
        <f t="shared" si="93"/>
        <v>2499.8011479746551</v>
      </c>
      <c r="S128" s="55">
        <f t="shared" si="94"/>
        <v>1.4662045309761383E-2</v>
      </c>
      <c r="T128" s="55"/>
      <c r="U128" s="55"/>
      <c r="W128" s="273"/>
      <c r="X128" s="273"/>
    </row>
    <row r="129" spans="1:24" ht="12.75">
      <c r="A129" s="44" t="s">
        <v>155</v>
      </c>
      <c r="B129" s="44" t="s">
        <v>11</v>
      </c>
      <c r="C129" s="42">
        <v>44027</v>
      </c>
      <c r="D129" s="44">
        <v>514</v>
      </c>
      <c r="E129" s="44">
        <v>1.4864999999999999</v>
      </c>
      <c r="F129" s="44">
        <v>1.3324</v>
      </c>
      <c r="G129" s="44">
        <v>1.6859999999999999</v>
      </c>
      <c r="H129" s="44">
        <v>199</v>
      </c>
      <c r="I129" s="44">
        <v>165</v>
      </c>
      <c r="J129" s="44">
        <v>234</v>
      </c>
      <c r="K129" s="55">
        <f t="shared" ref="K129:M129" si="118">$D129/E129*H129</f>
        <v>68809.956273124801</v>
      </c>
      <c r="L129" s="55">
        <f t="shared" si="118"/>
        <v>63652.056439507651</v>
      </c>
      <c r="M129" s="55">
        <f t="shared" si="118"/>
        <v>71338.078291814949</v>
      </c>
      <c r="N129" s="70">
        <f t="shared" si="91"/>
        <v>67933.363668149133</v>
      </c>
      <c r="O129" s="54">
        <v>6</v>
      </c>
      <c r="P129" s="71">
        <f t="shared" si="92"/>
        <v>85.666666666666671</v>
      </c>
      <c r="Q129" s="85">
        <f t="shared" si="103"/>
        <v>11322.227278024855</v>
      </c>
      <c r="R129" s="55">
        <f t="shared" si="93"/>
        <v>3917.2750637222102</v>
      </c>
      <c r="S129" s="55">
        <f t="shared" si="94"/>
        <v>5.766349334412308E-2</v>
      </c>
      <c r="T129" s="55"/>
      <c r="U129" s="55"/>
      <c r="W129" s="273"/>
      <c r="X129" s="273"/>
    </row>
    <row r="130" spans="1:24" ht="12.75">
      <c r="A130" s="42">
        <v>44018</v>
      </c>
      <c r="B130" s="44" t="s">
        <v>24</v>
      </c>
      <c r="C130" s="42">
        <v>44029</v>
      </c>
      <c r="D130" s="44">
        <v>1266.5</v>
      </c>
      <c r="E130" s="44">
        <v>1.6215999999999999</v>
      </c>
      <c r="F130" s="44">
        <v>1.5660000000000001</v>
      </c>
      <c r="G130" s="44">
        <v>1.744</v>
      </c>
      <c r="H130" s="44">
        <v>356</v>
      </c>
      <c r="I130" s="44">
        <v>301</v>
      </c>
      <c r="J130" s="44">
        <v>337</v>
      </c>
      <c r="K130" s="55">
        <f t="shared" ref="K130:M130" si="119">$D130/E130*H130</f>
        <v>278042.6739023187</v>
      </c>
      <c r="L130" s="55">
        <f t="shared" si="119"/>
        <v>243433.26947637292</v>
      </c>
      <c r="M130" s="55">
        <f t="shared" si="119"/>
        <v>244730.79128440368</v>
      </c>
      <c r="N130" s="70">
        <f t="shared" si="91"/>
        <v>255402.24488769844</v>
      </c>
      <c r="O130" s="54">
        <v>25</v>
      </c>
      <c r="P130" s="71">
        <f t="shared" si="92"/>
        <v>50.66</v>
      </c>
      <c r="Q130" s="85">
        <f t="shared" si="103"/>
        <v>10216.089795507938</v>
      </c>
      <c r="R130" s="55">
        <f t="shared" si="93"/>
        <v>19617.916815633693</v>
      </c>
      <c r="S130" s="55">
        <f t="shared" si="94"/>
        <v>7.6811841745008089E-2</v>
      </c>
      <c r="T130" s="55"/>
      <c r="U130" s="55"/>
      <c r="W130" s="273"/>
      <c r="X130" s="273"/>
    </row>
    <row r="131" spans="1:24" ht="12.75">
      <c r="A131" s="42">
        <v>44020</v>
      </c>
      <c r="B131" s="44" t="s">
        <v>11</v>
      </c>
      <c r="C131" s="42">
        <v>44029</v>
      </c>
      <c r="D131" s="44">
        <v>230</v>
      </c>
      <c r="E131" s="44">
        <v>1.7905</v>
      </c>
      <c r="F131" s="44">
        <v>1.7377</v>
      </c>
      <c r="G131" s="44">
        <v>1.7665</v>
      </c>
      <c r="H131" s="44">
        <v>295</v>
      </c>
      <c r="I131" s="44">
        <v>292</v>
      </c>
      <c r="J131" s="44">
        <v>307</v>
      </c>
      <c r="K131" s="55">
        <f t="shared" ref="K131:M131" si="120">$D131/E131*H131</f>
        <v>37894.442893046638</v>
      </c>
      <c r="L131" s="55">
        <f t="shared" si="120"/>
        <v>38648.78862864706</v>
      </c>
      <c r="M131" s="55">
        <f t="shared" si="120"/>
        <v>39971.695442966316</v>
      </c>
      <c r="N131" s="70">
        <f t="shared" si="91"/>
        <v>38838.308988220007</v>
      </c>
      <c r="O131" s="54">
        <v>3</v>
      </c>
      <c r="P131" s="71">
        <f t="shared" si="92"/>
        <v>76.666666666666671</v>
      </c>
      <c r="Q131" s="85">
        <f t="shared" si="103"/>
        <v>12946.102996073336</v>
      </c>
      <c r="R131" s="55">
        <f t="shared" si="93"/>
        <v>1051.5146285508561</v>
      </c>
      <c r="S131" s="55">
        <f t="shared" si="94"/>
        <v>2.7074160949432415E-2</v>
      </c>
      <c r="T131" s="55"/>
      <c r="U131" s="55"/>
      <c r="W131" s="273"/>
      <c r="X131" s="273"/>
    </row>
    <row r="132" spans="1:24" ht="12.75">
      <c r="A132" s="42">
        <v>44018</v>
      </c>
      <c r="B132" s="44" t="s">
        <v>11</v>
      </c>
      <c r="C132" s="42">
        <v>44029</v>
      </c>
      <c r="D132" s="44">
        <v>278</v>
      </c>
      <c r="E132" s="44">
        <v>1.5509999999999999</v>
      </c>
      <c r="F132" s="44">
        <v>1.4000999999999999</v>
      </c>
      <c r="G132" s="44">
        <v>1.502</v>
      </c>
      <c r="H132" s="44">
        <v>285</v>
      </c>
      <c r="I132" s="44">
        <v>259</v>
      </c>
      <c r="J132" s="44">
        <v>313</v>
      </c>
      <c r="K132" s="55">
        <f t="shared" ref="K132:M132" si="121">$D132/E132*H132</f>
        <v>51083.172147001933</v>
      </c>
      <c r="L132" s="55">
        <f t="shared" si="121"/>
        <v>51426.326690950649</v>
      </c>
      <c r="M132" s="55">
        <f t="shared" si="121"/>
        <v>57932.090545938743</v>
      </c>
      <c r="N132" s="70">
        <f t="shared" si="91"/>
        <v>53480.529794630442</v>
      </c>
      <c r="O132" s="54">
        <v>5</v>
      </c>
      <c r="P132" s="71">
        <f t="shared" si="92"/>
        <v>55.6</v>
      </c>
      <c r="Q132" s="85">
        <f t="shared" si="103"/>
        <v>10696.105958926088</v>
      </c>
      <c r="R132" s="55">
        <f t="shared" si="93"/>
        <v>3858.9809020257617</v>
      </c>
      <c r="S132" s="55">
        <f t="shared" si="94"/>
        <v>7.2156744086952024E-2</v>
      </c>
      <c r="T132" s="55"/>
      <c r="U132" s="55"/>
      <c r="W132" s="273"/>
      <c r="X132" s="273"/>
    </row>
    <row r="133" spans="1:24" ht="12.75">
      <c r="A133" s="42">
        <v>44020</v>
      </c>
      <c r="B133" s="44" t="s">
        <v>16</v>
      </c>
      <c r="C133" s="42">
        <v>44032</v>
      </c>
      <c r="D133" s="44">
        <v>283</v>
      </c>
      <c r="E133" s="44">
        <v>1.9698</v>
      </c>
      <c r="F133" s="44">
        <v>1.9218999999999999</v>
      </c>
      <c r="G133" s="44">
        <v>1.8213999999999999</v>
      </c>
      <c r="H133" s="44">
        <v>276</v>
      </c>
      <c r="I133" s="44">
        <v>222</v>
      </c>
      <c r="J133" s="44">
        <v>289</v>
      </c>
      <c r="K133" s="55">
        <f t="shared" ref="K133:M133" si="122">$D133/E133*H133</f>
        <v>39652.756625038077</v>
      </c>
      <c r="L133" s="55">
        <f t="shared" si="122"/>
        <v>32689.525989905822</v>
      </c>
      <c r="M133" s="55">
        <f t="shared" si="122"/>
        <v>44903.371033271113</v>
      </c>
      <c r="N133" s="70">
        <f t="shared" si="91"/>
        <v>39081.884549404997</v>
      </c>
      <c r="O133" s="54">
        <v>3</v>
      </c>
      <c r="P133" s="71">
        <f t="shared" si="92"/>
        <v>94.333333333333329</v>
      </c>
      <c r="Q133" s="85">
        <f t="shared" si="103"/>
        <v>13027.294849801665</v>
      </c>
      <c r="R133" s="55">
        <f t="shared" si="93"/>
        <v>6126.9016542530253</v>
      </c>
      <c r="S133" s="55">
        <f t="shared" si="94"/>
        <v>0.1567708856646296</v>
      </c>
      <c r="T133" s="55"/>
      <c r="U133" s="55"/>
      <c r="W133" s="273"/>
      <c r="X133" s="273"/>
    </row>
    <row r="134" spans="1:24" ht="12.75">
      <c r="A134" s="42">
        <v>44021</v>
      </c>
      <c r="B134" s="44" t="s">
        <v>11</v>
      </c>
      <c r="C134" s="42">
        <v>44034</v>
      </c>
      <c r="D134" s="44">
        <v>283</v>
      </c>
      <c r="E134" s="44">
        <v>2.1101999999999999</v>
      </c>
      <c r="F134" s="44">
        <v>2.15</v>
      </c>
      <c r="G134" s="44">
        <v>2.0047000000000001</v>
      </c>
      <c r="H134" s="44">
        <v>224</v>
      </c>
      <c r="I134" s="44">
        <v>253</v>
      </c>
      <c r="J134" s="44">
        <v>251</v>
      </c>
      <c r="K134" s="55">
        <f t="shared" ref="K134:M134" si="123">$D134/E134*H134</f>
        <v>30040.754430859641</v>
      </c>
      <c r="L134" s="55">
        <f t="shared" si="123"/>
        <v>33301.860465116282</v>
      </c>
      <c r="M134" s="55">
        <f t="shared" si="123"/>
        <v>35433.231905023189</v>
      </c>
      <c r="N134" s="70">
        <f t="shared" si="91"/>
        <v>32925.282266999704</v>
      </c>
      <c r="O134" s="54">
        <v>3</v>
      </c>
      <c r="P134" s="71">
        <f t="shared" si="92"/>
        <v>94.333333333333329</v>
      </c>
      <c r="Q134" s="85">
        <f t="shared" si="103"/>
        <v>10975.094088999902</v>
      </c>
      <c r="R134" s="55">
        <f t="shared" si="93"/>
        <v>2715.8905872315377</v>
      </c>
      <c r="S134" s="55">
        <f t="shared" si="94"/>
        <v>8.2486478482027045E-2</v>
      </c>
      <c r="T134" s="55"/>
      <c r="U134" s="55"/>
      <c r="W134" s="273"/>
      <c r="X134" s="273"/>
    </row>
    <row r="135" spans="1:24" ht="12.75">
      <c r="A135" s="42">
        <v>44021</v>
      </c>
      <c r="B135" s="44" t="s">
        <v>24</v>
      </c>
      <c r="C135" s="42">
        <v>44034</v>
      </c>
      <c r="D135" s="44">
        <v>1086.5</v>
      </c>
      <c r="E135" s="44">
        <v>1.9870000000000001</v>
      </c>
      <c r="F135" s="44">
        <v>2.2403</v>
      </c>
      <c r="G135" s="44">
        <v>2.2978000000000001</v>
      </c>
      <c r="H135" s="44">
        <v>315</v>
      </c>
      <c r="I135" s="44">
        <v>346</v>
      </c>
      <c r="J135" s="44">
        <v>321</v>
      </c>
      <c r="K135" s="55">
        <f t="shared" ref="K135:M135" si="124">$D135/E135*H135</f>
        <v>172243.33165576245</v>
      </c>
      <c r="L135" s="55">
        <f t="shared" si="124"/>
        <v>167802.97281614068</v>
      </c>
      <c r="M135" s="55">
        <f t="shared" si="124"/>
        <v>151782.79223605187</v>
      </c>
      <c r="N135" s="70">
        <f t="shared" si="91"/>
        <v>163943.03223598501</v>
      </c>
      <c r="O135" s="54">
        <v>16</v>
      </c>
      <c r="P135" s="71">
        <f t="shared" si="92"/>
        <v>67.90625</v>
      </c>
      <c r="Q135" s="85">
        <f t="shared" si="103"/>
        <v>10246.439514749063</v>
      </c>
      <c r="R135" s="55">
        <f t="shared" si="93"/>
        <v>10762.563556055407</v>
      </c>
      <c r="S135" s="55">
        <f t="shared" si="94"/>
        <v>6.5648191382500595E-2</v>
      </c>
      <c r="T135" s="55"/>
      <c r="U135" s="55"/>
      <c r="W135" s="273"/>
      <c r="X135" s="273"/>
    </row>
    <row r="136" spans="1:24" ht="12.75">
      <c r="A136" s="42">
        <v>44021</v>
      </c>
      <c r="B136" s="44" t="s">
        <v>16</v>
      </c>
      <c r="C136" s="42">
        <v>44034</v>
      </c>
      <c r="D136" s="44">
        <v>833</v>
      </c>
      <c r="E136" s="44">
        <v>1.8286</v>
      </c>
      <c r="F136" s="44">
        <v>2.2078000000000002</v>
      </c>
      <c r="G136" s="44">
        <v>2.0693999999999999</v>
      </c>
      <c r="H136" s="44">
        <v>203</v>
      </c>
      <c r="I136" s="44">
        <v>242</v>
      </c>
      <c r="J136" s="44">
        <v>196</v>
      </c>
      <c r="K136" s="55">
        <f t="shared" ref="K136:M136" si="125">$D136/E136*H136</f>
        <v>92474.570709832653</v>
      </c>
      <c r="L136" s="55">
        <f t="shared" si="125"/>
        <v>91306.277742549137</v>
      </c>
      <c r="M136" s="55">
        <f t="shared" si="125"/>
        <v>78896.298443993437</v>
      </c>
      <c r="N136" s="70">
        <f t="shared" si="91"/>
        <v>87559.048965458409</v>
      </c>
      <c r="O136" s="54">
        <v>8</v>
      </c>
      <c r="P136" s="71">
        <f t="shared" si="92"/>
        <v>104.125</v>
      </c>
      <c r="Q136" s="85">
        <f t="shared" si="103"/>
        <v>10944.881120682301</v>
      </c>
      <c r="R136" s="55">
        <f t="shared" si="93"/>
        <v>7524.8695711093396</v>
      </c>
      <c r="S136" s="55">
        <f t="shared" si="94"/>
        <v>8.5940512831265012E-2</v>
      </c>
      <c r="T136" s="55"/>
      <c r="U136" s="55"/>
      <c r="W136" s="273"/>
      <c r="X136" s="273"/>
    </row>
    <row r="137" spans="1:24" ht="12.75">
      <c r="A137" s="42">
        <v>44025</v>
      </c>
      <c r="B137" s="44" t="s">
        <v>11</v>
      </c>
      <c r="C137" s="42">
        <v>44035</v>
      </c>
      <c r="D137" s="44">
        <v>129.5</v>
      </c>
      <c r="E137" s="44">
        <v>1.0024</v>
      </c>
      <c r="F137" s="44">
        <v>1.0056</v>
      </c>
      <c r="G137" s="44">
        <v>1.1654</v>
      </c>
      <c r="H137" s="44">
        <v>328</v>
      </c>
      <c r="I137" s="44">
        <v>252</v>
      </c>
      <c r="J137" s="44">
        <v>265</v>
      </c>
      <c r="K137" s="55">
        <f t="shared" ref="K137:M137" si="126">$D137/E137*H137</f>
        <v>42374.301675977658</v>
      </c>
      <c r="L137" s="55">
        <f t="shared" si="126"/>
        <v>32452.267303102624</v>
      </c>
      <c r="M137" s="55">
        <f t="shared" si="126"/>
        <v>29446.970997082546</v>
      </c>
      <c r="N137" s="70">
        <f t="shared" si="91"/>
        <v>34757.846658720948</v>
      </c>
      <c r="O137" s="54">
        <v>3</v>
      </c>
      <c r="P137" s="71">
        <f t="shared" si="92"/>
        <v>43.166666666666664</v>
      </c>
      <c r="Q137" s="85">
        <f t="shared" si="103"/>
        <v>11585.948886240316</v>
      </c>
      <c r="R137" s="55">
        <f t="shared" si="93"/>
        <v>6765.0381923656141</v>
      </c>
      <c r="S137" s="55">
        <f t="shared" si="94"/>
        <v>0.19463340922094283</v>
      </c>
      <c r="T137" s="55"/>
      <c r="U137" s="55"/>
      <c r="W137" s="273"/>
      <c r="X137" s="273"/>
    </row>
    <row r="138" spans="1:24" ht="12.75">
      <c r="A138" s="42">
        <v>44025</v>
      </c>
      <c r="B138" s="44" t="s">
        <v>16</v>
      </c>
      <c r="C138" s="42">
        <v>44035</v>
      </c>
      <c r="D138" s="44">
        <v>817</v>
      </c>
      <c r="E138" s="44">
        <v>1.4156</v>
      </c>
      <c r="F138" s="44">
        <v>1.4702</v>
      </c>
      <c r="G138" s="44">
        <v>1.4646999999999999</v>
      </c>
      <c r="H138" s="44">
        <v>335</v>
      </c>
      <c r="I138" s="44">
        <v>292</v>
      </c>
      <c r="J138" s="44">
        <v>351</v>
      </c>
      <c r="K138" s="55">
        <f t="shared" ref="K138:M138" si="127">$D138/E138*H138</f>
        <v>193342.04577564285</v>
      </c>
      <c r="L138" s="55">
        <f t="shared" si="127"/>
        <v>162266.35831859612</v>
      </c>
      <c r="M138" s="55">
        <f t="shared" si="127"/>
        <v>195785.48508226944</v>
      </c>
      <c r="N138" s="70">
        <f t="shared" si="91"/>
        <v>183797.96305883615</v>
      </c>
      <c r="O138" s="54">
        <v>18</v>
      </c>
      <c r="P138" s="71">
        <f t="shared" si="92"/>
        <v>45.388888888888886</v>
      </c>
      <c r="Q138" s="85">
        <f t="shared" si="103"/>
        <v>10210.99794771312</v>
      </c>
      <c r="R138" s="55">
        <f t="shared" si="93"/>
        <v>18686.896503398759</v>
      </c>
      <c r="S138" s="55">
        <f t="shared" si="94"/>
        <v>0.10167085745894168</v>
      </c>
      <c r="T138" s="55"/>
      <c r="U138" s="55"/>
      <c r="W138" s="273"/>
      <c r="X138" s="273"/>
    </row>
    <row r="139" spans="1:24" ht="12.75">
      <c r="A139" s="42">
        <v>44025</v>
      </c>
      <c r="B139" s="44" t="s">
        <v>24</v>
      </c>
      <c r="C139" s="42">
        <v>44035</v>
      </c>
      <c r="D139" s="44">
        <v>388</v>
      </c>
      <c r="E139" s="44">
        <v>1.1247</v>
      </c>
      <c r="F139" s="44">
        <v>1.2416</v>
      </c>
      <c r="G139" s="44">
        <v>1.2698</v>
      </c>
      <c r="H139" s="44">
        <v>219</v>
      </c>
      <c r="I139" s="44">
        <v>208</v>
      </c>
      <c r="J139" s="44">
        <v>243</v>
      </c>
      <c r="K139" s="55">
        <f t="shared" ref="K139:M139" si="128">$D139/E139*H139</f>
        <v>75550.813550280072</v>
      </c>
      <c r="L139" s="55">
        <f t="shared" si="128"/>
        <v>65000</v>
      </c>
      <c r="M139" s="55">
        <f t="shared" si="128"/>
        <v>74251.063159552694</v>
      </c>
      <c r="N139" s="70">
        <f t="shared" si="91"/>
        <v>71600.625569944255</v>
      </c>
      <c r="O139" s="54">
        <v>7</v>
      </c>
      <c r="P139" s="71">
        <f t="shared" si="92"/>
        <v>55.428571428571431</v>
      </c>
      <c r="Q139" s="85">
        <f t="shared" si="103"/>
        <v>10228.660795706322</v>
      </c>
      <c r="R139" s="55">
        <f t="shared" si="93"/>
        <v>5753.1322951502198</v>
      </c>
      <c r="S139" s="55">
        <f t="shared" si="94"/>
        <v>8.0350307687328482E-2</v>
      </c>
      <c r="T139" s="55"/>
      <c r="U139" s="55"/>
      <c r="W139" s="273"/>
      <c r="X139" s="273"/>
    </row>
    <row r="140" spans="1:24" ht="12.75">
      <c r="A140" s="42">
        <v>44027</v>
      </c>
      <c r="B140" s="44" t="s">
        <v>16</v>
      </c>
      <c r="C140" s="42">
        <v>44039</v>
      </c>
      <c r="D140" s="44">
        <v>652.5</v>
      </c>
      <c r="E140" s="44">
        <v>2.3378999999999999</v>
      </c>
      <c r="F140" s="44">
        <v>2.2347999999999999</v>
      </c>
      <c r="G140" s="44">
        <v>2.3098000000000001</v>
      </c>
      <c r="H140" s="44">
        <v>270</v>
      </c>
      <c r="I140" s="44">
        <v>289</v>
      </c>
      <c r="J140" s="44">
        <v>337</v>
      </c>
      <c r="K140" s="55">
        <f t="shared" ref="K140:M140" si="129">$D140/E140*H140</f>
        <v>75356.088797638906</v>
      </c>
      <c r="L140" s="55">
        <f t="shared" si="129"/>
        <v>84380.034007517446</v>
      </c>
      <c r="M140" s="55">
        <f t="shared" si="129"/>
        <v>95199.800848558312</v>
      </c>
      <c r="N140" s="70">
        <f t="shared" si="91"/>
        <v>84978.641217904878</v>
      </c>
      <c r="O140" s="54">
        <v>8</v>
      </c>
      <c r="P140" s="71">
        <f t="shared" si="92"/>
        <v>81.5625</v>
      </c>
      <c r="Q140" s="85">
        <f t="shared" si="103"/>
        <v>10622.33015223811</v>
      </c>
      <c r="R140" s="55">
        <f t="shared" si="93"/>
        <v>9935.3900242615982</v>
      </c>
      <c r="S140" s="55">
        <f t="shared" si="94"/>
        <v>0.11691632017020562</v>
      </c>
      <c r="T140" s="55"/>
      <c r="U140" s="55"/>
      <c r="W140" s="273"/>
      <c r="X140" s="273"/>
    </row>
    <row r="141" spans="1:24" ht="12.75">
      <c r="A141" s="42">
        <v>44027</v>
      </c>
      <c r="B141" s="44" t="s">
        <v>24</v>
      </c>
      <c r="C141" s="42">
        <v>44039</v>
      </c>
      <c r="D141" s="44">
        <v>284</v>
      </c>
      <c r="E141" s="44">
        <v>2.2422</v>
      </c>
      <c r="F141" s="44">
        <v>1.956</v>
      </c>
      <c r="G141" s="44">
        <v>2.1152000000000002</v>
      </c>
      <c r="H141" s="44">
        <v>448</v>
      </c>
      <c r="I141" s="44">
        <v>400</v>
      </c>
      <c r="J141" s="44">
        <v>410</v>
      </c>
      <c r="K141" s="55">
        <f t="shared" ref="K141:M141" si="130">$D141/E141*H141</f>
        <v>56744.269021496744</v>
      </c>
      <c r="L141" s="55">
        <f t="shared" si="130"/>
        <v>58077.709611451937</v>
      </c>
      <c r="M141" s="55">
        <f t="shared" si="130"/>
        <v>55049.167927382747</v>
      </c>
      <c r="N141" s="70">
        <f t="shared" si="91"/>
        <v>56623.715520110476</v>
      </c>
      <c r="O141" s="54">
        <v>5</v>
      </c>
      <c r="P141" s="71">
        <f t="shared" si="92"/>
        <v>56.8</v>
      </c>
      <c r="Q141" s="85">
        <f t="shared" si="103"/>
        <v>11324.743104022094</v>
      </c>
      <c r="R141" s="55">
        <f t="shared" si="93"/>
        <v>1517.8656208829977</v>
      </c>
      <c r="S141" s="55">
        <f t="shared" si="94"/>
        <v>2.6806181949397382E-2</v>
      </c>
      <c r="T141" s="55"/>
      <c r="U141" s="55"/>
      <c r="W141" s="273"/>
      <c r="X141" s="273"/>
    </row>
    <row r="142" spans="1:24" ht="12.75">
      <c r="A142" s="42">
        <v>44027</v>
      </c>
      <c r="B142" s="44" t="s">
        <v>11</v>
      </c>
      <c r="C142" s="42">
        <v>44039</v>
      </c>
      <c r="D142" s="44">
        <v>304</v>
      </c>
      <c r="E142" s="44">
        <v>2.5335999999999999</v>
      </c>
      <c r="F142" s="44">
        <v>2.5969000000000002</v>
      </c>
      <c r="G142" s="44">
        <v>2.3908999999999998</v>
      </c>
      <c r="H142" s="44">
        <v>394</v>
      </c>
      <c r="I142" s="44">
        <v>366</v>
      </c>
      <c r="J142" s="44">
        <v>360</v>
      </c>
      <c r="K142" s="55">
        <f t="shared" ref="K142:M142" si="131">$D142/E142*H142</f>
        <v>47275.023681717714</v>
      </c>
      <c r="L142" s="55">
        <f t="shared" si="131"/>
        <v>42844.93049405059</v>
      </c>
      <c r="M142" s="55">
        <f t="shared" si="131"/>
        <v>45773.558074365304</v>
      </c>
      <c r="N142" s="70">
        <f t="shared" si="91"/>
        <v>45297.837416711205</v>
      </c>
      <c r="O142" s="54">
        <v>4</v>
      </c>
      <c r="P142" s="71">
        <f t="shared" si="92"/>
        <v>76</v>
      </c>
      <c r="Q142" s="85">
        <f t="shared" si="103"/>
        <v>11324.459354177801</v>
      </c>
      <c r="R142" s="55">
        <f t="shared" si="93"/>
        <v>2253.0344029647667</v>
      </c>
      <c r="S142" s="55">
        <f t="shared" si="94"/>
        <v>4.9738233245845441E-2</v>
      </c>
      <c r="T142" s="55"/>
      <c r="U142" s="55"/>
      <c r="W142" s="273"/>
      <c r="X142" s="273"/>
    </row>
    <row r="143" spans="1:24" ht="12.75">
      <c r="A143" s="42" t="s">
        <v>156</v>
      </c>
      <c r="B143" s="53" t="s">
        <v>16</v>
      </c>
      <c r="C143" s="42">
        <v>44041</v>
      </c>
      <c r="D143" s="53">
        <v>362.5</v>
      </c>
      <c r="E143" s="53">
        <v>1.5132000000000001</v>
      </c>
      <c r="F143" s="53">
        <v>1.5327</v>
      </c>
      <c r="G143" s="53">
        <v>1.6002000000000001</v>
      </c>
      <c r="H143" s="53">
        <v>238</v>
      </c>
      <c r="I143" s="53">
        <v>189</v>
      </c>
      <c r="J143" s="53">
        <v>203</v>
      </c>
      <c r="K143" s="55">
        <f t="shared" ref="K143:M143" si="132">$D143/E143*H143</f>
        <v>57014.935236584723</v>
      </c>
      <c r="L143" s="55">
        <f t="shared" si="132"/>
        <v>44700.52847915444</v>
      </c>
      <c r="M143" s="55">
        <f t="shared" si="132"/>
        <v>45986.439195100611</v>
      </c>
      <c r="N143" s="70">
        <f t="shared" si="91"/>
        <v>49233.967636946589</v>
      </c>
      <c r="O143" s="54">
        <v>4</v>
      </c>
      <c r="P143" s="71">
        <f t="shared" si="92"/>
        <v>90.625</v>
      </c>
      <c r="Q143" s="85">
        <f t="shared" si="103"/>
        <v>12308.491909236647</v>
      </c>
      <c r="R143" s="55">
        <f t="shared" si="93"/>
        <v>6769.1198971734948</v>
      </c>
      <c r="S143" s="55">
        <f t="shared" si="94"/>
        <v>0.13748881558945805</v>
      </c>
      <c r="T143" s="55"/>
      <c r="U143" s="55"/>
      <c r="W143" s="273"/>
      <c r="X143" s="273"/>
    </row>
    <row r="144" spans="1:24" ht="12.75">
      <c r="A144" s="42" t="s">
        <v>156</v>
      </c>
      <c r="B144" s="53" t="s">
        <v>11</v>
      </c>
      <c r="C144" s="42">
        <v>44041</v>
      </c>
      <c r="D144" s="53">
        <v>403.5</v>
      </c>
      <c r="E144" s="53">
        <v>1.7628999999999999</v>
      </c>
      <c r="F144" s="53">
        <v>1.5549999999999999</v>
      </c>
      <c r="G144" s="53">
        <v>1.5701000000000001</v>
      </c>
      <c r="H144" s="53">
        <v>230</v>
      </c>
      <c r="I144" s="53">
        <v>216</v>
      </c>
      <c r="J144" s="53">
        <v>239</v>
      </c>
      <c r="K144" s="55">
        <f t="shared" ref="K144:M144" si="133">$D144/E144*H144</f>
        <v>52643.371717057125</v>
      </c>
      <c r="L144" s="55">
        <f t="shared" si="133"/>
        <v>56048.874598070739</v>
      </c>
      <c r="M144" s="55">
        <f t="shared" si="133"/>
        <v>61420.610152219604</v>
      </c>
      <c r="N144" s="70">
        <f t="shared" si="91"/>
        <v>56704.285489115828</v>
      </c>
      <c r="O144" s="54">
        <v>5</v>
      </c>
      <c r="P144" s="71">
        <f t="shared" si="92"/>
        <v>80.7</v>
      </c>
      <c r="Q144" s="85">
        <f t="shared" si="103"/>
        <v>11340.857097823166</v>
      </c>
      <c r="R144" s="55">
        <f t="shared" si="93"/>
        <v>4425.1724501988338</v>
      </c>
      <c r="S144" s="55">
        <f t="shared" si="94"/>
        <v>7.8039471126890914E-2</v>
      </c>
      <c r="T144" s="55"/>
      <c r="U144" s="55"/>
      <c r="W144" s="273"/>
      <c r="X144" s="273"/>
    </row>
    <row r="145" spans="1:24" ht="12.75">
      <c r="A145" s="42" t="s">
        <v>156</v>
      </c>
      <c r="B145" s="53" t="s">
        <v>16</v>
      </c>
      <c r="C145" s="42">
        <v>44041</v>
      </c>
      <c r="D145" s="53">
        <v>296</v>
      </c>
      <c r="E145" s="53">
        <v>1.5106999999999999</v>
      </c>
      <c r="F145" s="53">
        <v>1.5097</v>
      </c>
      <c r="G145" s="53">
        <v>1.5716000000000001</v>
      </c>
      <c r="H145" s="53">
        <v>352</v>
      </c>
      <c r="I145" s="53">
        <v>346</v>
      </c>
      <c r="J145" s="53">
        <v>389</v>
      </c>
      <c r="K145" s="55">
        <f t="shared" ref="K145:M145" si="134">$D145/E145*H145</f>
        <v>68969.35195604687</v>
      </c>
      <c r="L145" s="55">
        <f t="shared" si="134"/>
        <v>67838.643439093867</v>
      </c>
      <c r="M145" s="55">
        <f t="shared" si="134"/>
        <v>73265.461949605495</v>
      </c>
      <c r="N145" s="70">
        <f t="shared" si="91"/>
        <v>70024.485781582072</v>
      </c>
      <c r="O145" s="54">
        <v>7</v>
      </c>
      <c r="P145" s="71">
        <f t="shared" si="92"/>
        <v>42.285714285714285</v>
      </c>
      <c r="Q145" s="85">
        <f t="shared" si="103"/>
        <v>10003.497968797439</v>
      </c>
      <c r="R145" s="55">
        <f t="shared" si="93"/>
        <v>2863.1399422398713</v>
      </c>
      <c r="S145" s="55">
        <f t="shared" si="94"/>
        <v>4.088769678609961E-2</v>
      </c>
      <c r="T145" s="55"/>
      <c r="U145" s="55"/>
      <c r="W145" s="273"/>
      <c r="X145" s="273"/>
    </row>
    <row r="146" spans="1:24" ht="12.75">
      <c r="A146" s="42" t="s">
        <v>156</v>
      </c>
      <c r="B146" s="53" t="s">
        <v>11</v>
      </c>
      <c r="C146" s="42">
        <v>44041</v>
      </c>
      <c r="D146" s="53">
        <v>359.5</v>
      </c>
      <c r="E146" s="53">
        <v>1.327</v>
      </c>
      <c r="F146" s="53">
        <v>1.3505</v>
      </c>
      <c r="G146" s="53">
        <v>1.3189</v>
      </c>
      <c r="H146" s="53">
        <v>188</v>
      </c>
      <c r="I146" s="53">
        <v>220</v>
      </c>
      <c r="J146" s="53">
        <v>209</v>
      </c>
      <c r="K146" s="55">
        <f t="shared" ref="K146:M146" si="135">$D146/E146*H146</f>
        <v>50931.424265259986</v>
      </c>
      <c r="L146" s="55">
        <f t="shared" si="135"/>
        <v>58563.495001851159</v>
      </c>
      <c r="M146" s="55">
        <f t="shared" si="135"/>
        <v>56968.30692243536</v>
      </c>
      <c r="N146" s="70">
        <f t="shared" si="91"/>
        <v>55487.742063182166</v>
      </c>
      <c r="O146" s="54">
        <v>5</v>
      </c>
      <c r="P146" s="71">
        <f t="shared" si="92"/>
        <v>71.900000000000006</v>
      </c>
      <c r="Q146" s="85">
        <f t="shared" si="103"/>
        <v>11097.548412636434</v>
      </c>
      <c r="R146" s="55">
        <f t="shared" si="93"/>
        <v>4025.6900227072128</v>
      </c>
      <c r="S146" s="55">
        <f t="shared" si="94"/>
        <v>7.2550979243727109E-2</v>
      </c>
      <c r="T146" s="55"/>
      <c r="U146" s="55"/>
      <c r="W146" s="273"/>
      <c r="X146" s="273"/>
    </row>
    <row r="147" spans="1:24" ht="12.75">
      <c r="A147" s="42" t="s">
        <v>156</v>
      </c>
      <c r="B147" s="53" t="s">
        <v>24</v>
      </c>
      <c r="C147" s="53" t="s">
        <v>157</v>
      </c>
      <c r="D147" s="53">
        <v>416.5</v>
      </c>
      <c r="E147" s="53">
        <v>1.8874</v>
      </c>
      <c r="F147" s="53">
        <v>1.6902999999999999</v>
      </c>
      <c r="G147" s="53">
        <v>1.7213000000000001</v>
      </c>
      <c r="H147" s="53">
        <v>278</v>
      </c>
      <c r="I147" s="53">
        <v>279</v>
      </c>
      <c r="J147" s="53">
        <v>264</v>
      </c>
      <c r="K147" s="55">
        <f t="shared" ref="K147:M147" si="136">$D147/E147*H147</f>
        <v>61347.356151319276</v>
      </c>
      <c r="L147" s="55">
        <f t="shared" si="136"/>
        <v>68747.263799325563</v>
      </c>
      <c r="M147" s="55">
        <f t="shared" si="136"/>
        <v>63879.625864172427</v>
      </c>
      <c r="N147" s="70">
        <f t="shared" si="91"/>
        <v>64658.081938272422</v>
      </c>
      <c r="O147" s="54">
        <f>ROUNDDOWN(N147/10000,0)</f>
        <v>6</v>
      </c>
      <c r="P147" s="71">
        <f>D147/O147</f>
        <v>69.416666666666671</v>
      </c>
      <c r="Q147" s="85">
        <f t="shared" si="103"/>
        <v>10776.34698971207</v>
      </c>
      <c r="R147" s="55">
        <f t="shared" si="93"/>
        <v>3760.8714009166633</v>
      </c>
      <c r="S147" s="55">
        <f t="shared" si="94"/>
        <v>5.8165526847936508E-2</v>
      </c>
      <c r="T147" s="55"/>
      <c r="U147" s="55"/>
      <c r="W147" s="273"/>
      <c r="X147" s="273"/>
    </row>
    <row r="148" spans="1:24" ht="12.75">
      <c r="A148" s="42" t="s">
        <v>158</v>
      </c>
      <c r="B148" s="53" t="s">
        <v>8</v>
      </c>
      <c r="C148" s="80">
        <v>44047</v>
      </c>
      <c r="D148" s="53">
        <v>114.5</v>
      </c>
      <c r="E148" s="53">
        <v>1.2998000000000001</v>
      </c>
      <c r="F148" s="53">
        <v>1.3293999999999999</v>
      </c>
      <c r="G148" s="53">
        <v>1.3352999999999999</v>
      </c>
      <c r="H148" s="53">
        <v>393</v>
      </c>
      <c r="I148" s="53">
        <v>401</v>
      </c>
      <c r="J148" s="53">
        <v>475</v>
      </c>
      <c r="K148" s="55">
        <f t="shared" ref="K148:M148" si="137">$D148/E148*H148</f>
        <v>34619.556854900751</v>
      </c>
      <c r="L148" s="55">
        <f t="shared" si="137"/>
        <v>34537.761396118549</v>
      </c>
      <c r="M148" s="55">
        <f t="shared" si="137"/>
        <v>40730.547442522286</v>
      </c>
      <c r="N148" s="70">
        <f t="shared" ref="N148" si="138">AVERAGE(K148:M148)</f>
        <v>36629.288564513867</v>
      </c>
      <c r="O148" s="54">
        <f t="shared" ref="O148:O159" si="139">ROUNDDOWN(N148/10000,0)</f>
        <v>3</v>
      </c>
      <c r="P148" s="71">
        <f t="shared" ref="P148" si="140">D148/O148</f>
        <v>38.166666666666664</v>
      </c>
      <c r="Q148" s="85">
        <f t="shared" si="103"/>
        <v>12209.762854837956</v>
      </c>
      <c r="R148" s="55">
        <f t="shared" si="93"/>
        <v>3552.0298299143733</v>
      </c>
      <c r="S148" s="55">
        <f t="shared" si="94"/>
        <v>9.6972394745213492E-2</v>
      </c>
      <c r="T148" s="55"/>
      <c r="U148" s="55"/>
      <c r="W148" s="273"/>
      <c r="X148" s="273"/>
    </row>
    <row r="149" spans="1:24" ht="12.75">
      <c r="A149" s="42" t="s">
        <v>158</v>
      </c>
      <c r="B149" s="53" t="s">
        <v>24</v>
      </c>
      <c r="C149" s="80">
        <v>44047</v>
      </c>
      <c r="D149" s="53">
        <v>110</v>
      </c>
      <c r="E149" s="53">
        <v>1.3262</v>
      </c>
      <c r="F149" s="53">
        <v>1.333</v>
      </c>
      <c r="G149" s="53">
        <v>1.3281000000000001</v>
      </c>
      <c r="H149" s="53">
        <v>667</v>
      </c>
      <c r="I149" s="53">
        <v>524</v>
      </c>
      <c r="J149" s="53">
        <v>488</v>
      </c>
      <c r="K149" s="55">
        <f t="shared" ref="K149:K163" si="141">$D149/E149*H149</f>
        <v>55323.480621324081</v>
      </c>
      <c r="L149" s="55">
        <f t="shared" ref="L149:L163" si="142">$D149/F149*I149</f>
        <v>43240.810202550638</v>
      </c>
      <c r="M149" s="55">
        <f t="shared" ref="M149:M163" si="143">$D149/G149*J149</f>
        <v>40418.643174459758</v>
      </c>
      <c r="N149" s="70">
        <f t="shared" ref="N149:N163" si="144">AVERAGE(K149:M149)</f>
        <v>46327.644666111497</v>
      </c>
      <c r="O149" s="54">
        <f t="shared" si="139"/>
        <v>4</v>
      </c>
      <c r="P149" s="71">
        <f t="shared" ref="P149:P163" si="145">D149/O149</f>
        <v>27.5</v>
      </c>
      <c r="Q149" s="85">
        <f t="shared" si="103"/>
        <v>11581.911166527874</v>
      </c>
      <c r="R149" s="55">
        <f t="shared" ref="R149:R163" si="146">STDEV(K149:M149)</f>
        <v>7917.3830956593356</v>
      </c>
      <c r="S149" s="55">
        <f t="shared" ref="S149:S163" si="147">R149/N149</f>
        <v>0.17089975440626862</v>
      </c>
      <c r="T149" s="55"/>
      <c r="U149" s="55"/>
      <c r="V149" s="53" t="s">
        <v>159</v>
      </c>
      <c r="W149" s="273"/>
      <c r="X149" s="273"/>
    </row>
    <row r="150" spans="1:24" ht="12.75">
      <c r="A150" s="42" t="s">
        <v>160</v>
      </c>
      <c r="B150" s="53" t="s">
        <v>8</v>
      </c>
      <c r="C150" s="80">
        <v>44047</v>
      </c>
      <c r="D150" s="53">
        <v>235</v>
      </c>
      <c r="E150" s="53">
        <v>1.2425999999999999</v>
      </c>
      <c r="F150" s="53">
        <v>1.2884</v>
      </c>
      <c r="G150" s="53">
        <v>1.2887999999999999</v>
      </c>
      <c r="H150" s="53">
        <v>388</v>
      </c>
      <c r="I150" s="53">
        <v>439</v>
      </c>
      <c r="J150" s="53">
        <v>393</v>
      </c>
      <c r="K150" s="55">
        <f t="shared" si="141"/>
        <v>73378.400128762281</v>
      </c>
      <c r="L150" s="55">
        <f t="shared" si="142"/>
        <v>80072.182552002487</v>
      </c>
      <c r="M150" s="55">
        <f t="shared" si="143"/>
        <v>71659.683426443211</v>
      </c>
      <c r="N150" s="70">
        <f t="shared" si="144"/>
        <v>75036.755369069331</v>
      </c>
      <c r="O150" s="54">
        <f t="shared" si="139"/>
        <v>7</v>
      </c>
      <c r="P150" s="71">
        <f t="shared" si="145"/>
        <v>33.571428571428569</v>
      </c>
      <c r="Q150" s="85">
        <f t="shared" si="103"/>
        <v>10719.53648129562</v>
      </c>
      <c r="R150" s="55">
        <f t="shared" si="146"/>
        <v>4444.6756868948578</v>
      </c>
      <c r="S150" s="55">
        <f t="shared" si="147"/>
        <v>5.9233313927736592E-2</v>
      </c>
      <c r="T150" s="55"/>
      <c r="U150" s="55"/>
      <c r="V150" s="53" t="s">
        <v>161</v>
      </c>
      <c r="W150" s="273"/>
      <c r="X150" s="273"/>
    </row>
    <row r="151" spans="1:24" ht="12.75">
      <c r="A151" s="42" t="s">
        <v>158</v>
      </c>
      <c r="B151" s="53" t="s">
        <v>16</v>
      </c>
      <c r="C151" s="80">
        <v>44047</v>
      </c>
      <c r="D151" s="53">
        <v>322.5</v>
      </c>
      <c r="E151" s="53">
        <v>1.4977</v>
      </c>
      <c r="F151" s="53">
        <v>1.4774</v>
      </c>
      <c r="G151" s="53">
        <v>1.5506</v>
      </c>
      <c r="H151" s="53">
        <v>206</v>
      </c>
      <c r="I151" s="53">
        <v>207</v>
      </c>
      <c r="J151" s="53">
        <v>221</v>
      </c>
      <c r="K151" s="55">
        <f t="shared" si="141"/>
        <v>44358.01562395673</v>
      </c>
      <c r="L151" s="55">
        <f t="shared" si="142"/>
        <v>45185.799377284413</v>
      </c>
      <c r="M151" s="55">
        <f t="shared" si="143"/>
        <v>45964.46536824455</v>
      </c>
      <c r="N151" s="70">
        <f t="shared" si="144"/>
        <v>45169.426789828554</v>
      </c>
      <c r="O151" s="54">
        <f t="shared" si="139"/>
        <v>4</v>
      </c>
      <c r="P151" s="71">
        <f t="shared" si="145"/>
        <v>80.625</v>
      </c>
      <c r="Q151" s="85">
        <f t="shared" si="103"/>
        <v>11292.356697457139</v>
      </c>
      <c r="R151" s="55">
        <f t="shared" si="146"/>
        <v>803.35001179162259</v>
      </c>
      <c r="S151" s="55">
        <f t="shared" si="147"/>
        <v>1.7785260271944041E-2</v>
      </c>
      <c r="T151" s="55"/>
      <c r="U151" s="55"/>
      <c r="W151" s="273"/>
      <c r="X151" s="273"/>
    </row>
    <row r="152" spans="1:24" ht="12.75">
      <c r="A152" s="42" t="s">
        <v>158</v>
      </c>
      <c r="B152" s="53" t="s">
        <v>11</v>
      </c>
      <c r="C152" s="80">
        <v>44047</v>
      </c>
      <c r="D152" s="53">
        <v>149</v>
      </c>
      <c r="E152" s="53">
        <v>1.8218000000000001</v>
      </c>
      <c r="F152" s="53">
        <v>1.4776</v>
      </c>
      <c r="G152" s="53">
        <v>1.6085</v>
      </c>
      <c r="H152" s="53">
        <v>428</v>
      </c>
      <c r="I152" s="53">
        <v>379</v>
      </c>
      <c r="J152" s="53">
        <v>381</v>
      </c>
      <c r="K152" s="55">
        <f t="shared" si="141"/>
        <v>35004.940169063557</v>
      </c>
      <c r="L152" s="55">
        <f t="shared" si="142"/>
        <v>38218.056307525716</v>
      </c>
      <c r="M152" s="55">
        <f t="shared" si="143"/>
        <v>35293.130245570406</v>
      </c>
      <c r="N152" s="70">
        <f t="shared" si="144"/>
        <v>36172.042240719893</v>
      </c>
      <c r="O152" s="54">
        <f t="shared" si="139"/>
        <v>3</v>
      </c>
      <c r="P152" s="71">
        <f t="shared" si="145"/>
        <v>49.666666666666664</v>
      </c>
      <c r="Q152" s="85">
        <f t="shared" si="103"/>
        <v>12057.347413573298</v>
      </c>
      <c r="R152" s="55">
        <f t="shared" si="146"/>
        <v>1777.7495749471389</v>
      </c>
      <c r="S152" s="55">
        <f t="shared" si="147"/>
        <v>4.9147061233547819E-2</v>
      </c>
      <c r="T152" s="55"/>
      <c r="U152" s="55"/>
      <c r="W152" s="273"/>
      <c r="X152" s="273"/>
    </row>
    <row r="153" spans="1:24" ht="12.75">
      <c r="A153" s="42" t="s">
        <v>158</v>
      </c>
      <c r="B153" s="53" t="s">
        <v>11</v>
      </c>
      <c r="C153" s="80">
        <v>44047</v>
      </c>
      <c r="D153" s="53">
        <v>185.5</v>
      </c>
      <c r="E153" s="53">
        <v>1.6238999999999999</v>
      </c>
      <c r="F153" s="53">
        <v>1.6751</v>
      </c>
      <c r="G153" s="53">
        <v>1.7604</v>
      </c>
      <c r="H153" s="53">
        <v>169</v>
      </c>
      <c r="I153" s="53">
        <v>125</v>
      </c>
      <c r="J153" s="53">
        <v>169</v>
      </c>
      <c r="K153" s="55">
        <f t="shared" si="141"/>
        <v>19305.068046061951</v>
      </c>
      <c r="L153" s="55">
        <f t="shared" si="142"/>
        <v>13842.457166736313</v>
      </c>
      <c r="M153" s="55">
        <f t="shared" si="143"/>
        <v>17808.168598045897</v>
      </c>
      <c r="N153" s="70">
        <f t="shared" si="144"/>
        <v>16985.231270281391</v>
      </c>
      <c r="O153" s="54">
        <f t="shared" si="139"/>
        <v>1</v>
      </c>
      <c r="P153" s="71">
        <f t="shared" si="145"/>
        <v>185.5</v>
      </c>
      <c r="Q153" s="85">
        <f t="shared" si="103"/>
        <v>16985.231270281391</v>
      </c>
      <c r="R153" s="55">
        <f t="shared" si="146"/>
        <v>2822.7555311791957</v>
      </c>
      <c r="S153" s="55">
        <f t="shared" si="147"/>
        <v>0.16618881934908336</v>
      </c>
      <c r="T153" s="55"/>
      <c r="U153" s="55"/>
      <c r="W153" s="273"/>
      <c r="X153" s="273"/>
    </row>
    <row r="154" spans="1:24" ht="12.75">
      <c r="A154" s="42" t="s">
        <v>158</v>
      </c>
      <c r="B154" s="53" t="s">
        <v>11</v>
      </c>
      <c r="C154" s="80">
        <v>44047</v>
      </c>
      <c r="D154" s="53">
        <v>180.5</v>
      </c>
      <c r="E154" s="53">
        <v>1.4943</v>
      </c>
      <c r="F154" s="53">
        <v>1.6574</v>
      </c>
      <c r="G154" s="53">
        <v>1.5406</v>
      </c>
      <c r="H154" s="53">
        <v>150</v>
      </c>
      <c r="I154" s="53">
        <v>226</v>
      </c>
      <c r="J154" s="53">
        <v>241</v>
      </c>
      <c r="K154" s="55">
        <f t="shared" si="141"/>
        <v>18118.851636217627</v>
      </c>
      <c r="L154" s="55">
        <f t="shared" si="142"/>
        <v>24612.646313503075</v>
      </c>
      <c r="M154" s="55">
        <f t="shared" si="143"/>
        <v>28236.076853174091</v>
      </c>
      <c r="N154" s="70">
        <f t="shared" si="144"/>
        <v>23655.858267631596</v>
      </c>
      <c r="O154" s="54">
        <f t="shared" si="139"/>
        <v>2</v>
      </c>
      <c r="P154" s="71">
        <f t="shared" si="145"/>
        <v>90.25</v>
      </c>
      <c r="Q154" s="85">
        <f t="shared" si="103"/>
        <v>11827.929133815798</v>
      </c>
      <c r="R154" s="55">
        <f t="shared" si="146"/>
        <v>5126.0261456802045</v>
      </c>
      <c r="S154" s="55">
        <f t="shared" si="147"/>
        <v>0.21669161556882366</v>
      </c>
      <c r="T154" s="55"/>
      <c r="U154" s="55"/>
      <c r="W154" s="273"/>
      <c r="X154" s="273"/>
    </row>
    <row r="155" spans="1:24" ht="12.75">
      <c r="A155" s="42" t="s">
        <v>160</v>
      </c>
      <c r="B155" s="53" t="s">
        <v>11</v>
      </c>
      <c r="C155" s="80">
        <v>44047</v>
      </c>
      <c r="D155" s="53">
        <v>192</v>
      </c>
      <c r="E155" s="53">
        <v>1.7546999999999999</v>
      </c>
      <c r="F155" s="53">
        <v>1.8398000000000001</v>
      </c>
      <c r="G155" s="53">
        <v>1.6860999999999999</v>
      </c>
      <c r="H155" s="53">
        <v>294</v>
      </c>
      <c r="I155" s="53">
        <v>304</v>
      </c>
      <c r="J155" s="53">
        <v>320</v>
      </c>
      <c r="K155" s="55">
        <f>$D155/E155*H155</f>
        <v>32169.60164130621</v>
      </c>
      <c r="L155" s="55">
        <f>$D155/F155*I155</f>
        <v>31725.187520382646</v>
      </c>
      <c r="M155" s="55">
        <f t="shared" si="143"/>
        <v>36439.119862404368</v>
      </c>
      <c r="N155" s="70">
        <f t="shared" si="144"/>
        <v>33444.636341364407</v>
      </c>
      <c r="O155" s="54">
        <f t="shared" si="139"/>
        <v>3</v>
      </c>
      <c r="P155" s="71">
        <f t="shared" si="145"/>
        <v>64</v>
      </c>
      <c r="Q155" s="85">
        <f t="shared" si="103"/>
        <v>11148.212113788135</v>
      </c>
      <c r="R155" s="55">
        <f t="shared" si="146"/>
        <v>2602.8013074481837</v>
      </c>
      <c r="S155" s="55">
        <f t="shared" si="147"/>
        <v>7.7824177272605974E-2</v>
      </c>
      <c r="T155" s="55"/>
      <c r="U155" s="55"/>
      <c r="W155" s="273"/>
      <c r="X155" s="273"/>
    </row>
    <row r="156" spans="1:24" ht="12.75">
      <c r="A156" s="42" t="s">
        <v>160</v>
      </c>
      <c r="B156" s="53" t="s">
        <v>11</v>
      </c>
      <c r="C156" s="80">
        <v>44047</v>
      </c>
      <c r="D156" s="53">
        <v>214.5</v>
      </c>
      <c r="E156" s="53">
        <v>1.5728</v>
      </c>
      <c r="F156" s="53">
        <v>1.5094000000000001</v>
      </c>
      <c r="G156" s="53">
        <v>1.5069999999999999</v>
      </c>
      <c r="H156" s="53">
        <v>274</v>
      </c>
      <c r="I156" s="53">
        <v>310</v>
      </c>
      <c r="J156" s="53">
        <v>286</v>
      </c>
      <c r="K156" s="55">
        <f t="shared" si="141"/>
        <v>37368.387589013219</v>
      </c>
      <c r="L156" s="55">
        <f t="shared" si="142"/>
        <v>44053.928713396053</v>
      </c>
      <c r="M156" s="55">
        <f t="shared" si="143"/>
        <v>40708.029197080294</v>
      </c>
      <c r="N156" s="70">
        <f t="shared" si="144"/>
        <v>40710.115166496522</v>
      </c>
      <c r="O156" s="54">
        <f t="shared" si="139"/>
        <v>4</v>
      </c>
      <c r="P156" s="71">
        <f t="shared" si="145"/>
        <v>53.625</v>
      </c>
      <c r="Q156" s="85">
        <f t="shared" si="103"/>
        <v>10177.52879162413</v>
      </c>
      <c r="R156" s="55">
        <f t="shared" si="146"/>
        <v>3342.7710503270832</v>
      </c>
      <c r="S156" s="55">
        <f t="shared" si="147"/>
        <v>8.211155966166625E-2</v>
      </c>
      <c r="T156" s="55"/>
      <c r="U156" s="55"/>
      <c r="W156" s="273"/>
      <c r="X156" s="273"/>
    </row>
    <row r="157" spans="1:24" ht="12.75">
      <c r="A157" s="42" t="s">
        <v>160</v>
      </c>
      <c r="B157" s="53" t="s">
        <v>16</v>
      </c>
      <c r="C157" s="80">
        <v>44047</v>
      </c>
      <c r="D157" s="53">
        <v>242</v>
      </c>
      <c r="E157" s="53">
        <v>1.7292000000000001</v>
      </c>
      <c r="F157" s="53">
        <v>1.8105</v>
      </c>
      <c r="G157" s="53">
        <v>1.6990000000000001</v>
      </c>
      <c r="H157" s="53">
        <v>303</v>
      </c>
      <c r="I157" s="53">
        <v>344</v>
      </c>
      <c r="J157" s="53">
        <v>295</v>
      </c>
      <c r="K157" s="55">
        <f t="shared" si="141"/>
        <v>42404.580152671748</v>
      </c>
      <c r="L157" s="55">
        <f t="shared" si="142"/>
        <v>45980.668323667494</v>
      </c>
      <c r="M157" s="55">
        <f t="shared" si="143"/>
        <v>42018.834608593294</v>
      </c>
      <c r="N157" s="70">
        <f t="shared" si="144"/>
        <v>43468.027694977507</v>
      </c>
      <c r="O157" s="54">
        <f t="shared" si="139"/>
        <v>4</v>
      </c>
      <c r="P157" s="71">
        <f t="shared" si="145"/>
        <v>60.5</v>
      </c>
      <c r="Q157" s="85">
        <f t="shared" si="103"/>
        <v>10867.006923744377</v>
      </c>
      <c r="R157" s="55">
        <f t="shared" si="146"/>
        <v>2184.5416230646165</v>
      </c>
      <c r="S157" s="55">
        <f t="shared" si="147"/>
        <v>5.0256285801461111E-2</v>
      </c>
      <c r="T157" s="55"/>
      <c r="U157" s="55"/>
      <c r="W157" s="273"/>
      <c r="X157" s="273"/>
    </row>
    <row r="158" spans="1:24" ht="12.75">
      <c r="A158" s="42" t="s">
        <v>160</v>
      </c>
      <c r="B158" s="53" t="s">
        <v>16</v>
      </c>
      <c r="C158" s="80">
        <v>44047</v>
      </c>
      <c r="D158" s="53">
        <v>119</v>
      </c>
      <c r="E158" s="53">
        <v>1.5862000000000001</v>
      </c>
      <c r="F158" s="53">
        <v>1.5061</v>
      </c>
      <c r="G158" s="53">
        <v>1.7096</v>
      </c>
      <c r="H158" s="53">
        <v>406</v>
      </c>
      <c r="I158" s="53">
        <v>400</v>
      </c>
      <c r="J158" s="53">
        <v>423</v>
      </c>
      <c r="K158" s="55">
        <f t="shared" si="141"/>
        <v>30458.958517210944</v>
      </c>
      <c r="L158" s="55">
        <f t="shared" si="142"/>
        <v>31604.807117721266</v>
      </c>
      <c r="M158" s="55">
        <f t="shared" si="143"/>
        <v>29443.729527374824</v>
      </c>
      <c r="N158" s="70">
        <f t="shared" si="144"/>
        <v>30502.498387435673</v>
      </c>
      <c r="O158" s="54">
        <f t="shared" si="139"/>
        <v>3</v>
      </c>
      <c r="P158" s="71">
        <f t="shared" si="145"/>
        <v>39.666666666666664</v>
      </c>
      <c r="Q158" s="85">
        <f t="shared" si="103"/>
        <v>10167.499462478558</v>
      </c>
      <c r="R158" s="55">
        <f t="shared" si="146"/>
        <v>1081.1965029997025</v>
      </c>
      <c r="S158" s="55">
        <f t="shared" si="147"/>
        <v>3.5446162123069225E-2</v>
      </c>
      <c r="T158" s="55"/>
      <c r="U158" s="55"/>
      <c r="W158" s="273"/>
      <c r="X158" s="273"/>
    </row>
    <row r="159" spans="1:24" ht="12.75">
      <c r="A159" s="42" t="s">
        <v>162</v>
      </c>
      <c r="B159" s="53" t="s">
        <v>11</v>
      </c>
      <c r="C159" s="80">
        <v>44049</v>
      </c>
      <c r="D159" s="53">
        <v>342</v>
      </c>
      <c r="E159" s="53">
        <v>1.9456</v>
      </c>
      <c r="F159" s="53">
        <v>1.9346000000000001</v>
      </c>
      <c r="G159" s="53">
        <v>1.9273</v>
      </c>
      <c r="H159" s="53">
        <v>357</v>
      </c>
      <c r="I159" s="53">
        <v>342</v>
      </c>
      <c r="J159" s="53">
        <v>346</v>
      </c>
      <c r="K159" s="55">
        <f t="shared" si="141"/>
        <v>62753.90625</v>
      </c>
      <c r="L159" s="55">
        <f t="shared" si="142"/>
        <v>60459.009614390568</v>
      </c>
      <c r="M159" s="55">
        <f t="shared" si="143"/>
        <v>61397.810408343277</v>
      </c>
      <c r="N159" s="70">
        <f t="shared" si="144"/>
        <v>61536.908757577949</v>
      </c>
      <c r="O159" s="54">
        <f t="shared" si="139"/>
        <v>6</v>
      </c>
      <c r="P159" s="71">
        <f t="shared" si="145"/>
        <v>57</v>
      </c>
      <c r="Q159" s="85">
        <f t="shared" si="103"/>
        <v>10256.151459596325</v>
      </c>
      <c r="R159" s="55">
        <f t="shared" si="146"/>
        <v>1153.7542654754218</v>
      </c>
      <c r="S159" s="55">
        <f t="shared" si="147"/>
        <v>1.8748979901161235E-2</v>
      </c>
      <c r="T159" s="55"/>
      <c r="U159" s="55"/>
      <c r="W159" s="273"/>
      <c r="X159" s="273"/>
    </row>
    <row r="160" spans="1:24" ht="12.75">
      <c r="A160" s="42" t="s">
        <v>163</v>
      </c>
      <c r="B160" s="53" t="s">
        <v>16</v>
      </c>
      <c r="C160" s="80">
        <v>44049</v>
      </c>
      <c r="D160" s="53">
        <v>130.5</v>
      </c>
      <c r="E160" s="53">
        <v>1.9213</v>
      </c>
      <c r="F160" s="53">
        <v>2.0124</v>
      </c>
      <c r="G160" s="53">
        <v>1.7119</v>
      </c>
      <c r="H160" s="53">
        <v>471</v>
      </c>
      <c r="I160" s="53">
        <v>473</v>
      </c>
      <c r="J160" s="53">
        <v>434</v>
      </c>
      <c r="K160" s="55">
        <f t="shared" si="141"/>
        <v>31991.620257117575</v>
      </c>
      <c r="L160" s="55">
        <f t="shared" si="142"/>
        <v>30673.076923076926</v>
      </c>
      <c r="M160" s="55">
        <f t="shared" si="143"/>
        <v>33084.292306793621</v>
      </c>
      <c r="N160" s="70">
        <f t="shared" si="144"/>
        <v>31916.32982899604</v>
      </c>
      <c r="O160" s="54">
        <f>IF(ROUNDDOWN(N160/10000,0)=0,1,ROUNDDOWN(N160/10000,0))</f>
        <v>3</v>
      </c>
      <c r="P160" s="71">
        <f t="shared" si="145"/>
        <v>43.5</v>
      </c>
      <c r="Q160" s="85">
        <f t="shared" si="103"/>
        <v>10638.776609665347</v>
      </c>
      <c r="R160" s="55">
        <f t="shared" si="146"/>
        <v>1207.3696174299962</v>
      </c>
      <c r="S160" s="55">
        <f t="shared" si="147"/>
        <v>3.7829212315417887E-2</v>
      </c>
      <c r="T160" s="55"/>
      <c r="U160" s="55"/>
      <c r="W160" s="273"/>
      <c r="X160" s="273"/>
    </row>
    <row r="161" spans="1:24" ht="12.75">
      <c r="A161" s="42" t="s">
        <v>162</v>
      </c>
      <c r="B161" s="53" t="s">
        <v>8</v>
      </c>
      <c r="C161" s="80">
        <v>44049</v>
      </c>
      <c r="D161" s="53">
        <v>315</v>
      </c>
      <c r="E161" s="53">
        <v>1.7778</v>
      </c>
      <c r="F161" s="53">
        <v>2.0522</v>
      </c>
      <c r="G161" s="53">
        <v>1.9597</v>
      </c>
      <c r="H161" s="53">
        <v>307</v>
      </c>
      <c r="I161" s="53">
        <v>375</v>
      </c>
      <c r="J161" s="53">
        <v>342</v>
      </c>
      <c r="K161" s="55">
        <f t="shared" si="141"/>
        <v>54395.882551468108</v>
      </c>
      <c r="L161" s="55">
        <f t="shared" si="142"/>
        <v>57560.17931975441</v>
      </c>
      <c r="M161" s="55">
        <f t="shared" si="143"/>
        <v>54972.699903046385</v>
      </c>
      <c r="N161" s="70">
        <f t="shared" si="144"/>
        <v>55642.920591422968</v>
      </c>
      <c r="O161" s="54">
        <f t="shared" ref="O161:O198" si="148">IF(ROUNDDOWN(N161/10000,0)=0,1,ROUNDDOWN(N161/10000,0))</f>
        <v>5</v>
      </c>
      <c r="P161" s="71">
        <f t="shared" si="145"/>
        <v>63</v>
      </c>
      <c r="Q161" s="85">
        <f t="shared" si="103"/>
        <v>11128.584118284594</v>
      </c>
      <c r="R161" s="55">
        <f t="shared" si="146"/>
        <v>1685.256757231007</v>
      </c>
      <c r="S161" s="55">
        <f t="shared" si="147"/>
        <v>3.028699319371779E-2</v>
      </c>
      <c r="T161" s="55"/>
      <c r="U161" s="55"/>
      <c r="W161" s="273"/>
      <c r="X161" s="273"/>
    </row>
    <row r="162" spans="1:24" ht="12.75">
      <c r="A162" s="42" t="s">
        <v>163</v>
      </c>
      <c r="B162" s="53" t="s">
        <v>11</v>
      </c>
      <c r="C162" s="80">
        <v>44049</v>
      </c>
      <c r="D162" s="53">
        <v>123.5</v>
      </c>
      <c r="E162" s="53">
        <v>1.9294</v>
      </c>
      <c r="F162" s="53">
        <v>1.9964</v>
      </c>
      <c r="G162" s="53">
        <v>1.9569000000000001</v>
      </c>
      <c r="H162" s="53">
        <v>404</v>
      </c>
      <c r="I162" s="53">
        <v>420</v>
      </c>
      <c r="J162" s="53">
        <v>389</v>
      </c>
      <c r="K162" s="55">
        <f t="shared" si="141"/>
        <v>25859.85280398051</v>
      </c>
      <c r="L162" s="55">
        <f t="shared" si="142"/>
        <v>25981.767180925664</v>
      </c>
      <c r="M162" s="55">
        <f t="shared" si="143"/>
        <v>24549.798150135419</v>
      </c>
      <c r="N162" s="70">
        <f t="shared" si="144"/>
        <v>25463.806045013862</v>
      </c>
      <c r="O162" s="54">
        <f t="shared" si="148"/>
        <v>2</v>
      </c>
      <c r="P162" s="71">
        <f t="shared" si="145"/>
        <v>61.75</v>
      </c>
      <c r="Q162" s="85">
        <f t="shared" si="103"/>
        <v>12731.903022506931</v>
      </c>
      <c r="R162" s="55">
        <f t="shared" si="146"/>
        <v>793.8977281436047</v>
      </c>
      <c r="S162" s="55">
        <f t="shared" si="147"/>
        <v>3.1177496668808473E-2</v>
      </c>
      <c r="T162" s="55"/>
      <c r="U162" s="55"/>
      <c r="W162" s="273"/>
      <c r="X162" s="273"/>
    </row>
    <row r="163" spans="1:24" ht="12.75">
      <c r="A163" s="42" t="s">
        <v>163</v>
      </c>
      <c r="B163" s="53" t="s">
        <v>8</v>
      </c>
      <c r="C163" s="80">
        <v>44049</v>
      </c>
      <c r="D163" s="53">
        <v>108.5</v>
      </c>
      <c r="E163" s="53">
        <v>1.8771</v>
      </c>
      <c r="F163" s="53">
        <v>1.1998</v>
      </c>
      <c r="G163" s="53">
        <v>1.1772</v>
      </c>
      <c r="H163" s="53">
        <v>797</v>
      </c>
      <c r="I163" s="53">
        <v>510</v>
      </c>
      <c r="J163" s="53">
        <v>505</v>
      </c>
      <c r="K163" s="55">
        <f t="shared" si="141"/>
        <v>46068.137019871079</v>
      </c>
      <c r="L163" s="55">
        <f t="shared" si="142"/>
        <v>46120.186697782963</v>
      </c>
      <c r="M163" s="55">
        <f t="shared" si="143"/>
        <v>46544.767244308532</v>
      </c>
      <c r="N163" s="70">
        <f t="shared" si="144"/>
        <v>46244.36365398753</v>
      </c>
      <c r="O163" s="54">
        <f t="shared" si="148"/>
        <v>4</v>
      </c>
      <c r="P163" s="71">
        <f t="shared" si="145"/>
        <v>27.125</v>
      </c>
      <c r="Q163" s="85">
        <f t="shared" si="103"/>
        <v>11561.090913496882</v>
      </c>
      <c r="R163" s="55">
        <f t="shared" si="146"/>
        <v>261.45559862239782</v>
      </c>
      <c r="S163" s="55">
        <f t="shared" si="147"/>
        <v>5.6537830335103593E-3</v>
      </c>
      <c r="T163" s="55"/>
      <c r="U163" s="55"/>
      <c r="W163" s="273"/>
      <c r="X163" s="273"/>
    </row>
    <row r="164" spans="1:24" ht="12.75">
      <c r="A164" s="42" t="s">
        <v>162</v>
      </c>
      <c r="B164" s="53" t="s">
        <v>18</v>
      </c>
      <c r="C164" s="80">
        <v>44049</v>
      </c>
      <c r="D164" s="53">
        <v>149.5</v>
      </c>
      <c r="E164" s="53">
        <v>1.7827999999999999</v>
      </c>
      <c r="F164" s="53">
        <v>1.9283999999999999</v>
      </c>
      <c r="G164" s="53">
        <v>1.7615000000000001</v>
      </c>
      <c r="H164" s="53">
        <v>341</v>
      </c>
      <c r="I164" s="53">
        <v>417</v>
      </c>
      <c r="J164" s="53">
        <v>390</v>
      </c>
      <c r="K164" s="55">
        <f t="shared" ref="K164:K171" si="149">$D164/E164*H164</f>
        <v>28595.187345748262</v>
      </c>
      <c r="L164" s="55">
        <f t="shared" ref="L164:L171" si="150">$D164/F164*I164</f>
        <v>32328.095830740513</v>
      </c>
      <c r="M164" s="55">
        <f t="shared" ref="M164:M173" si="151">$D164/G164*J164</f>
        <v>33099.630996309963</v>
      </c>
      <c r="N164" s="70">
        <f t="shared" ref="N164:N171" si="152">AVERAGE(K164:M164)</f>
        <v>31340.971390932915</v>
      </c>
      <c r="O164" s="54">
        <f t="shared" si="148"/>
        <v>3</v>
      </c>
      <c r="P164" s="71">
        <f t="shared" ref="P164:P171" si="153">D164/O164</f>
        <v>49.833333333333336</v>
      </c>
      <c r="Q164" s="85">
        <f t="shared" si="103"/>
        <v>10446.990463644304</v>
      </c>
      <c r="R164" s="55">
        <f t="shared" ref="R164:R171" si="154">STDEV(K164:M164)</f>
        <v>2409.0068794049776</v>
      </c>
      <c r="S164" s="55">
        <f t="shared" ref="S164:S171" si="155">R164/N164</f>
        <v>7.6864461198605807E-2</v>
      </c>
      <c r="T164" s="55"/>
      <c r="U164" s="55"/>
      <c r="W164" s="273"/>
      <c r="X164" s="273"/>
    </row>
    <row r="165" spans="1:24" ht="12.75">
      <c r="A165" s="42" t="s">
        <v>162</v>
      </c>
      <c r="B165" s="53" t="s">
        <v>16</v>
      </c>
      <c r="C165" s="80">
        <v>44049</v>
      </c>
      <c r="D165" s="53">
        <v>333</v>
      </c>
      <c r="E165" s="53">
        <v>1.4458</v>
      </c>
      <c r="F165" s="53">
        <v>1.5438000000000001</v>
      </c>
      <c r="G165" s="53">
        <v>1.5019</v>
      </c>
      <c r="H165" s="53">
        <v>322</v>
      </c>
      <c r="I165" s="53">
        <v>367</v>
      </c>
      <c r="J165" s="53">
        <v>333</v>
      </c>
      <c r="K165" s="55">
        <f t="shared" si="149"/>
        <v>74163.784755844521</v>
      </c>
      <c r="L165" s="55">
        <f t="shared" si="150"/>
        <v>79162.456276719779</v>
      </c>
      <c r="M165" s="55">
        <f t="shared" si="151"/>
        <v>73832.478860110525</v>
      </c>
      <c r="N165" s="70">
        <f t="shared" si="152"/>
        <v>75719.57329755828</v>
      </c>
      <c r="O165" s="54">
        <f t="shared" si="148"/>
        <v>7</v>
      </c>
      <c r="P165" s="71">
        <f t="shared" si="153"/>
        <v>47.571428571428569</v>
      </c>
      <c r="Q165" s="85">
        <f t="shared" si="103"/>
        <v>10817.081899651183</v>
      </c>
      <c r="R165" s="55">
        <f t="shared" si="154"/>
        <v>2986.2222464657616</v>
      </c>
      <c r="S165" s="55">
        <f t="shared" si="155"/>
        <v>3.9437916993148955E-2</v>
      </c>
      <c r="T165" s="55"/>
      <c r="U165" s="55"/>
      <c r="W165" s="273"/>
      <c r="X165" s="273"/>
    </row>
    <row r="166" spans="1:24" ht="12.75">
      <c r="A166" s="42" t="s">
        <v>157</v>
      </c>
      <c r="B166" s="53" t="s">
        <v>8</v>
      </c>
      <c r="C166" s="80">
        <v>44057</v>
      </c>
      <c r="D166" s="53">
        <v>113</v>
      </c>
      <c r="E166" s="53">
        <v>1.4522999999999999</v>
      </c>
      <c r="F166" s="53">
        <v>1.3743000000000001</v>
      </c>
      <c r="G166" s="53">
        <v>1.4000999999999999</v>
      </c>
      <c r="H166" s="53">
        <v>241</v>
      </c>
      <c r="I166" s="53">
        <v>199</v>
      </c>
      <c r="J166" s="53">
        <v>180</v>
      </c>
      <c r="K166" s="55">
        <f t="shared" si="149"/>
        <v>18751.635337051575</v>
      </c>
      <c r="L166" s="55">
        <f t="shared" si="150"/>
        <v>16362.51182420141</v>
      </c>
      <c r="M166" s="55">
        <f t="shared" si="151"/>
        <v>14527.533747589459</v>
      </c>
      <c r="N166" s="70">
        <f t="shared" si="152"/>
        <v>16547.226969614148</v>
      </c>
      <c r="O166" s="54">
        <f t="shared" si="148"/>
        <v>1</v>
      </c>
      <c r="P166" s="71">
        <f t="shared" si="153"/>
        <v>113</v>
      </c>
      <c r="Q166" s="85">
        <f t="shared" si="103"/>
        <v>16547.226969614148</v>
      </c>
      <c r="R166" s="55">
        <f t="shared" si="154"/>
        <v>2118.1001683661493</v>
      </c>
      <c r="S166" s="55">
        <f t="shared" si="155"/>
        <v>0.12800333084544255</v>
      </c>
      <c r="T166" s="55"/>
      <c r="U166" s="55"/>
      <c r="W166" s="273"/>
      <c r="X166" s="273"/>
    </row>
    <row r="167" spans="1:24" ht="12.75">
      <c r="A167" s="42" t="s">
        <v>157</v>
      </c>
      <c r="B167" s="53" t="s">
        <v>19</v>
      </c>
      <c r="C167" s="80">
        <v>44057</v>
      </c>
      <c r="D167" s="53">
        <v>387.5</v>
      </c>
      <c r="E167" s="53">
        <v>1.6013999999999999</v>
      </c>
      <c r="F167" s="53">
        <v>1.5902000000000001</v>
      </c>
      <c r="G167" s="53">
        <v>1.5685</v>
      </c>
      <c r="H167" s="53">
        <v>171</v>
      </c>
      <c r="I167" s="53">
        <v>245</v>
      </c>
      <c r="J167" s="53">
        <v>154</v>
      </c>
      <c r="K167" s="55">
        <f t="shared" si="149"/>
        <v>41377.856875234174</v>
      </c>
      <c r="L167" s="55">
        <f t="shared" si="150"/>
        <v>59701.609860394914</v>
      </c>
      <c r="M167" s="55">
        <f t="shared" si="151"/>
        <v>38045.903729678037</v>
      </c>
      <c r="N167" s="70">
        <f t="shared" si="152"/>
        <v>46375.123488435704</v>
      </c>
      <c r="O167" s="54">
        <f t="shared" si="148"/>
        <v>4</v>
      </c>
      <c r="P167" s="71">
        <f t="shared" si="153"/>
        <v>96.875</v>
      </c>
      <c r="Q167" s="85">
        <f t="shared" si="103"/>
        <v>11593.780872108926</v>
      </c>
      <c r="R167" s="55">
        <f t="shared" si="154"/>
        <v>11660.699258944818</v>
      </c>
      <c r="S167" s="55">
        <f t="shared" si="155"/>
        <v>0.25144298024031309</v>
      </c>
      <c r="T167" s="55"/>
      <c r="U167" s="55"/>
      <c r="W167" s="273"/>
      <c r="X167" s="273"/>
    </row>
    <row r="168" spans="1:24" ht="12.75">
      <c r="A168" s="42">
        <v>44046</v>
      </c>
      <c r="B168" s="53" t="s">
        <v>19</v>
      </c>
      <c r="C168" s="80">
        <v>44061</v>
      </c>
      <c r="D168" s="53">
        <v>239</v>
      </c>
      <c r="E168" s="53">
        <v>1.6372</v>
      </c>
      <c r="F168" s="53">
        <v>1.5002</v>
      </c>
      <c r="G168" s="53">
        <v>1.7734000000000001</v>
      </c>
      <c r="H168" s="53">
        <v>248</v>
      </c>
      <c r="I168" s="53">
        <v>216</v>
      </c>
      <c r="J168" s="53">
        <v>217</v>
      </c>
      <c r="K168" s="55">
        <f t="shared" si="149"/>
        <v>36203.273882237969</v>
      </c>
      <c r="L168" s="55">
        <f t="shared" si="150"/>
        <v>34411.411811758429</v>
      </c>
      <c r="M168" s="55">
        <f t="shared" si="151"/>
        <v>29244.953197248222</v>
      </c>
      <c r="N168" s="70">
        <f t="shared" si="152"/>
        <v>33286.546297081542</v>
      </c>
      <c r="O168" s="54">
        <f t="shared" si="148"/>
        <v>3</v>
      </c>
      <c r="P168" s="71">
        <f t="shared" si="153"/>
        <v>79.666666666666671</v>
      </c>
      <c r="Q168" s="85">
        <f t="shared" si="103"/>
        <v>11095.515432360515</v>
      </c>
      <c r="R168" s="55">
        <f t="shared" si="154"/>
        <v>3612.9694862219667</v>
      </c>
      <c r="S168" s="55">
        <f t="shared" si="155"/>
        <v>0.10854143454764907</v>
      </c>
      <c r="T168" s="55"/>
      <c r="U168" s="55"/>
      <c r="W168" s="273"/>
      <c r="X168" s="273"/>
    </row>
    <row r="169" spans="1:24" ht="12.75">
      <c r="A169" s="42">
        <v>44048</v>
      </c>
      <c r="B169" s="53" t="s">
        <v>19</v>
      </c>
      <c r="C169" s="80">
        <v>44061</v>
      </c>
      <c r="D169" s="53">
        <v>366.5</v>
      </c>
      <c r="E169" s="53">
        <v>2.0680000000000001</v>
      </c>
      <c r="F169" s="53">
        <v>1.9723999999999999</v>
      </c>
      <c r="G169" s="53">
        <v>2.0257000000000001</v>
      </c>
      <c r="H169" s="53">
        <v>200</v>
      </c>
      <c r="I169" s="53">
        <v>230</v>
      </c>
      <c r="J169" s="53">
        <v>209</v>
      </c>
      <c r="K169" s="55">
        <f t="shared" si="149"/>
        <v>35444.87427466151</v>
      </c>
      <c r="L169" s="55">
        <f t="shared" si="150"/>
        <v>42737.274386534176</v>
      </c>
      <c r="M169" s="55">
        <f t="shared" si="151"/>
        <v>37813.34847213309</v>
      </c>
      <c r="N169" s="70">
        <f t="shared" si="152"/>
        <v>38665.165711109592</v>
      </c>
      <c r="O169" s="54">
        <f t="shared" si="148"/>
        <v>3</v>
      </c>
      <c r="P169" s="71">
        <f t="shared" si="153"/>
        <v>122.16666666666667</v>
      </c>
      <c r="Q169" s="85">
        <f t="shared" si="103"/>
        <v>12888.388570369863</v>
      </c>
      <c r="R169" s="55">
        <f t="shared" si="154"/>
        <v>3720.0765186180356</v>
      </c>
      <c r="S169" s="55">
        <f t="shared" si="155"/>
        <v>9.6212610244914912E-2</v>
      </c>
      <c r="T169" s="55"/>
      <c r="U169" s="55"/>
      <c r="W169" s="273"/>
      <c r="X169" s="273"/>
    </row>
    <row r="170" spans="1:24" ht="12.75">
      <c r="A170" s="42">
        <v>44048</v>
      </c>
      <c r="B170" s="53" t="s">
        <v>11</v>
      </c>
      <c r="C170" s="80">
        <v>44061</v>
      </c>
      <c r="D170" s="53">
        <v>139.5</v>
      </c>
      <c r="E170" s="53">
        <v>1.7822</v>
      </c>
      <c r="F170" s="53">
        <v>1.7483</v>
      </c>
      <c r="G170" s="53">
        <v>1.8097000000000001</v>
      </c>
      <c r="H170" s="53">
        <v>326</v>
      </c>
      <c r="I170" s="53">
        <v>361</v>
      </c>
      <c r="J170" s="53">
        <v>327</v>
      </c>
      <c r="K170" s="55">
        <f t="shared" si="149"/>
        <v>25517.338121422959</v>
      </c>
      <c r="L170" s="55">
        <f t="shared" si="150"/>
        <v>28804.838986443974</v>
      </c>
      <c r="M170" s="55">
        <f t="shared" si="151"/>
        <v>25206.664087970381</v>
      </c>
      <c r="N170" s="70">
        <f t="shared" si="152"/>
        <v>26509.613731945774</v>
      </c>
      <c r="O170" s="54">
        <f t="shared" si="148"/>
        <v>2</v>
      </c>
      <c r="P170" s="71">
        <f t="shared" si="153"/>
        <v>69.75</v>
      </c>
      <c r="Q170" s="85">
        <f t="shared" si="103"/>
        <v>13254.806865972887</v>
      </c>
      <c r="R170" s="55">
        <f t="shared" si="154"/>
        <v>1993.783793551893</v>
      </c>
      <c r="S170" s="55">
        <f t="shared" si="155"/>
        <v>7.5209839483600494E-2</v>
      </c>
      <c r="T170" s="55"/>
      <c r="U170" s="55"/>
      <c r="W170" s="273"/>
      <c r="X170" s="273"/>
    </row>
    <row r="171" spans="1:24" ht="12.75">
      <c r="A171" s="42">
        <v>44048</v>
      </c>
      <c r="B171" s="53" t="s">
        <v>16</v>
      </c>
      <c r="C171" s="80">
        <v>44061</v>
      </c>
      <c r="D171" s="53">
        <v>93.5</v>
      </c>
      <c r="E171" s="53">
        <v>1.6379999999999999</v>
      </c>
      <c r="F171" s="53">
        <v>1.629</v>
      </c>
      <c r="G171" s="53">
        <v>1.7093</v>
      </c>
      <c r="H171" s="53">
        <v>552</v>
      </c>
      <c r="I171" s="53">
        <v>479</v>
      </c>
      <c r="J171" s="53">
        <v>489</v>
      </c>
      <c r="K171" s="55">
        <f t="shared" si="149"/>
        <v>31509.157509157511</v>
      </c>
      <c r="L171" s="55">
        <f t="shared" si="150"/>
        <v>27493.247391037447</v>
      </c>
      <c r="M171" s="55">
        <f t="shared" si="151"/>
        <v>26748.669045808227</v>
      </c>
      <c r="N171" s="70">
        <f t="shared" si="152"/>
        <v>28583.691315334396</v>
      </c>
      <c r="O171" s="54">
        <f t="shared" si="148"/>
        <v>2</v>
      </c>
      <c r="P171" s="71">
        <f t="shared" si="153"/>
        <v>46.75</v>
      </c>
      <c r="Q171" s="85">
        <f t="shared" si="103"/>
        <v>14291.845657667198</v>
      </c>
      <c r="R171" s="55">
        <f t="shared" si="154"/>
        <v>2560.7349660688242</v>
      </c>
      <c r="S171" s="55">
        <f t="shared" si="155"/>
        <v>8.9587273309765195E-2</v>
      </c>
      <c r="T171" s="55"/>
      <c r="U171" s="55"/>
      <c r="W171" s="273"/>
      <c r="X171" s="273"/>
    </row>
    <row r="172" spans="1:24" s="81" customFormat="1" ht="12.75">
      <c r="A172" s="82">
        <v>44050</v>
      </c>
      <c r="B172" s="83" t="s">
        <v>19</v>
      </c>
      <c r="C172" s="84">
        <v>44064</v>
      </c>
      <c r="D172" s="83">
        <v>255.5</v>
      </c>
      <c r="E172" s="83">
        <v>1.6563000000000001</v>
      </c>
      <c r="F172" s="83">
        <v>1.5712999999999999</v>
      </c>
      <c r="G172" s="83">
        <v>1.6640000000000001</v>
      </c>
      <c r="H172" s="83">
        <v>319</v>
      </c>
      <c r="I172" s="83">
        <v>265</v>
      </c>
      <c r="J172" s="83">
        <v>327</v>
      </c>
      <c r="K172" s="85">
        <f t="shared" ref="K172:K234" si="156">$D172/E172*H172</f>
        <v>49208.778602910097</v>
      </c>
      <c r="L172" s="85">
        <f t="shared" ref="L172:L198" si="157">$D172/F172*I172</f>
        <v>43090.116464074337</v>
      </c>
      <c r="M172" s="85">
        <f t="shared" si="151"/>
        <v>50209.435096153844</v>
      </c>
      <c r="N172" s="70">
        <f t="shared" ref="N172:N177" si="158">AVERAGE(K172:M172)</f>
        <v>47502.776721046095</v>
      </c>
      <c r="O172" s="54">
        <f t="shared" si="148"/>
        <v>4</v>
      </c>
      <c r="P172" s="71">
        <f t="shared" ref="P172:P177" si="159">D172/O172</f>
        <v>63.875</v>
      </c>
      <c r="Q172" s="85">
        <f t="shared" si="103"/>
        <v>11875.694180261524</v>
      </c>
      <c r="R172" s="85">
        <f t="shared" ref="R172:R198" si="160">STDEV(K172:M172)</f>
        <v>3854.0895503297857</v>
      </c>
      <c r="S172" s="85">
        <f t="shared" ref="S172:S198" si="161">R172/N172</f>
        <v>8.1133984502893955E-2</v>
      </c>
      <c r="T172" s="85"/>
      <c r="U172" s="85"/>
      <c r="V172" s="83"/>
    </row>
    <row r="173" spans="1:24" s="81" customFormat="1" ht="12.75">
      <c r="A173" s="82">
        <v>44050</v>
      </c>
      <c r="B173" s="83" t="s">
        <v>11</v>
      </c>
      <c r="C173" s="84">
        <v>44064</v>
      </c>
      <c r="D173" s="83">
        <v>175</v>
      </c>
      <c r="E173" s="83">
        <v>1.6507000000000001</v>
      </c>
      <c r="F173" s="83">
        <v>1.5664</v>
      </c>
      <c r="G173" s="83">
        <v>1.5936999999999999</v>
      </c>
      <c r="H173" s="83">
        <v>439</v>
      </c>
      <c r="I173" s="83">
        <v>392</v>
      </c>
      <c r="J173" s="83">
        <v>422</v>
      </c>
      <c r="K173" s="85">
        <f t="shared" si="156"/>
        <v>46540.861452717028</v>
      </c>
      <c r="L173" s="85">
        <f t="shared" si="157"/>
        <v>43794.688457609809</v>
      </c>
      <c r="M173" s="85">
        <f t="shared" si="151"/>
        <v>46338.708665369901</v>
      </c>
      <c r="N173" s="70">
        <f t="shared" si="158"/>
        <v>45558.08619189891</v>
      </c>
      <c r="O173" s="54">
        <f t="shared" si="148"/>
        <v>4</v>
      </c>
      <c r="P173" s="71">
        <f t="shared" si="159"/>
        <v>43.75</v>
      </c>
      <c r="Q173" s="85">
        <f t="shared" si="103"/>
        <v>11389.521547974728</v>
      </c>
      <c r="R173" s="85">
        <f t="shared" si="160"/>
        <v>1530.4885214630037</v>
      </c>
      <c r="S173" s="85">
        <f t="shared" si="161"/>
        <v>3.3594223317816925E-2</v>
      </c>
      <c r="T173" s="85"/>
      <c r="U173" s="85"/>
      <c r="V173" s="83"/>
    </row>
    <row r="174" spans="1:24" s="81" customFormat="1" ht="12.75">
      <c r="A174" s="82">
        <v>44050</v>
      </c>
      <c r="B174" s="83" t="s">
        <v>16</v>
      </c>
      <c r="C174" s="84">
        <v>44064</v>
      </c>
      <c r="D174" s="83">
        <v>96</v>
      </c>
      <c r="E174" s="83">
        <v>1.5058</v>
      </c>
      <c r="F174" s="83">
        <v>1.6595</v>
      </c>
      <c r="G174" s="83">
        <v>1.5085999999999999</v>
      </c>
      <c r="H174" s="83">
        <v>476</v>
      </c>
      <c r="I174" s="83">
        <v>491</v>
      </c>
      <c r="J174" s="83">
        <v>489</v>
      </c>
      <c r="K174" s="85">
        <f t="shared" si="156"/>
        <v>30346.659582945944</v>
      </c>
      <c r="L174" s="85">
        <f t="shared" si="157"/>
        <v>28403.736065079844</v>
      </c>
      <c r="M174" s="85">
        <f t="shared" ref="M174:M198" si="162">$D174/G174*J174</f>
        <v>31117.592469839587</v>
      </c>
      <c r="N174" s="70">
        <f t="shared" si="158"/>
        <v>29955.996039288457</v>
      </c>
      <c r="O174" s="54">
        <f t="shared" si="148"/>
        <v>2</v>
      </c>
      <c r="P174" s="71">
        <f t="shared" si="159"/>
        <v>48</v>
      </c>
      <c r="Q174" s="85">
        <f t="shared" si="103"/>
        <v>14977.998019644228</v>
      </c>
      <c r="R174" s="85">
        <f t="shared" si="160"/>
        <v>1398.4697528624413</v>
      </c>
      <c r="S174" s="85">
        <f t="shared" si="161"/>
        <v>4.6684134656323685E-2</v>
      </c>
      <c r="T174" s="85"/>
      <c r="U174" s="85"/>
      <c r="V174" s="83"/>
    </row>
    <row r="175" spans="1:24" s="81" customFormat="1" ht="12.75">
      <c r="A175" s="82">
        <v>44054</v>
      </c>
      <c r="B175" s="83" t="s">
        <v>19</v>
      </c>
      <c r="C175" s="84">
        <v>44064</v>
      </c>
      <c r="D175" s="83">
        <v>107</v>
      </c>
      <c r="E175" s="83">
        <v>1.8329</v>
      </c>
      <c r="F175" s="83">
        <v>1.8041</v>
      </c>
      <c r="G175" s="83">
        <v>1.7504</v>
      </c>
      <c r="H175" s="83">
        <v>212</v>
      </c>
      <c r="I175" s="83">
        <v>219</v>
      </c>
      <c r="J175" s="83">
        <v>208</v>
      </c>
      <c r="K175" s="85">
        <f t="shared" si="156"/>
        <v>12376.016149271647</v>
      </c>
      <c r="L175" s="85">
        <f t="shared" si="157"/>
        <v>12988.747852114628</v>
      </c>
      <c r="M175" s="85">
        <f>$D175/G172*J175</f>
        <v>13375</v>
      </c>
      <c r="N175" s="70">
        <f t="shared" si="158"/>
        <v>12913.254667128758</v>
      </c>
      <c r="O175" s="54">
        <f t="shared" si="148"/>
        <v>1</v>
      </c>
      <c r="P175" s="71">
        <f t="shared" si="159"/>
        <v>107</v>
      </c>
      <c r="Q175" s="85">
        <f t="shared" si="103"/>
        <v>12913.254667128758</v>
      </c>
      <c r="R175" s="85">
        <f t="shared" si="160"/>
        <v>503.75251784829334</v>
      </c>
      <c r="S175" s="85">
        <f t="shared" si="161"/>
        <v>3.9010499741061945E-2</v>
      </c>
      <c r="T175" s="85"/>
      <c r="U175" s="85"/>
      <c r="V175" s="83"/>
    </row>
    <row r="176" spans="1:24" s="81" customFormat="1" ht="12.75">
      <c r="A176" s="82">
        <v>44055</v>
      </c>
      <c r="B176" s="83" t="s">
        <v>11</v>
      </c>
      <c r="C176" s="84">
        <v>44064</v>
      </c>
      <c r="D176" s="83">
        <v>126.5</v>
      </c>
      <c r="E176" s="83">
        <v>1.6595</v>
      </c>
      <c r="F176" s="83">
        <v>1.7537</v>
      </c>
      <c r="G176" s="83">
        <v>1.7301</v>
      </c>
      <c r="H176" s="83">
        <v>331</v>
      </c>
      <c r="I176" s="83">
        <v>318</v>
      </c>
      <c r="J176" s="83">
        <v>314</v>
      </c>
      <c r="K176" s="85">
        <f t="shared" si="156"/>
        <v>25231.394998493524</v>
      </c>
      <c r="L176" s="85">
        <f t="shared" si="157"/>
        <v>22938.358898329247</v>
      </c>
      <c r="M176" s="85">
        <f t="shared" si="162"/>
        <v>22958.788509334721</v>
      </c>
      <c r="N176" s="70">
        <f t="shared" si="158"/>
        <v>23709.514135385834</v>
      </c>
      <c r="O176" s="54">
        <f t="shared" si="148"/>
        <v>2</v>
      </c>
      <c r="P176" s="71">
        <f t="shared" si="159"/>
        <v>63.25</v>
      </c>
      <c r="Q176" s="85">
        <f t="shared" si="103"/>
        <v>11854.757067692917</v>
      </c>
      <c r="R176" s="85">
        <f t="shared" si="160"/>
        <v>1318.0270723211729</v>
      </c>
      <c r="S176" s="85">
        <f t="shared" si="161"/>
        <v>5.5590640314052309E-2</v>
      </c>
      <c r="T176" s="85"/>
      <c r="U176" s="85"/>
      <c r="V176" s="83"/>
    </row>
    <row r="177" spans="1:24" s="81" customFormat="1" ht="12.75">
      <c r="A177" s="82">
        <v>44055</v>
      </c>
      <c r="B177" s="83" t="s">
        <v>19</v>
      </c>
      <c r="C177" s="84">
        <v>44064</v>
      </c>
      <c r="D177" s="83">
        <v>138</v>
      </c>
      <c r="E177" s="83">
        <v>1.6294</v>
      </c>
      <c r="F177" s="83">
        <v>1.7737000000000001</v>
      </c>
      <c r="G177" s="83">
        <v>1.8035000000000001</v>
      </c>
      <c r="H177" s="83">
        <v>147</v>
      </c>
      <c r="I177" s="83">
        <v>205</v>
      </c>
      <c r="J177" s="83">
        <v>192</v>
      </c>
      <c r="K177" s="85">
        <f t="shared" si="156"/>
        <v>12449.981588314717</v>
      </c>
      <c r="L177" s="85">
        <f t="shared" si="157"/>
        <v>15949.709646501662</v>
      </c>
      <c r="M177" s="85">
        <f t="shared" si="162"/>
        <v>14691.433324092042</v>
      </c>
      <c r="N177" s="70">
        <f t="shared" si="158"/>
        <v>14363.708186302807</v>
      </c>
      <c r="O177" s="54">
        <f t="shared" si="148"/>
        <v>1</v>
      </c>
      <c r="P177" s="71">
        <f t="shared" si="159"/>
        <v>138</v>
      </c>
      <c r="Q177" s="85">
        <f t="shared" si="103"/>
        <v>14363.708186302807</v>
      </c>
      <c r="R177" s="85">
        <f t="shared" si="160"/>
        <v>1772.7314925756359</v>
      </c>
      <c r="S177" s="85">
        <f t="shared" si="161"/>
        <v>0.12341739818037432</v>
      </c>
      <c r="T177" s="85"/>
      <c r="U177" s="85"/>
      <c r="V177" s="83"/>
    </row>
    <row r="178" spans="1:24" s="91" customFormat="1" ht="12.75">
      <c r="A178" s="42">
        <v>44060</v>
      </c>
      <c r="B178" s="53" t="s">
        <v>16</v>
      </c>
      <c r="C178" s="80">
        <v>44070</v>
      </c>
      <c r="D178" s="53">
        <v>145.5</v>
      </c>
      <c r="E178" s="53">
        <v>1.9933000000000001</v>
      </c>
      <c r="F178" s="53">
        <v>2.1406000000000001</v>
      </c>
      <c r="G178" s="53">
        <v>1.7831999999999999</v>
      </c>
      <c r="H178" s="53">
        <v>61</v>
      </c>
      <c r="I178" s="53">
        <v>58</v>
      </c>
      <c r="J178" s="53">
        <v>50</v>
      </c>
      <c r="K178" s="55">
        <f t="shared" si="156"/>
        <v>4452.6664325490392</v>
      </c>
      <c r="L178" s="55">
        <f t="shared" si="157"/>
        <v>3942.3526114173596</v>
      </c>
      <c r="M178" s="55">
        <f t="shared" si="162"/>
        <v>4079.7442799461642</v>
      </c>
      <c r="N178" s="70">
        <f t="shared" ref="N178:N198" si="163">AVERAGE(K178:M178)</f>
        <v>4158.2544413041878</v>
      </c>
      <c r="O178" s="54">
        <f t="shared" si="148"/>
        <v>1</v>
      </c>
      <c r="P178" s="71">
        <f t="shared" ref="P178:P198" si="164">D178/O178</f>
        <v>145.5</v>
      </c>
      <c r="Q178" s="85">
        <f t="shared" ref="Q178:Q198" si="165">N178/O178</f>
        <v>4158.2544413041878</v>
      </c>
      <c r="R178" s="55">
        <f t="shared" si="160"/>
        <v>264.06047240518814</v>
      </c>
      <c r="S178" s="55">
        <f t="shared" si="161"/>
        <v>6.350272118566383E-2</v>
      </c>
      <c r="T178" s="55"/>
      <c r="U178" s="55"/>
      <c r="V178" s="53"/>
      <c r="W178" s="273"/>
      <c r="X178" s="273"/>
    </row>
    <row r="179" spans="1:24" s="91" customFormat="1" ht="12.75">
      <c r="A179" s="42" t="s">
        <v>164</v>
      </c>
      <c r="B179" s="53" t="s">
        <v>16</v>
      </c>
      <c r="C179" s="80" t="s">
        <v>165</v>
      </c>
      <c r="D179" s="53">
        <v>179</v>
      </c>
      <c r="E179" s="53">
        <v>1.8310999999999999</v>
      </c>
      <c r="F179" s="53">
        <v>1.8056000000000001</v>
      </c>
      <c r="G179" s="53">
        <v>1.8705000000000001</v>
      </c>
      <c r="H179" s="53">
        <v>399</v>
      </c>
      <c r="I179" s="53">
        <v>348</v>
      </c>
      <c r="J179" s="53">
        <v>389</v>
      </c>
      <c r="K179" s="55">
        <f t="shared" si="156"/>
        <v>39004.423570531377</v>
      </c>
      <c r="L179" s="55">
        <f t="shared" si="157"/>
        <v>34499.335400974742</v>
      </c>
      <c r="M179" s="55">
        <f t="shared" si="162"/>
        <v>37225.875434375834</v>
      </c>
      <c r="N179" s="70">
        <f t="shared" si="163"/>
        <v>36909.878135293984</v>
      </c>
      <c r="O179" s="54">
        <f t="shared" si="148"/>
        <v>3</v>
      </c>
      <c r="P179" s="71">
        <f t="shared" si="164"/>
        <v>59.666666666666664</v>
      </c>
      <c r="Q179" s="85">
        <f t="shared" si="165"/>
        <v>12303.292711764661</v>
      </c>
      <c r="R179" s="55">
        <f t="shared" si="160"/>
        <v>2269.106778809683</v>
      </c>
      <c r="S179" s="55">
        <f t="shared" si="161"/>
        <v>6.1476951251158873E-2</v>
      </c>
      <c r="T179" s="55"/>
      <c r="U179" s="55"/>
      <c r="V179" s="53"/>
      <c r="W179" s="273"/>
      <c r="X179" s="273"/>
    </row>
    <row r="180" spans="1:24" s="91" customFormat="1" ht="12.75">
      <c r="A180" s="42">
        <v>44057</v>
      </c>
      <c r="B180" s="53" t="s">
        <v>16</v>
      </c>
      <c r="C180" s="80">
        <v>44070</v>
      </c>
      <c r="D180" s="53">
        <v>140</v>
      </c>
      <c r="E180" s="53">
        <v>1.8552</v>
      </c>
      <c r="F180" s="53">
        <v>1.9681999999999999</v>
      </c>
      <c r="G180" s="53">
        <v>1.8563000000000001</v>
      </c>
      <c r="H180" s="53">
        <v>455</v>
      </c>
      <c r="I180" s="53">
        <v>459</v>
      </c>
      <c r="J180" s="53">
        <v>448</v>
      </c>
      <c r="K180" s="55">
        <f t="shared" si="156"/>
        <v>34335.920655454938</v>
      </c>
      <c r="L180" s="55">
        <f t="shared" si="157"/>
        <v>32649.121024286149</v>
      </c>
      <c r="M180" s="55">
        <f t="shared" si="162"/>
        <v>33787.64208371492</v>
      </c>
      <c r="N180" s="70">
        <f t="shared" si="163"/>
        <v>33590.894587818671</v>
      </c>
      <c r="O180" s="54">
        <f t="shared" si="148"/>
        <v>3</v>
      </c>
      <c r="P180" s="71">
        <f t="shared" si="164"/>
        <v>46.666666666666664</v>
      </c>
      <c r="Q180" s="85">
        <f t="shared" si="165"/>
        <v>11196.964862606224</v>
      </c>
      <c r="R180" s="55">
        <f t="shared" si="160"/>
        <v>860.43909243122778</v>
      </c>
      <c r="S180" s="55">
        <f t="shared" si="161"/>
        <v>2.5615247911356772E-2</v>
      </c>
      <c r="T180" s="55"/>
      <c r="U180" s="55"/>
      <c r="V180" s="53"/>
      <c r="W180" s="273"/>
      <c r="X180" s="273"/>
    </row>
    <row r="181" spans="1:24" s="91" customFormat="1" ht="12.75">
      <c r="A181" s="42" t="s">
        <v>164</v>
      </c>
      <c r="B181" s="53" t="s">
        <v>11</v>
      </c>
      <c r="C181" s="80" t="s">
        <v>166</v>
      </c>
      <c r="D181" s="53">
        <v>195</v>
      </c>
      <c r="E181" s="53">
        <v>1.6540999999999999</v>
      </c>
      <c r="F181" s="53">
        <v>1.6189</v>
      </c>
      <c r="G181" s="53">
        <v>1.7099</v>
      </c>
      <c r="H181" s="53">
        <v>383</v>
      </c>
      <c r="I181" s="53">
        <v>418</v>
      </c>
      <c r="J181" s="53">
        <v>427</v>
      </c>
      <c r="K181" s="55">
        <f t="shared" si="156"/>
        <v>45151.441871712712</v>
      </c>
      <c r="L181" s="55">
        <f t="shared" si="157"/>
        <v>50349.002409043176</v>
      </c>
      <c r="M181" s="55">
        <f t="shared" si="162"/>
        <v>48695.830165506755</v>
      </c>
      <c r="N181" s="70">
        <f t="shared" si="163"/>
        <v>48065.424815420876</v>
      </c>
      <c r="O181" s="54">
        <f t="shared" si="148"/>
        <v>4</v>
      </c>
      <c r="P181" s="71">
        <f t="shared" si="164"/>
        <v>48.75</v>
      </c>
      <c r="Q181" s="85">
        <f t="shared" si="165"/>
        <v>12016.356203855219</v>
      </c>
      <c r="R181" s="55">
        <f t="shared" si="160"/>
        <v>2655.5069316170889</v>
      </c>
      <c r="S181" s="55">
        <f t="shared" si="161"/>
        <v>5.5247757443415334E-2</v>
      </c>
      <c r="T181" s="55"/>
      <c r="U181" s="55"/>
      <c r="V181" s="53"/>
      <c r="W181" s="273"/>
      <c r="X181" s="273"/>
    </row>
    <row r="182" spans="1:24" ht="12.75">
      <c r="A182" s="42">
        <v>44062</v>
      </c>
      <c r="B182" s="53" t="s">
        <v>11</v>
      </c>
      <c r="C182" s="80" t="s">
        <v>167</v>
      </c>
      <c r="D182" s="53">
        <v>352.5</v>
      </c>
      <c r="E182" s="53">
        <v>1.9843999999999999</v>
      </c>
      <c r="F182" s="53">
        <v>1.8601000000000001</v>
      </c>
      <c r="G182" s="53">
        <v>2.0202</v>
      </c>
      <c r="H182" s="53">
        <v>345</v>
      </c>
      <c r="I182" s="53">
        <v>335</v>
      </c>
      <c r="J182" s="53">
        <v>351</v>
      </c>
      <c r="K182" s="55">
        <f t="shared" si="156"/>
        <v>61284.267284821603</v>
      </c>
      <c r="L182" s="55">
        <f t="shared" si="157"/>
        <v>63484.490081178425</v>
      </c>
      <c r="M182" s="55">
        <f t="shared" si="162"/>
        <v>61245.17374517375</v>
      </c>
      <c r="N182" s="70">
        <f t="shared" si="163"/>
        <v>62004.6437037246</v>
      </c>
      <c r="O182" s="54">
        <f t="shared" si="148"/>
        <v>6</v>
      </c>
      <c r="P182" s="71">
        <f t="shared" si="164"/>
        <v>58.75</v>
      </c>
      <c r="Q182" s="85">
        <f t="shared" si="165"/>
        <v>10334.107283954099</v>
      </c>
      <c r="R182" s="55">
        <f t="shared" si="160"/>
        <v>1281.7336118936619</v>
      </c>
      <c r="S182" s="55">
        <f t="shared" si="161"/>
        <v>2.0671574503647514E-2</v>
      </c>
      <c r="T182" s="55"/>
      <c r="U182" s="55"/>
      <c r="W182" s="273"/>
      <c r="X182" s="273"/>
    </row>
    <row r="183" spans="1:24" ht="12.75">
      <c r="A183" s="42" t="s">
        <v>168</v>
      </c>
      <c r="B183" s="53" t="s">
        <v>16</v>
      </c>
      <c r="C183" s="80" t="s">
        <v>167</v>
      </c>
      <c r="D183" s="53">
        <v>183.5</v>
      </c>
      <c r="E183" s="53">
        <v>1.5192000000000001</v>
      </c>
      <c r="F183" s="86">
        <v>1.5849</v>
      </c>
      <c r="G183" s="53">
        <v>1.7128000000000001</v>
      </c>
      <c r="H183" s="53">
        <v>511</v>
      </c>
      <c r="I183" s="53">
        <v>521</v>
      </c>
      <c r="J183" s="53">
        <v>672</v>
      </c>
      <c r="K183" s="55">
        <f t="shared" si="156"/>
        <v>61722.288046340174</v>
      </c>
      <c r="L183" s="55">
        <f t="shared" si="157"/>
        <v>60321.471386207333</v>
      </c>
      <c r="M183" s="55">
        <f t="shared" si="162"/>
        <v>71994.395142456793</v>
      </c>
      <c r="N183" s="70">
        <f t="shared" si="163"/>
        <v>64679.384858334764</v>
      </c>
      <c r="O183" s="54">
        <f t="shared" si="148"/>
        <v>6</v>
      </c>
      <c r="P183" s="71">
        <f t="shared" si="164"/>
        <v>30.583333333333332</v>
      </c>
      <c r="Q183" s="85">
        <f t="shared" si="165"/>
        <v>10779.897476389127</v>
      </c>
      <c r="R183" s="55">
        <f t="shared" si="160"/>
        <v>6373.5863861278831</v>
      </c>
      <c r="S183" s="55">
        <f t="shared" si="161"/>
        <v>9.8541233811789489E-2</v>
      </c>
      <c r="T183" s="55"/>
      <c r="U183" s="55"/>
      <c r="W183" s="273"/>
      <c r="X183" s="273"/>
    </row>
    <row r="184" spans="1:24" ht="12.75">
      <c r="A184" s="42">
        <v>44064</v>
      </c>
      <c r="B184" s="53" t="s">
        <v>16</v>
      </c>
      <c r="C184" s="80">
        <v>44077</v>
      </c>
      <c r="D184" s="53">
        <v>360</v>
      </c>
      <c r="E184" s="53">
        <v>1.5412999999999999</v>
      </c>
      <c r="F184" s="53">
        <v>1.62</v>
      </c>
      <c r="G184" s="53">
        <v>1.6295999999999999</v>
      </c>
      <c r="H184" s="53">
        <v>296</v>
      </c>
      <c r="I184" s="53">
        <v>318</v>
      </c>
      <c r="J184" s="53">
        <v>296</v>
      </c>
      <c r="K184" s="55">
        <f t="shared" si="156"/>
        <v>69136.443262181274</v>
      </c>
      <c r="L184" s="55">
        <f t="shared" si="157"/>
        <v>70666.666666666657</v>
      </c>
      <c r="M184" s="55">
        <f t="shared" si="162"/>
        <v>65390.27982326952</v>
      </c>
      <c r="N184" s="70">
        <f t="shared" si="163"/>
        <v>68397.796584039155</v>
      </c>
      <c r="O184" s="54">
        <f t="shared" si="148"/>
        <v>6</v>
      </c>
      <c r="P184" s="71">
        <f t="shared" si="164"/>
        <v>60</v>
      </c>
      <c r="Q184" s="85">
        <f>N184/O184</f>
        <v>11399.632764006526</v>
      </c>
      <c r="R184" s="55">
        <f t="shared" si="160"/>
        <v>2714.6387819821252</v>
      </c>
      <c r="S184" s="55">
        <f t="shared" si="161"/>
        <v>3.9688980019212998E-2</v>
      </c>
      <c r="T184" s="55"/>
      <c r="U184" s="55"/>
      <c r="W184" s="273"/>
      <c r="X184" s="273"/>
    </row>
    <row r="185" spans="1:24" ht="12.75">
      <c r="A185" s="42" t="s">
        <v>169</v>
      </c>
      <c r="B185" s="53" t="s">
        <v>16</v>
      </c>
      <c r="C185" s="80">
        <v>44077</v>
      </c>
      <c r="D185" s="53">
        <v>354.5</v>
      </c>
      <c r="E185" s="53">
        <v>1.5133000000000001</v>
      </c>
      <c r="F185" s="53">
        <v>1.5993999999999999</v>
      </c>
      <c r="G185" s="53">
        <v>1.6483000000000001</v>
      </c>
      <c r="H185" s="53">
        <v>280</v>
      </c>
      <c r="I185" s="53">
        <v>272</v>
      </c>
      <c r="J185" s="53">
        <v>283</v>
      </c>
      <c r="K185" s="55">
        <f t="shared" si="156"/>
        <v>65591.753122315466</v>
      </c>
      <c r="L185" s="55">
        <f t="shared" si="157"/>
        <v>60287.607852944857</v>
      </c>
      <c r="M185" s="55">
        <f t="shared" si="162"/>
        <v>60864.830431353512</v>
      </c>
      <c r="N185" s="70">
        <f>AVERAGE(K185:M185)</f>
        <v>62248.063802204611</v>
      </c>
      <c r="O185" s="54">
        <f t="shared" si="148"/>
        <v>6</v>
      </c>
      <c r="P185" s="71">
        <f t="shared" si="164"/>
        <v>59.083333333333336</v>
      </c>
      <c r="Q185" s="85">
        <f t="shared" si="165"/>
        <v>10374.677300367435</v>
      </c>
      <c r="R185" s="55">
        <f t="shared" si="160"/>
        <v>2910.0670401768621</v>
      </c>
      <c r="S185" s="55">
        <f t="shared" si="161"/>
        <v>4.674951897979833E-2</v>
      </c>
      <c r="T185" s="55"/>
      <c r="U185" s="55"/>
      <c r="W185" s="273"/>
      <c r="X185" s="273"/>
    </row>
    <row r="186" spans="1:24" ht="12.75">
      <c r="A186" s="42" t="s">
        <v>169</v>
      </c>
      <c r="B186" s="53" t="s">
        <v>11</v>
      </c>
      <c r="C186" s="80">
        <v>44077</v>
      </c>
      <c r="D186" s="53">
        <v>195.5</v>
      </c>
      <c r="E186" s="53">
        <v>1.4901</v>
      </c>
      <c r="F186" s="53">
        <v>1.4712000000000001</v>
      </c>
      <c r="G186" s="53">
        <v>1.4856</v>
      </c>
      <c r="H186" s="53">
        <v>460</v>
      </c>
      <c r="I186" s="53">
        <v>354</v>
      </c>
      <c r="J186" s="53">
        <v>438</v>
      </c>
      <c r="K186" s="55">
        <f t="shared" ref="K186:K189" si="166">$D186/E186*H186</f>
        <v>60351.654251392531</v>
      </c>
      <c r="L186" s="55">
        <f t="shared" ref="L186:L189" si="167">$D186/F186*I186</f>
        <v>47041.190864600321</v>
      </c>
      <c r="M186" s="55">
        <f t="shared" ref="M186:M189" si="168">$D186/G186*J186</f>
        <v>57639.337641357022</v>
      </c>
      <c r="N186" s="70">
        <f>AVERAGE(K186:M186)</f>
        <v>55010.727585783286</v>
      </c>
      <c r="O186" s="54">
        <f t="shared" si="148"/>
        <v>5</v>
      </c>
      <c r="P186" s="71">
        <f t="shared" si="164"/>
        <v>39.1</v>
      </c>
      <c r="Q186" s="85">
        <f t="shared" si="165"/>
        <v>11002.145517156658</v>
      </c>
      <c r="R186" s="55">
        <f t="shared" si="160"/>
        <v>7033.79712608933</v>
      </c>
      <c r="S186" s="55">
        <f t="shared" si="161"/>
        <v>0.12786228131814623</v>
      </c>
      <c r="T186" s="55"/>
      <c r="U186" s="55"/>
      <c r="W186" s="273"/>
      <c r="X186" s="273"/>
    </row>
    <row r="187" spans="1:24" ht="12.75">
      <c r="A187" s="42">
        <v>44067</v>
      </c>
      <c r="B187" s="53" t="s">
        <v>11</v>
      </c>
      <c r="C187" s="80">
        <v>44083</v>
      </c>
      <c r="D187" s="53">
        <v>151.13399999999999</v>
      </c>
      <c r="E187" s="53">
        <v>1.625</v>
      </c>
      <c r="F187" s="53">
        <v>2.3330000000000002</v>
      </c>
      <c r="G187" s="53">
        <v>2.1070000000000002</v>
      </c>
      <c r="H187" s="53">
        <v>343</v>
      </c>
      <c r="I187" s="53">
        <v>494</v>
      </c>
      <c r="J187" s="53">
        <v>454</v>
      </c>
      <c r="K187" s="55">
        <f t="shared" si="166"/>
        <v>31900.899692307688</v>
      </c>
      <c r="L187" s="55">
        <f t="shared" si="167"/>
        <v>32001.798542648947</v>
      </c>
      <c r="M187" s="55">
        <f t="shared" si="168"/>
        <v>32565.180825818694</v>
      </c>
      <c r="N187" s="70">
        <f t="shared" si="163"/>
        <v>32155.959686925111</v>
      </c>
      <c r="O187" s="54">
        <f t="shared" si="148"/>
        <v>3</v>
      </c>
      <c r="P187" s="71">
        <f t="shared" si="164"/>
        <v>50.377999999999993</v>
      </c>
      <c r="Q187" s="85">
        <f t="shared" si="165"/>
        <v>10718.653228975038</v>
      </c>
      <c r="R187" s="55">
        <f t="shared" si="160"/>
        <v>357.9687135603732</v>
      </c>
      <c r="S187" s="55">
        <f t="shared" si="161"/>
        <v>1.1132266523705289E-2</v>
      </c>
      <c r="T187" s="55">
        <v>2.19</v>
      </c>
      <c r="U187" s="55"/>
      <c r="W187" s="273"/>
      <c r="X187" s="273"/>
    </row>
    <row r="188" spans="1:24" ht="12.75">
      <c r="A188" s="42">
        <v>44067</v>
      </c>
      <c r="B188" s="53" t="s">
        <v>16</v>
      </c>
      <c r="C188" s="80">
        <v>44083</v>
      </c>
      <c r="D188" s="53">
        <v>271.58300000000003</v>
      </c>
      <c r="E188" s="53">
        <v>1.4630000000000001</v>
      </c>
      <c r="F188" s="53">
        <v>1.7350000000000001</v>
      </c>
      <c r="G188" s="53">
        <v>1.518</v>
      </c>
      <c r="H188" s="53">
        <v>181</v>
      </c>
      <c r="I188" s="53">
        <v>218</v>
      </c>
      <c r="J188" s="53">
        <v>220</v>
      </c>
      <c r="K188" s="55">
        <f t="shared" si="166"/>
        <v>33599.810663021191</v>
      </c>
      <c r="L188" s="55">
        <f t="shared" si="167"/>
        <v>34123.973487031704</v>
      </c>
      <c r="M188" s="55">
        <f t="shared" si="168"/>
        <v>39359.855072463768</v>
      </c>
      <c r="N188" s="70">
        <f t="shared" si="163"/>
        <v>35694.546407505557</v>
      </c>
      <c r="O188" s="54">
        <f t="shared" si="148"/>
        <v>3</v>
      </c>
      <c r="P188" s="71">
        <f t="shared" si="164"/>
        <v>90.527666666666676</v>
      </c>
      <c r="Q188" s="85">
        <f t="shared" si="165"/>
        <v>11898.182135835186</v>
      </c>
      <c r="R188" s="55">
        <f t="shared" si="160"/>
        <v>3185.051392612369</v>
      </c>
      <c r="S188" s="55">
        <f t="shared" si="161"/>
        <v>8.9230756885108994E-2</v>
      </c>
      <c r="T188" s="55">
        <v>5.84</v>
      </c>
      <c r="U188" s="55"/>
      <c r="W188" s="273"/>
      <c r="X188" s="273"/>
    </row>
    <row r="189" spans="1:24" ht="12.75">
      <c r="A189" s="42">
        <v>44067</v>
      </c>
      <c r="B189" s="53" t="s">
        <v>16</v>
      </c>
      <c r="C189" s="80">
        <v>44083</v>
      </c>
      <c r="D189" s="53">
        <v>226.64400000000001</v>
      </c>
      <c r="E189" s="53">
        <v>1.6240000000000001</v>
      </c>
      <c r="F189" s="53">
        <v>1.3919999999999999</v>
      </c>
      <c r="G189" s="53">
        <v>1.798</v>
      </c>
      <c r="H189" s="53">
        <v>199</v>
      </c>
      <c r="I189" s="53">
        <v>155</v>
      </c>
      <c r="J189" s="53">
        <v>220</v>
      </c>
      <c r="K189" s="55">
        <f t="shared" si="166"/>
        <v>27772.263546798029</v>
      </c>
      <c r="L189" s="55">
        <f t="shared" si="167"/>
        <v>25236.939655172417</v>
      </c>
      <c r="M189" s="55">
        <f t="shared" si="168"/>
        <v>27731.74638487208</v>
      </c>
      <c r="N189" s="70">
        <f t="shared" si="163"/>
        <v>26913.649862280843</v>
      </c>
      <c r="O189" s="54">
        <f t="shared" si="148"/>
        <v>2</v>
      </c>
      <c r="P189" s="71">
        <f t="shared" si="164"/>
        <v>113.322</v>
      </c>
      <c r="Q189" s="85">
        <f t="shared" si="165"/>
        <v>13456.824931140422</v>
      </c>
      <c r="R189" s="55">
        <f t="shared" si="160"/>
        <v>1452.2149458908682</v>
      </c>
      <c r="S189" s="55">
        <f t="shared" si="161"/>
        <v>5.3958305667271458E-2</v>
      </c>
      <c r="T189" s="55">
        <v>5.8360000000000003</v>
      </c>
      <c r="U189" s="55"/>
      <c r="W189" s="273"/>
      <c r="X189" s="273"/>
    </row>
    <row r="190" spans="1:24" ht="12.75">
      <c r="A190" s="42">
        <v>44069</v>
      </c>
      <c r="B190" s="53" t="s">
        <v>16</v>
      </c>
      <c r="C190" s="80">
        <v>44083</v>
      </c>
      <c r="D190" s="53">
        <v>253.77</v>
      </c>
      <c r="E190" s="53">
        <v>1.508</v>
      </c>
      <c r="F190" s="53">
        <v>1.702</v>
      </c>
      <c r="G190" s="53">
        <v>1.641</v>
      </c>
      <c r="H190" s="53">
        <v>344</v>
      </c>
      <c r="I190" s="53">
        <v>419</v>
      </c>
      <c r="J190" s="53">
        <v>344</v>
      </c>
      <c r="K190" s="55">
        <f t="shared" si="156"/>
        <v>57889.177718832892</v>
      </c>
      <c r="L190" s="55">
        <f t="shared" si="157"/>
        <v>62473.343125734427</v>
      </c>
      <c r="M190" s="55">
        <f t="shared" si="162"/>
        <v>53197.367458866553</v>
      </c>
      <c r="N190" s="70">
        <f t="shared" si="163"/>
        <v>57853.296101144624</v>
      </c>
      <c r="O190" s="54">
        <f t="shared" si="148"/>
        <v>5</v>
      </c>
      <c r="P190" s="71">
        <f t="shared" si="164"/>
        <v>50.754000000000005</v>
      </c>
      <c r="Q190" s="85">
        <f t="shared" si="165"/>
        <v>11570.659220228925</v>
      </c>
      <c r="R190" s="55">
        <f t="shared" si="160"/>
        <v>4638.0919310581994</v>
      </c>
      <c r="S190" s="55">
        <f t="shared" si="161"/>
        <v>8.0169882161069045E-2</v>
      </c>
      <c r="T190" s="55">
        <v>4.5999999999999996</v>
      </c>
      <c r="U190" s="55"/>
      <c r="W190" s="273"/>
      <c r="X190" s="273"/>
    </row>
    <row r="191" spans="1:24" ht="12.75">
      <c r="A191" s="42">
        <v>44069</v>
      </c>
      <c r="B191" s="53" t="s">
        <v>16</v>
      </c>
      <c r="C191" s="80">
        <v>44083</v>
      </c>
      <c r="D191" s="53">
        <v>298.52199999999999</v>
      </c>
      <c r="E191" s="53">
        <v>1.5129999999999999</v>
      </c>
      <c r="F191" s="53">
        <v>1.7929999999999999</v>
      </c>
      <c r="G191" s="53">
        <v>1.786</v>
      </c>
      <c r="H191" s="53">
        <v>319</v>
      </c>
      <c r="I191" s="53">
        <v>376</v>
      </c>
      <c r="J191" s="53">
        <v>375</v>
      </c>
      <c r="K191" s="55">
        <f t="shared" si="156"/>
        <v>62940.196959682755</v>
      </c>
      <c r="L191" s="55">
        <f t="shared" si="157"/>
        <v>62601.378694924715</v>
      </c>
      <c r="M191" s="55">
        <f t="shared" si="162"/>
        <v>62679.591265397532</v>
      </c>
      <c r="N191" s="70">
        <f t="shared" si="163"/>
        <v>62740.388973335001</v>
      </c>
      <c r="O191" s="54">
        <f t="shared" si="148"/>
        <v>6</v>
      </c>
      <c r="P191" s="71">
        <f t="shared" si="164"/>
        <v>49.753666666666668</v>
      </c>
      <c r="Q191" s="85">
        <f t="shared" si="165"/>
        <v>10456.731495555834</v>
      </c>
      <c r="R191" s="55">
        <f t="shared" si="160"/>
        <v>177.40272010668153</v>
      </c>
      <c r="S191" s="55">
        <f t="shared" si="161"/>
        <v>2.827568062768604E-3</v>
      </c>
      <c r="T191" s="55">
        <v>4.7</v>
      </c>
      <c r="U191" s="55"/>
      <c r="W191" s="273"/>
      <c r="X191" s="273"/>
    </row>
    <row r="192" spans="1:24" ht="12.75">
      <c r="A192" s="42">
        <v>44071</v>
      </c>
      <c r="B192" s="53" t="s">
        <v>11</v>
      </c>
      <c r="C192" s="80">
        <v>44085</v>
      </c>
      <c r="D192" s="53">
        <v>263.5</v>
      </c>
      <c r="E192" s="53">
        <v>1.8167</v>
      </c>
      <c r="F192" s="53">
        <v>1.7378</v>
      </c>
      <c r="G192" s="53">
        <v>1.8996999999999999</v>
      </c>
      <c r="H192" s="53">
        <v>379</v>
      </c>
      <c r="I192" s="53">
        <v>367</v>
      </c>
      <c r="J192" s="53">
        <v>388</v>
      </c>
      <c r="K192" s="55">
        <f t="shared" si="156"/>
        <v>54971.376671987673</v>
      </c>
      <c r="L192" s="55">
        <f t="shared" si="157"/>
        <v>55647.657958338124</v>
      </c>
      <c r="M192" s="55">
        <f t="shared" si="162"/>
        <v>53817.971258619786</v>
      </c>
      <c r="N192" s="70">
        <f t="shared" si="163"/>
        <v>54812.335296315199</v>
      </c>
      <c r="O192" s="54">
        <f t="shared" si="148"/>
        <v>5</v>
      </c>
      <c r="P192" s="71">
        <f t="shared" si="164"/>
        <v>52.7</v>
      </c>
      <c r="Q192" s="85">
        <f t="shared" si="165"/>
        <v>10962.467059263039</v>
      </c>
      <c r="R192" s="55">
        <f t="shared" si="160"/>
        <v>925.1534868136165</v>
      </c>
      <c r="S192" s="55">
        <f t="shared" si="161"/>
        <v>1.6878563589970062E-2</v>
      </c>
      <c r="T192" s="55">
        <v>4.5</v>
      </c>
      <c r="U192" s="55"/>
      <c r="W192" s="273"/>
      <c r="X192" s="273"/>
    </row>
    <row r="193" spans="1:24" ht="12.75">
      <c r="A193" s="42">
        <v>44071</v>
      </c>
      <c r="B193" s="53" t="s">
        <v>16</v>
      </c>
      <c r="C193" s="80">
        <v>44085</v>
      </c>
      <c r="D193" s="53">
        <v>238.5</v>
      </c>
      <c r="E193" s="53">
        <v>1.6137999999999999</v>
      </c>
      <c r="F193" s="53">
        <v>1.5504</v>
      </c>
      <c r="G193" s="53">
        <v>1.6297999999999999</v>
      </c>
      <c r="H193" s="53">
        <v>332</v>
      </c>
      <c r="I193" s="53">
        <v>374</v>
      </c>
      <c r="J193" s="53">
        <v>353</v>
      </c>
      <c r="K193" s="55">
        <f t="shared" si="156"/>
        <v>49065.559548890822</v>
      </c>
      <c r="L193" s="55">
        <f t="shared" si="157"/>
        <v>57532.894736842107</v>
      </c>
      <c r="M193" s="55">
        <f t="shared" si="162"/>
        <v>51656.951773223707</v>
      </c>
      <c r="N193" s="70">
        <f t="shared" si="163"/>
        <v>52751.802019652212</v>
      </c>
      <c r="O193" s="54">
        <f t="shared" si="148"/>
        <v>5</v>
      </c>
      <c r="P193" s="71">
        <f t="shared" si="164"/>
        <v>47.7</v>
      </c>
      <c r="Q193" s="85">
        <f t="shared" si="165"/>
        <v>10550.360403930443</v>
      </c>
      <c r="R193" s="55">
        <f t="shared" si="160"/>
        <v>4338.5440060990422</v>
      </c>
      <c r="S193" s="55">
        <f t="shared" si="161"/>
        <v>8.2244470141186007E-2</v>
      </c>
      <c r="T193" s="55">
        <v>5.4</v>
      </c>
      <c r="U193" s="55"/>
      <c r="W193" s="273"/>
      <c r="X193" s="273"/>
    </row>
    <row r="194" spans="1:24" ht="12.75">
      <c r="A194" s="42">
        <v>44071</v>
      </c>
      <c r="B194" s="53" t="s">
        <v>16</v>
      </c>
      <c r="C194" s="80">
        <v>44085</v>
      </c>
      <c r="D194" s="53">
        <v>249.5</v>
      </c>
      <c r="E194" s="53">
        <v>1.6932</v>
      </c>
      <c r="F194" s="53">
        <v>1.7539</v>
      </c>
      <c r="G194" s="53">
        <v>1.8228</v>
      </c>
      <c r="H194" s="53">
        <v>294</v>
      </c>
      <c r="I194" s="53">
        <v>286</v>
      </c>
      <c r="J194" s="53">
        <v>315</v>
      </c>
      <c r="K194" s="55">
        <f t="shared" si="156"/>
        <v>43322.111977321052</v>
      </c>
      <c r="L194" s="55">
        <f t="shared" si="157"/>
        <v>40684.759678430921</v>
      </c>
      <c r="M194" s="55">
        <f t="shared" si="162"/>
        <v>43116.359447004608</v>
      </c>
      <c r="N194" s="70">
        <f t="shared" si="163"/>
        <v>42374.410367585529</v>
      </c>
      <c r="O194" s="54">
        <f t="shared" si="148"/>
        <v>4</v>
      </c>
      <c r="P194" s="71">
        <f t="shared" si="164"/>
        <v>62.375</v>
      </c>
      <c r="Q194" s="85">
        <f t="shared" si="165"/>
        <v>10593.602591896382</v>
      </c>
      <c r="R194" s="55">
        <f t="shared" si="160"/>
        <v>1466.8923322634766</v>
      </c>
      <c r="S194" s="55">
        <f t="shared" si="161"/>
        <v>3.4617409883432426E-2</v>
      </c>
      <c r="T194" s="55"/>
      <c r="U194" s="55"/>
      <c r="W194" s="273"/>
      <c r="X194" s="273"/>
    </row>
    <row r="195" spans="1:24" ht="12.75">
      <c r="A195" s="42" t="s">
        <v>170</v>
      </c>
      <c r="B195" s="53" t="s">
        <v>16</v>
      </c>
      <c r="C195" s="80" t="s">
        <v>171</v>
      </c>
      <c r="D195" s="53">
        <v>374</v>
      </c>
      <c r="E195" s="53">
        <v>1.7958000000000001</v>
      </c>
      <c r="F195" s="53">
        <v>1.4387000000000001</v>
      </c>
      <c r="G195" s="53">
        <v>1.3484</v>
      </c>
      <c r="H195" s="53">
        <v>192</v>
      </c>
      <c r="I195" s="53">
        <v>115</v>
      </c>
      <c r="J195" s="53">
        <v>119</v>
      </c>
      <c r="K195" s="55">
        <f t="shared" si="156"/>
        <v>39986.635482793179</v>
      </c>
      <c r="L195" s="55">
        <f t="shared" si="157"/>
        <v>29895.044137068184</v>
      </c>
      <c r="M195" s="55">
        <f t="shared" si="162"/>
        <v>33006.526253337288</v>
      </c>
      <c r="N195" s="70">
        <f t="shared" si="163"/>
        <v>34296.068624399551</v>
      </c>
      <c r="O195" s="54">
        <f t="shared" si="148"/>
        <v>3</v>
      </c>
      <c r="P195" s="71">
        <f t="shared" si="164"/>
        <v>124.66666666666667</v>
      </c>
      <c r="Q195" s="85">
        <f t="shared" si="165"/>
        <v>11432.02287479985</v>
      </c>
      <c r="R195" s="55">
        <f t="shared" si="160"/>
        <v>5167.9051478671481</v>
      </c>
      <c r="S195" s="55">
        <f t="shared" si="161"/>
        <v>0.15068505969195839</v>
      </c>
      <c r="T195" s="55"/>
      <c r="U195" s="55"/>
      <c r="W195" s="273"/>
      <c r="X195" s="273"/>
    </row>
    <row r="196" spans="1:24" ht="12.75">
      <c r="A196" s="42" t="s">
        <v>170</v>
      </c>
      <c r="B196" s="53" t="s">
        <v>11</v>
      </c>
      <c r="C196" s="80" t="s">
        <v>171</v>
      </c>
      <c r="D196" s="53">
        <v>255.5</v>
      </c>
      <c r="E196" s="53">
        <v>1.4906999999999999</v>
      </c>
      <c r="F196" s="53">
        <v>1.4092</v>
      </c>
      <c r="G196" s="53">
        <v>1.4181999999999999</v>
      </c>
      <c r="H196" s="53">
        <v>440</v>
      </c>
      <c r="I196" s="53">
        <v>482</v>
      </c>
      <c r="J196" s="53">
        <v>458</v>
      </c>
      <c r="K196" s="55">
        <f t="shared" si="156"/>
        <v>75414.234923190452</v>
      </c>
      <c r="L196" s="55">
        <f t="shared" si="157"/>
        <v>87390.718137950607</v>
      </c>
      <c r="M196" s="55">
        <f t="shared" si="162"/>
        <v>82512.339585389927</v>
      </c>
      <c r="N196" s="70">
        <f t="shared" si="163"/>
        <v>81772.43088217701</v>
      </c>
      <c r="O196" s="54">
        <f t="shared" si="148"/>
        <v>8</v>
      </c>
      <c r="P196" s="71">
        <f t="shared" si="164"/>
        <v>31.9375</v>
      </c>
      <c r="Q196" s="85">
        <f t="shared" si="165"/>
        <v>10221.553860272126</v>
      </c>
      <c r="R196" s="55">
        <f t="shared" si="160"/>
        <v>6022.4277675349185</v>
      </c>
      <c r="S196" s="55">
        <f t="shared" si="161"/>
        <v>7.3648633195366547E-2</v>
      </c>
      <c r="T196" s="55"/>
      <c r="U196" s="55"/>
      <c r="W196" s="273"/>
      <c r="X196" s="273"/>
    </row>
    <row r="197" spans="1:24" ht="12.75">
      <c r="A197" s="42">
        <v>44076</v>
      </c>
      <c r="B197" s="53" t="s">
        <v>16</v>
      </c>
      <c r="C197" s="80" t="s">
        <v>172</v>
      </c>
      <c r="D197" s="53">
        <v>206</v>
      </c>
      <c r="E197" s="53">
        <v>1.7775000000000001</v>
      </c>
      <c r="F197" s="53">
        <v>1.7205999999999999</v>
      </c>
      <c r="G197" s="53">
        <v>1.7211000000000001</v>
      </c>
      <c r="H197" s="53">
        <v>337</v>
      </c>
      <c r="I197" s="53">
        <v>306</v>
      </c>
      <c r="J197" s="53">
        <v>296</v>
      </c>
      <c r="K197" s="55">
        <f t="shared" si="156"/>
        <v>39055.977496483822</v>
      </c>
      <c r="L197" s="55">
        <f t="shared" si="157"/>
        <v>36636.057189352556</v>
      </c>
      <c r="M197" s="55">
        <f t="shared" si="162"/>
        <v>35428.505025855557</v>
      </c>
      <c r="N197" s="70">
        <f t="shared" si="163"/>
        <v>37040.179903897311</v>
      </c>
      <c r="O197" s="54">
        <f t="shared" si="148"/>
        <v>3</v>
      </c>
      <c r="P197" s="71">
        <f t="shared" si="164"/>
        <v>68.666666666666671</v>
      </c>
      <c r="Q197" s="85">
        <f t="shared" si="165"/>
        <v>12346.726634632438</v>
      </c>
      <c r="R197" s="55">
        <f t="shared" si="160"/>
        <v>1847.1939550571697</v>
      </c>
      <c r="S197" s="55">
        <f t="shared" si="161"/>
        <v>4.9870004947325075E-2</v>
      </c>
      <c r="T197" s="55">
        <v>3.4</v>
      </c>
      <c r="U197" s="55"/>
      <c r="W197" s="273"/>
      <c r="X197" s="273"/>
    </row>
    <row r="198" spans="1:24" ht="12.75">
      <c r="A198" s="42">
        <v>44077</v>
      </c>
      <c r="B198" s="53" t="s">
        <v>11</v>
      </c>
      <c r="C198" s="80" t="s">
        <v>172</v>
      </c>
      <c r="D198" s="53">
        <v>135</v>
      </c>
      <c r="E198" s="53">
        <v>1.5555000000000001</v>
      </c>
      <c r="F198" s="53">
        <v>1.5494000000000001</v>
      </c>
      <c r="G198" s="53">
        <v>1.5122</v>
      </c>
      <c r="H198" s="53">
        <v>429</v>
      </c>
      <c r="I198" s="53">
        <v>422</v>
      </c>
      <c r="J198" s="53">
        <v>404</v>
      </c>
      <c r="K198" s="55">
        <f t="shared" si="156"/>
        <v>37232.401157184184</v>
      </c>
      <c r="L198" s="55">
        <f t="shared" si="157"/>
        <v>36769.071898799528</v>
      </c>
      <c r="M198" s="55">
        <f t="shared" si="162"/>
        <v>36066.65784949081</v>
      </c>
      <c r="N198" s="70">
        <f t="shared" si="163"/>
        <v>36689.37696849151</v>
      </c>
      <c r="O198" s="54">
        <f t="shared" si="148"/>
        <v>3</v>
      </c>
      <c r="P198" s="71">
        <f t="shared" si="164"/>
        <v>45</v>
      </c>
      <c r="Q198" s="85">
        <f t="shared" si="165"/>
        <v>12229.792322830503</v>
      </c>
      <c r="R198" s="55">
        <f t="shared" si="160"/>
        <v>586.94363127609813</v>
      </c>
      <c r="S198" s="55">
        <f t="shared" si="161"/>
        <v>1.5997645088935683E-2</v>
      </c>
      <c r="T198" s="55">
        <v>1.3</v>
      </c>
      <c r="U198" s="55"/>
      <c r="W198" s="273"/>
      <c r="X198" s="273"/>
    </row>
    <row r="199" spans="1:24" ht="12.75">
      <c r="A199" s="42">
        <v>44078</v>
      </c>
      <c r="B199" s="53" t="s">
        <v>16</v>
      </c>
      <c r="C199" s="80" t="s">
        <v>172</v>
      </c>
      <c r="D199" s="53">
        <v>198</v>
      </c>
      <c r="E199" s="53">
        <v>1.4952000000000001</v>
      </c>
      <c r="F199" s="53">
        <v>1.4557</v>
      </c>
      <c r="G199" s="53">
        <v>1.5056</v>
      </c>
      <c r="H199" s="53">
        <v>603</v>
      </c>
      <c r="I199" s="53">
        <v>643</v>
      </c>
      <c r="J199" s="53">
        <v>588</v>
      </c>
      <c r="K199" s="55">
        <f t="shared" si="156"/>
        <v>79851.52487961475</v>
      </c>
      <c r="L199" s="55">
        <f t="shared" ref="L199:L209" si="169">$D199/F199*I199</f>
        <v>87458.954454901424</v>
      </c>
      <c r="M199" s="55">
        <f t="shared" ref="M199:M209" si="170">$D199/G199*J199</f>
        <v>77327.311370882046</v>
      </c>
      <c r="N199" s="70">
        <f t="shared" ref="N199:N209" si="171">AVERAGE(K199:M199)</f>
        <v>81545.930235132735</v>
      </c>
      <c r="O199" s="54">
        <f t="shared" ref="O199:O209" si="172">IF(ROUNDDOWN(N199/10000,0)=0,1,ROUNDDOWN(N199/10000,0))</f>
        <v>8</v>
      </c>
      <c r="P199" s="71">
        <f t="shared" ref="P199:P209" si="173">D199/O199</f>
        <v>24.75</v>
      </c>
      <c r="Q199" s="85">
        <f t="shared" ref="Q199:Q209" si="174">N199/O199</f>
        <v>10193.241279391592</v>
      </c>
      <c r="R199" s="55">
        <f t="shared" ref="R199:R209" si="175">STDEV(K199:M199)</f>
        <v>5274.0691147438956</v>
      </c>
      <c r="S199" s="55">
        <f t="shared" ref="S199:S209" si="176">R199/N199</f>
        <v>6.4676055562018095E-2</v>
      </c>
      <c r="T199" s="55">
        <v>2.7</v>
      </c>
      <c r="U199" s="55"/>
      <c r="W199" s="273"/>
      <c r="X199" s="273"/>
    </row>
    <row r="200" spans="1:24" ht="12.75">
      <c r="A200" s="42">
        <v>44078</v>
      </c>
      <c r="B200" s="53" t="s">
        <v>11</v>
      </c>
      <c r="C200" s="80" t="s">
        <v>173</v>
      </c>
      <c r="D200" s="53">
        <v>317.5</v>
      </c>
      <c r="E200" s="53">
        <v>1.6635</v>
      </c>
      <c r="F200" s="53">
        <v>1.5809</v>
      </c>
      <c r="G200" s="53">
        <v>1.7119</v>
      </c>
      <c r="H200" s="53">
        <v>410</v>
      </c>
      <c r="I200" s="53">
        <v>344</v>
      </c>
      <c r="J200" s="53">
        <v>391</v>
      </c>
      <c r="K200" s="55">
        <f t="shared" si="156"/>
        <v>78253.681995792009</v>
      </c>
      <c r="L200" s="55">
        <f t="shared" si="169"/>
        <v>69087.228793725095</v>
      </c>
      <c r="M200" s="55">
        <f t="shared" si="170"/>
        <v>72517.378351539228</v>
      </c>
      <c r="N200" s="70">
        <f t="shared" si="171"/>
        <v>73286.096380352115</v>
      </c>
      <c r="O200" s="54">
        <f t="shared" si="172"/>
        <v>7</v>
      </c>
      <c r="P200" s="71">
        <f t="shared" si="173"/>
        <v>45.357142857142854</v>
      </c>
      <c r="Q200" s="85">
        <f t="shared" si="174"/>
        <v>10469.442340050302</v>
      </c>
      <c r="R200" s="55">
        <f t="shared" si="175"/>
        <v>4631.3239610598575</v>
      </c>
      <c r="S200" s="55">
        <f t="shared" si="176"/>
        <v>6.3195124175033937E-2</v>
      </c>
      <c r="T200" s="55"/>
      <c r="U200" s="55"/>
      <c r="W200" s="273"/>
      <c r="X200" s="273"/>
    </row>
    <row r="201" spans="1:24" ht="12.75">
      <c r="A201" s="42">
        <v>44083</v>
      </c>
      <c r="B201" s="53" t="s">
        <v>19</v>
      </c>
      <c r="C201" s="80" t="s">
        <v>173</v>
      </c>
      <c r="D201" s="53">
        <f>93.5+E201+F201+G201</f>
        <v>98.254500000000007</v>
      </c>
      <c r="E201" s="53">
        <v>1.5223</v>
      </c>
      <c r="F201" s="53">
        <v>1.5166999999999999</v>
      </c>
      <c r="G201" s="53">
        <v>1.7155</v>
      </c>
      <c r="H201" s="53">
        <v>490</v>
      </c>
      <c r="I201" s="53">
        <v>571</v>
      </c>
      <c r="J201" s="53">
        <v>582</v>
      </c>
      <c r="K201" s="55">
        <f t="shared" si="156"/>
        <v>31626.292452210477</v>
      </c>
      <c r="L201" s="55">
        <f t="shared" si="169"/>
        <v>36990.386694797919</v>
      </c>
      <c r="M201" s="55">
        <f t="shared" si="170"/>
        <v>33333.79131448557</v>
      </c>
      <c r="N201" s="70">
        <f t="shared" si="171"/>
        <v>33983.490153831321</v>
      </c>
      <c r="O201" s="54">
        <f t="shared" si="172"/>
        <v>3</v>
      </c>
      <c r="P201" s="71">
        <f t="shared" si="173"/>
        <v>32.7515</v>
      </c>
      <c r="Q201" s="85">
        <f t="shared" si="174"/>
        <v>11327.830051277107</v>
      </c>
      <c r="R201" s="55">
        <f t="shared" si="175"/>
        <v>2740.4302941737724</v>
      </c>
      <c r="S201" s="55">
        <f t="shared" si="176"/>
        <v>8.064004849910375E-2</v>
      </c>
      <c r="T201" s="55"/>
      <c r="U201" s="55"/>
      <c r="W201" s="273"/>
      <c r="X201" s="273"/>
    </row>
    <row r="202" spans="1:24" ht="12.75">
      <c r="A202" s="42">
        <v>44085</v>
      </c>
      <c r="B202" s="53" t="s">
        <v>19</v>
      </c>
      <c r="C202" s="80" t="s">
        <v>173</v>
      </c>
      <c r="D202" s="53">
        <v>89</v>
      </c>
      <c r="E202" s="53">
        <v>1.4802</v>
      </c>
      <c r="F202" s="53">
        <v>1.4441999999999999</v>
      </c>
      <c r="G202" s="53">
        <v>1.5077</v>
      </c>
      <c r="H202" s="53">
        <v>158</v>
      </c>
      <c r="I202" s="53">
        <v>154</v>
      </c>
      <c r="J202" s="53">
        <v>167</v>
      </c>
      <c r="K202" s="55">
        <f t="shared" si="156"/>
        <v>9500.0675584380497</v>
      </c>
      <c r="L202" s="55">
        <f t="shared" si="169"/>
        <v>9490.3752942805713</v>
      </c>
      <c r="M202" s="55">
        <f t="shared" si="170"/>
        <v>9858.0619486635278</v>
      </c>
      <c r="N202" s="70">
        <f t="shared" si="171"/>
        <v>9616.1682671273829</v>
      </c>
      <c r="O202" s="54">
        <f t="shared" si="172"/>
        <v>1</v>
      </c>
      <c r="P202" s="71">
        <f t="shared" si="173"/>
        <v>89</v>
      </c>
      <c r="Q202" s="85">
        <f t="shared" si="174"/>
        <v>9616.1682671273829</v>
      </c>
      <c r="R202" s="55">
        <f t="shared" si="175"/>
        <v>209.5421195641988</v>
      </c>
      <c r="S202" s="55">
        <f t="shared" si="176"/>
        <v>2.1790604505176246E-2</v>
      </c>
      <c r="T202" s="55"/>
      <c r="U202" s="55"/>
      <c r="W202" s="273"/>
      <c r="X202" s="273"/>
    </row>
    <row r="203" spans="1:24" ht="12.75">
      <c r="A203" s="42">
        <v>44021</v>
      </c>
      <c r="B203" s="53" t="s">
        <v>11</v>
      </c>
      <c r="C203" s="80" t="s">
        <v>173</v>
      </c>
      <c r="D203" s="53">
        <v>273</v>
      </c>
      <c r="E203" s="53">
        <v>1.7297</v>
      </c>
      <c r="F203" s="53">
        <v>1.6984999999999999</v>
      </c>
      <c r="G203" s="53">
        <v>1.2485999999999999</v>
      </c>
      <c r="H203" s="53">
        <v>439</v>
      </c>
      <c r="I203" s="53">
        <v>417</v>
      </c>
      <c r="J203" s="53">
        <v>310</v>
      </c>
      <c r="K203" s="55">
        <f t="shared" si="156"/>
        <v>69287.737757992727</v>
      </c>
      <c r="L203" s="55">
        <f t="shared" si="169"/>
        <v>67024.433323520745</v>
      </c>
      <c r="M203" s="55">
        <f t="shared" si="170"/>
        <v>67779.913503123506</v>
      </c>
      <c r="N203" s="70">
        <f t="shared" si="171"/>
        <v>68030.694861545649</v>
      </c>
      <c r="O203" s="54">
        <f t="shared" si="172"/>
        <v>6</v>
      </c>
      <c r="P203" s="71">
        <f t="shared" si="173"/>
        <v>45.5</v>
      </c>
      <c r="Q203" s="85">
        <f t="shared" si="174"/>
        <v>11338.449143590942</v>
      </c>
      <c r="R203" s="55">
        <f t="shared" si="175"/>
        <v>1152.3043035909307</v>
      </c>
      <c r="S203" s="55">
        <f t="shared" si="176"/>
        <v>1.6938005791886607E-2</v>
      </c>
      <c r="T203" s="55"/>
      <c r="U203" s="55"/>
      <c r="W203" s="273"/>
      <c r="X203" s="273"/>
    </row>
    <row r="204" spans="1:24" ht="12.75">
      <c r="A204" s="42">
        <v>44021</v>
      </c>
      <c r="B204" s="53" t="s">
        <v>16</v>
      </c>
      <c r="C204" s="80" t="s">
        <v>173</v>
      </c>
      <c r="D204" s="53">
        <v>198.5</v>
      </c>
      <c r="E204" s="53">
        <v>1.3512999999999999</v>
      </c>
      <c r="F204" s="53">
        <v>1.3420000000000001</v>
      </c>
      <c r="G204" s="53">
        <v>1.4732000000000001</v>
      </c>
      <c r="H204" s="53">
        <v>383</v>
      </c>
      <c r="I204" s="53">
        <v>360</v>
      </c>
      <c r="J204" s="53">
        <v>454</v>
      </c>
      <c r="K204" s="55">
        <f t="shared" si="156"/>
        <v>56261.0079183009</v>
      </c>
      <c r="L204" s="55">
        <f t="shared" si="169"/>
        <v>53248.882265275701</v>
      </c>
      <c r="M204" s="55">
        <f t="shared" si="170"/>
        <v>61172.278034211238</v>
      </c>
      <c r="N204" s="70">
        <f t="shared" si="171"/>
        <v>56894.056072595944</v>
      </c>
      <c r="O204" s="54">
        <f t="shared" si="172"/>
        <v>5</v>
      </c>
      <c r="P204" s="71">
        <f t="shared" si="173"/>
        <v>39.700000000000003</v>
      </c>
      <c r="Q204" s="85">
        <f t="shared" si="174"/>
        <v>11378.811214519188</v>
      </c>
      <c r="R204" s="55">
        <f t="shared" si="175"/>
        <v>3999.4515376534655</v>
      </c>
      <c r="S204" s="55">
        <f t="shared" si="176"/>
        <v>7.029647407367523E-2</v>
      </c>
      <c r="T204" s="55"/>
      <c r="U204" s="55"/>
      <c r="W204" s="273"/>
      <c r="X204" s="273"/>
    </row>
    <row r="205" spans="1:24" ht="12.75">
      <c r="A205" s="42">
        <v>44085</v>
      </c>
      <c r="B205" s="53" t="s">
        <v>24</v>
      </c>
      <c r="C205" s="80" t="s">
        <v>174</v>
      </c>
      <c r="D205" s="53">
        <v>139.5</v>
      </c>
      <c r="E205" s="53">
        <v>1.3942000000000001</v>
      </c>
      <c r="F205" s="53">
        <v>1.3299000000000001</v>
      </c>
      <c r="G205" s="53">
        <v>1.3275999999999999</v>
      </c>
      <c r="H205" s="53">
        <v>501</v>
      </c>
      <c r="I205" s="53">
        <v>499</v>
      </c>
      <c r="J205" s="53">
        <v>479</v>
      </c>
      <c r="K205" s="55">
        <f t="shared" si="156"/>
        <v>50128.747668914068</v>
      </c>
      <c r="L205" s="55">
        <f t="shared" si="169"/>
        <v>52342.657342657345</v>
      </c>
      <c r="M205" s="55">
        <f t="shared" si="170"/>
        <v>50331.801747514313</v>
      </c>
      <c r="N205" s="70">
        <f t="shared" si="171"/>
        <v>50934.40225302858</v>
      </c>
      <c r="O205" s="54">
        <f t="shared" si="172"/>
        <v>5</v>
      </c>
      <c r="P205" s="71">
        <f t="shared" si="173"/>
        <v>27.9</v>
      </c>
      <c r="Q205" s="85">
        <f t="shared" si="174"/>
        <v>10186.880450605717</v>
      </c>
      <c r="R205" s="55">
        <f t="shared" si="175"/>
        <v>1223.803308464252</v>
      </c>
      <c r="S205" s="55">
        <f t="shared" si="176"/>
        <v>2.4027047620677325E-2</v>
      </c>
      <c r="T205" s="55"/>
      <c r="U205" s="55"/>
      <c r="W205" s="273"/>
      <c r="X205" s="273"/>
    </row>
    <row r="206" spans="1:24" ht="12.75">
      <c r="A206" s="42">
        <v>44083</v>
      </c>
      <c r="B206" s="53" t="s">
        <v>11</v>
      </c>
      <c r="C206" s="80" t="s">
        <v>174</v>
      </c>
      <c r="D206" s="53">
        <v>323.5</v>
      </c>
      <c r="E206" s="53">
        <v>2.2446999999999999</v>
      </c>
      <c r="F206" s="53">
        <v>1.7777000000000001</v>
      </c>
      <c r="G206" s="53">
        <v>1.7141</v>
      </c>
      <c r="H206" s="53">
        <v>191</v>
      </c>
      <c r="I206" s="53">
        <v>164</v>
      </c>
      <c r="J206" s="53">
        <v>148</v>
      </c>
      <c r="K206" s="55">
        <f t="shared" si="156"/>
        <v>27526.395509422193</v>
      </c>
      <c r="L206" s="55">
        <f t="shared" si="169"/>
        <v>29844.180682904876</v>
      </c>
      <c r="M206" s="55">
        <f t="shared" si="170"/>
        <v>27931.85928475585</v>
      </c>
      <c r="N206" s="70">
        <f t="shared" si="171"/>
        <v>28434.145159027641</v>
      </c>
      <c r="O206" s="54">
        <v>3</v>
      </c>
      <c r="P206" s="71">
        <f t="shared" si="173"/>
        <v>107.83333333333333</v>
      </c>
      <c r="Q206" s="85">
        <f t="shared" si="174"/>
        <v>9478.048386342547</v>
      </c>
      <c r="R206" s="55">
        <f t="shared" si="175"/>
        <v>1237.8410044201034</v>
      </c>
      <c r="S206" s="55">
        <f t="shared" si="176"/>
        <v>4.3533610646532751E-2</v>
      </c>
      <c r="T206" s="55"/>
      <c r="U206" s="55"/>
      <c r="W206" s="273"/>
      <c r="X206" s="273"/>
    </row>
    <row r="207" spans="1:24" ht="12.75">
      <c r="A207" s="42">
        <v>44085</v>
      </c>
      <c r="B207" s="53" t="s">
        <v>8</v>
      </c>
      <c r="C207" s="80" t="s">
        <v>174</v>
      </c>
      <c r="D207" s="53">
        <v>310</v>
      </c>
      <c r="E207" s="53">
        <v>1.6117999999999999</v>
      </c>
      <c r="F207" s="53">
        <v>1.7019</v>
      </c>
      <c r="G207" s="53">
        <v>1.7898000000000001</v>
      </c>
      <c r="H207" s="53">
        <v>354</v>
      </c>
      <c r="I207" s="53">
        <v>334</v>
      </c>
      <c r="J207" s="53">
        <v>458</v>
      </c>
      <c r="K207" s="55">
        <f t="shared" si="156"/>
        <v>68085.370393349061</v>
      </c>
      <c r="L207" s="55">
        <f t="shared" si="169"/>
        <v>60837.887067395262</v>
      </c>
      <c r="M207" s="55">
        <f t="shared" si="170"/>
        <v>79327.299139568669</v>
      </c>
      <c r="N207" s="70">
        <f t="shared" si="171"/>
        <v>69416.852200104331</v>
      </c>
      <c r="O207" s="54">
        <v>7</v>
      </c>
      <c r="P207" s="71">
        <f t="shared" si="173"/>
        <v>44.285714285714285</v>
      </c>
      <c r="Q207" s="85">
        <f t="shared" si="174"/>
        <v>9916.6931714434759</v>
      </c>
      <c r="R207" s="55">
        <f t="shared" si="175"/>
        <v>9316.3416932264008</v>
      </c>
      <c r="S207" s="55">
        <f t="shared" si="176"/>
        <v>0.13420864527781626</v>
      </c>
      <c r="T207" s="55"/>
      <c r="U207" s="55"/>
      <c r="W207" s="273"/>
      <c r="X207" s="273"/>
    </row>
    <row r="208" spans="1:24" ht="12.75">
      <c r="A208" s="42">
        <v>44083</v>
      </c>
      <c r="B208" s="53" t="s">
        <v>16</v>
      </c>
      <c r="C208" s="80" t="s">
        <v>174</v>
      </c>
      <c r="D208" s="53">
        <v>335</v>
      </c>
      <c r="E208" s="53">
        <v>1.5938000000000001</v>
      </c>
      <c r="F208" s="53">
        <v>1.5450999999999999</v>
      </c>
      <c r="G208" s="53">
        <v>1.6483000000000001</v>
      </c>
      <c r="H208" s="53">
        <v>521</v>
      </c>
      <c r="I208" s="53">
        <v>416</v>
      </c>
      <c r="J208" s="53">
        <v>542</v>
      </c>
      <c r="K208" s="55">
        <f t="shared" si="156"/>
        <v>109508.72129501819</v>
      </c>
      <c r="L208" s="55">
        <f t="shared" si="169"/>
        <v>90194.809397450008</v>
      </c>
      <c r="M208" s="55">
        <f t="shared" si="170"/>
        <v>110155.91821877084</v>
      </c>
      <c r="N208" s="70">
        <f t="shared" si="171"/>
        <v>103286.48297041301</v>
      </c>
      <c r="O208" s="54">
        <f t="shared" si="172"/>
        <v>10</v>
      </c>
      <c r="P208" s="71">
        <f t="shared" si="173"/>
        <v>33.5</v>
      </c>
      <c r="Q208" s="85">
        <f t="shared" si="174"/>
        <v>10328.648297041302</v>
      </c>
      <c r="R208" s="55">
        <f t="shared" si="175"/>
        <v>11342.338985865839</v>
      </c>
      <c r="S208" s="55">
        <f t="shared" si="176"/>
        <v>0.1098143596303392</v>
      </c>
      <c r="T208" s="55"/>
      <c r="U208" s="55"/>
      <c r="W208" s="273"/>
      <c r="X208" s="273"/>
    </row>
    <row r="209" spans="1:24" ht="12.75">
      <c r="A209" s="42" t="s">
        <v>171</v>
      </c>
      <c r="B209" s="53" t="s">
        <v>24</v>
      </c>
      <c r="C209" s="80" t="s">
        <v>175</v>
      </c>
      <c r="D209" s="53">
        <v>134</v>
      </c>
      <c r="E209" s="53">
        <v>1.4677</v>
      </c>
      <c r="F209" s="53">
        <v>1.5527</v>
      </c>
      <c r="G209" s="53">
        <v>1.4891000000000001</v>
      </c>
      <c r="H209" s="53">
        <v>477</v>
      </c>
      <c r="I209" s="53">
        <v>478</v>
      </c>
      <c r="J209" s="53">
        <v>505</v>
      </c>
      <c r="K209" s="55">
        <f t="shared" si="156"/>
        <v>43549.771751720378</v>
      </c>
      <c r="L209" s="55">
        <f t="shared" si="169"/>
        <v>41252.012623172544</v>
      </c>
      <c r="M209" s="55">
        <f t="shared" si="170"/>
        <v>45443.556510644012</v>
      </c>
      <c r="N209" s="70">
        <f t="shared" si="171"/>
        <v>43415.113628512307</v>
      </c>
      <c r="O209" s="54">
        <f t="shared" si="172"/>
        <v>4</v>
      </c>
      <c r="P209" s="71">
        <f t="shared" si="173"/>
        <v>33.5</v>
      </c>
      <c r="Q209" s="85">
        <f t="shared" si="174"/>
        <v>10853.778407128077</v>
      </c>
      <c r="R209" s="55">
        <f t="shared" si="175"/>
        <v>2099.0139703582954</v>
      </c>
      <c r="S209" s="55">
        <f t="shared" si="176"/>
        <v>4.8347540635706079E-2</v>
      </c>
      <c r="T209" s="55"/>
      <c r="U209" s="55"/>
      <c r="W209" s="273"/>
      <c r="X209" s="273"/>
    </row>
    <row r="210" spans="1:24" ht="12.75">
      <c r="A210" s="42" t="s">
        <v>171</v>
      </c>
      <c r="B210" s="53" t="s">
        <v>8</v>
      </c>
      <c r="C210" s="80" t="s">
        <v>175</v>
      </c>
      <c r="D210" s="53">
        <v>175</v>
      </c>
      <c r="E210" s="53">
        <v>1.5166999999999999</v>
      </c>
      <c r="F210" s="53">
        <v>1.5575000000000001</v>
      </c>
      <c r="G210" s="53">
        <v>1.5829</v>
      </c>
      <c r="H210" s="53">
        <v>369</v>
      </c>
      <c r="I210" s="53">
        <v>380</v>
      </c>
      <c r="J210" s="53">
        <v>330</v>
      </c>
      <c r="K210" s="55">
        <f t="shared" si="156"/>
        <v>42575.987340937565</v>
      </c>
      <c r="L210" s="55">
        <f t="shared" ref="L210:L272" si="177">$D210/F210*I210</f>
        <v>42696.629213483146</v>
      </c>
      <c r="M210" s="55">
        <f t="shared" ref="M210:M272" si="178">$D210/G210*J210</f>
        <v>36483.66921473245</v>
      </c>
      <c r="N210" s="70">
        <f t="shared" ref="N210:N272" si="179">AVERAGE(K210:M210)</f>
        <v>40585.428589717718</v>
      </c>
      <c r="O210" s="54">
        <f t="shared" ref="O210:O272" si="180">IF(ROUNDDOWN(N210/10000,0)=0,1,ROUNDDOWN(N210/10000,0))</f>
        <v>4</v>
      </c>
      <c r="P210" s="71">
        <f t="shared" ref="P210:P272" si="181">D210/O210</f>
        <v>43.75</v>
      </c>
      <c r="Q210" s="85">
        <f t="shared" ref="Q210:Q272" si="182">N210/O210</f>
        <v>10146.357147429429</v>
      </c>
      <c r="R210" s="55">
        <f t="shared" ref="R210:R272" si="183">STDEV(K210:M210)</f>
        <v>3552.739941659464</v>
      </c>
      <c r="S210" s="55">
        <f t="shared" ref="S210:S272" si="184">R210/N210</f>
        <v>8.7537327191354278E-2</v>
      </c>
      <c r="T210" s="55"/>
      <c r="U210" s="55"/>
      <c r="W210" s="273"/>
      <c r="X210" s="273"/>
    </row>
    <row r="211" spans="1:24" ht="12.75">
      <c r="A211" s="42">
        <v>44085</v>
      </c>
      <c r="B211" s="53" t="s">
        <v>16</v>
      </c>
      <c r="C211" s="80" t="s">
        <v>175</v>
      </c>
      <c r="D211" s="53">
        <v>190.5</v>
      </c>
      <c r="E211" s="53">
        <v>1.5449999999999999</v>
      </c>
      <c r="F211" s="53">
        <v>1.4331</v>
      </c>
      <c r="G211" s="53">
        <v>1.5024</v>
      </c>
      <c r="H211" s="53">
        <v>298</v>
      </c>
      <c r="I211" s="53">
        <v>240</v>
      </c>
      <c r="J211" s="53">
        <v>236</v>
      </c>
      <c r="K211" s="55">
        <f t="shared" si="156"/>
        <v>36743.689320388352</v>
      </c>
      <c r="L211" s="55">
        <f t="shared" si="177"/>
        <v>31902.867908729328</v>
      </c>
      <c r="M211" s="55">
        <f t="shared" si="178"/>
        <v>29924.1214057508</v>
      </c>
      <c r="N211" s="70">
        <f t="shared" si="179"/>
        <v>32856.892878289495</v>
      </c>
      <c r="O211" s="54">
        <f t="shared" si="180"/>
        <v>3</v>
      </c>
      <c r="P211" s="71">
        <f t="shared" si="181"/>
        <v>63.5</v>
      </c>
      <c r="Q211" s="85">
        <f t="shared" si="182"/>
        <v>10952.297626096499</v>
      </c>
      <c r="R211" s="55">
        <f t="shared" si="183"/>
        <v>3508.4539853754241</v>
      </c>
      <c r="S211" s="55">
        <f t="shared" si="184"/>
        <v>0.10677984672414562</v>
      </c>
      <c r="T211" s="55"/>
      <c r="U211" s="55"/>
      <c r="W211" s="273"/>
      <c r="X211" s="273"/>
    </row>
    <row r="212" spans="1:24" ht="12.75">
      <c r="A212" s="42">
        <v>44088</v>
      </c>
      <c r="B212" s="53" t="s">
        <v>11</v>
      </c>
      <c r="C212" s="80">
        <v>44105</v>
      </c>
      <c r="D212" s="53">
        <v>177.5</v>
      </c>
      <c r="E212" s="53">
        <v>1.4409000000000001</v>
      </c>
      <c r="F212" s="53">
        <v>1.5652999999999999</v>
      </c>
      <c r="G212" s="53">
        <v>1.6662999999999999</v>
      </c>
      <c r="H212" s="53">
        <v>238</v>
      </c>
      <c r="I212" s="53">
        <v>286</v>
      </c>
      <c r="J212" s="53">
        <v>333</v>
      </c>
      <c r="K212" s="55">
        <f t="shared" si="156"/>
        <v>29318.481504615171</v>
      </c>
      <c r="L212" s="55">
        <f t="shared" si="177"/>
        <v>32431.482782853131</v>
      </c>
      <c r="M212" s="55">
        <f t="shared" si="178"/>
        <v>35472.30390685951</v>
      </c>
      <c r="N212" s="70">
        <f t="shared" si="179"/>
        <v>32407.422731442606</v>
      </c>
      <c r="O212" s="54">
        <f t="shared" si="180"/>
        <v>3</v>
      </c>
      <c r="P212" s="71">
        <f t="shared" si="181"/>
        <v>59.166666666666664</v>
      </c>
      <c r="Q212" s="85">
        <f t="shared" si="182"/>
        <v>10802.474243814202</v>
      </c>
      <c r="R212" s="55">
        <f t="shared" si="183"/>
        <v>3076.9817523258862</v>
      </c>
      <c r="S212" s="55">
        <f t="shared" si="184"/>
        <v>9.4946820604173213E-2</v>
      </c>
      <c r="T212" s="55"/>
      <c r="U212" s="55"/>
      <c r="W212" s="273"/>
      <c r="X212" s="273"/>
    </row>
    <row r="213" spans="1:24" ht="12.75">
      <c r="A213" s="42" t="s">
        <v>171</v>
      </c>
      <c r="B213" s="53" t="s">
        <v>16</v>
      </c>
      <c r="C213" s="80">
        <v>44105</v>
      </c>
      <c r="D213" s="53">
        <v>143.5</v>
      </c>
      <c r="E213" s="53">
        <v>1.3951</v>
      </c>
      <c r="F213" s="53">
        <v>1.3895999999999999</v>
      </c>
      <c r="G213" s="53">
        <v>1.3278000000000001</v>
      </c>
      <c r="H213" s="53">
        <v>424</v>
      </c>
      <c r="I213" s="53">
        <v>428</v>
      </c>
      <c r="J213" s="53">
        <v>425</v>
      </c>
      <c r="K213" s="55">
        <f t="shared" si="156"/>
        <v>43612.644254892119</v>
      </c>
      <c r="L213" s="55">
        <f t="shared" si="177"/>
        <v>44198.330454807139</v>
      </c>
      <c r="M213" s="55">
        <f t="shared" si="178"/>
        <v>45931.23964452478</v>
      </c>
      <c r="N213" s="70">
        <f t="shared" si="179"/>
        <v>44580.738118074682</v>
      </c>
      <c r="O213" s="54">
        <f t="shared" si="180"/>
        <v>4</v>
      </c>
      <c r="P213" s="71">
        <f t="shared" si="181"/>
        <v>35.875</v>
      </c>
      <c r="Q213" s="85">
        <f t="shared" si="182"/>
        <v>11145.18452951867</v>
      </c>
      <c r="R213" s="55">
        <f t="shared" si="183"/>
        <v>1205.6731982178101</v>
      </c>
      <c r="S213" s="55">
        <f t="shared" si="184"/>
        <v>2.7044711440723894E-2</v>
      </c>
      <c r="T213" s="55"/>
      <c r="U213" s="55"/>
      <c r="W213" s="273"/>
      <c r="X213" s="273"/>
    </row>
    <row r="214" spans="1:24" ht="12.75">
      <c r="A214" s="42" t="s">
        <v>176</v>
      </c>
      <c r="B214" s="53" t="s">
        <v>19</v>
      </c>
      <c r="C214" s="80">
        <v>44105</v>
      </c>
      <c r="D214" s="53">
        <v>140</v>
      </c>
      <c r="E214" s="53">
        <v>1.591</v>
      </c>
      <c r="F214" s="53">
        <v>1.6986000000000001</v>
      </c>
      <c r="G214" s="53">
        <v>1.8209</v>
      </c>
      <c r="H214" s="53">
        <v>212</v>
      </c>
      <c r="I214" s="53">
        <v>230</v>
      </c>
      <c r="J214" s="53">
        <v>289</v>
      </c>
      <c r="K214" s="55">
        <f t="shared" si="156"/>
        <v>18654.934003771214</v>
      </c>
      <c r="L214" s="55">
        <f t="shared" si="177"/>
        <v>18956.787943011892</v>
      </c>
      <c r="M214" s="55">
        <f t="shared" si="178"/>
        <v>22219.781426766982</v>
      </c>
      <c r="N214" s="70">
        <f t="shared" si="179"/>
        <v>19943.834457850029</v>
      </c>
      <c r="O214" s="54">
        <f t="shared" si="180"/>
        <v>1</v>
      </c>
      <c r="P214" s="71">
        <f t="shared" si="181"/>
        <v>140</v>
      </c>
      <c r="Q214" s="85">
        <f t="shared" si="182"/>
        <v>19943.834457850029</v>
      </c>
      <c r="R214" s="55">
        <f t="shared" si="183"/>
        <v>1976.7978915788224</v>
      </c>
      <c r="S214" s="55">
        <f t="shared" si="184"/>
        <v>9.9118246080343961E-2</v>
      </c>
      <c r="T214" s="55"/>
      <c r="U214" s="55"/>
      <c r="W214" s="273"/>
      <c r="X214" s="273"/>
    </row>
    <row r="215" spans="1:24" ht="12.75">
      <c r="A215" s="42" t="s">
        <v>176</v>
      </c>
      <c r="B215" s="53" t="s">
        <v>8</v>
      </c>
      <c r="C215" s="80">
        <v>44105</v>
      </c>
      <c r="D215" s="53">
        <v>375</v>
      </c>
      <c r="E215" s="53">
        <v>1.5032000000000001</v>
      </c>
      <c r="F215" s="53">
        <v>1.5892999999999999</v>
      </c>
      <c r="G215" s="53">
        <v>1.4950000000000001</v>
      </c>
      <c r="H215" s="53">
        <v>325</v>
      </c>
      <c r="I215" s="53">
        <v>311</v>
      </c>
      <c r="J215" s="53">
        <v>282</v>
      </c>
      <c r="K215" s="55">
        <f t="shared" si="156"/>
        <v>81077.035657264496</v>
      </c>
      <c r="L215" s="55">
        <f t="shared" si="177"/>
        <v>73381.362864154042</v>
      </c>
      <c r="M215" s="55">
        <f t="shared" si="178"/>
        <v>70735.785953177256</v>
      </c>
      <c r="N215" s="70">
        <f t="shared" si="179"/>
        <v>75064.728158198603</v>
      </c>
      <c r="O215" s="54">
        <f t="shared" si="180"/>
        <v>7</v>
      </c>
      <c r="P215" s="71">
        <f t="shared" si="181"/>
        <v>53.571428571428569</v>
      </c>
      <c r="Q215" s="85">
        <f t="shared" si="182"/>
        <v>10723.532594028371</v>
      </c>
      <c r="R215" s="55">
        <f t="shared" si="183"/>
        <v>5372.210941080627</v>
      </c>
      <c r="S215" s="55">
        <f t="shared" si="184"/>
        <v>7.1567713264194005E-2</v>
      </c>
      <c r="T215" s="55"/>
      <c r="U215" s="55"/>
      <c r="W215" s="273"/>
      <c r="X215" s="273"/>
    </row>
    <row r="216" spans="1:24" ht="12.75">
      <c r="A216" s="42" t="s">
        <v>176</v>
      </c>
      <c r="B216" s="53" t="s">
        <v>11</v>
      </c>
      <c r="C216" s="80">
        <v>44106</v>
      </c>
      <c r="D216" s="53">
        <v>487.5</v>
      </c>
      <c r="E216" s="53">
        <v>1.7690999999999999</v>
      </c>
      <c r="F216" s="53">
        <v>1.7677</v>
      </c>
      <c r="G216" s="53">
        <v>1.7521</v>
      </c>
      <c r="H216" s="53">
        <v>235</v>
      </c>
      <c r="I216" s="53">
        <v>208</v>
      </c>
      <c r="J216" s="53">
        <v>216</v>
      </c>
      <c r="K216" s="55">
        <f t="shared" si="156"/>
        <v>64757.503815499418</v>
      </c>
      <c r="L216" s="55">
        <f t="shared" si="177"/>
        <v>57362.674661990153</v>
      </c>
      <c r="M216" s="55">
        <f t="shared" si="178"/>
        <v>60099.309400148391</v>
      </c>
      <c r="N216" s="70">
        <f t="shared" si="179"/>
        <v>60739.82929254599</v>
      </c>
      <c r="O216" s="54">
        <f t="shared" si="180"/>
        <v>6</v>
      </c>
      <c r="P216" s="71">
        <f t="shared" si="181"/>
        <v>81.25</v>
      </c>
      <c r="Q216" s="85">
        <f t="shared" si="182"/>
        <v>10123.304882090999</v>
      </c>
      <c r="R216" s="55">
        <f t="shared" si="183"/>
        <v>3738.7931009639206</v>
      </c>
      <c r="S216" s="55">
        <f t="shared" si="184"/>
        <v>6.1554224707423506E-2</v>
      </c>
      <c r="T216" s="55">
        <f>4+3.5</f>
        <v>7.5</v>
      </c>
      <c r="U216" s="55"/>
      <c r="W216" s="273"/>
      <c r="X216" s="273"/>
    </row>
    <row r="217" spans="1:24" ht="12.75">
      <c r="A217" s="42">
        <v>44090</v>
      </c>
      <c r="B217" s="53" t="s">
        <v>11</v>
      </c>
      <c r="C217" s="80">
        <v>44106</v>
      </c>
      <c r="D217" s="53">
        <v>369.5</v>
      </c>
      <c r="E217" s="53">
        <v>1.9410000000000001</v>
      </c>
      <c r="F217" s="53">
        <v>1.9867999999999999</v>
      </c>
      <c r="G217" s="53">
        <v>1.6970000000000001</v>
      </c>
      <c r="H217" s="53">
        <v>161</v>
      </c>
      <c r="I217" s="53">
        <v>168</v>
      </c>
      <c r="J217" s="53">
        <v>147</v>
      </c>
      <c r="K217" s="55">
        <f t="shared" si="156"/>
        <v>30648.892323544565</v>
      </c>
      <c r="L217" s="55">
        <f t="shared" si="177"/>
        <v>31244.211797865915</v>
      </c>
      <c r="M217" s="55">
        <f t="shared" si="178"/>
        <v>32007.365939893931</v>
      </c>
      <c r="N217" s="70">
        <f t="shared" si="179"/>
        <v>31300.156687101469</v>
      </c>
      <c r="O217" s="54">
        <f t="shared" si="180"/>
        <v>3</v>
      </c>
      <c r="P217" s="71">
        <f t="shared" si="181"/>
        <v>123.16666666666667</v>
      </c>
      <c r="Q217" s="85">
        <f t="shared" si="182"/>
        <v>10433.385562367157</v>
      </c>
      <c r="R217" s="55">
        <f t="shared" si="183"/>
        <v>680.96256472218397</v>
      </c>
      <c r="S217" s="55">
        <f t="shared" si="184"/>
        <v>2.175588357366923E-2</v>
      </c>
      <c r="T217" s="55"/>
      <c r="U217" s="55"/>
      <c r="W217" s="273"/>
      <c r="X217" s="273"/>
    </row>
    <row r="218" spans="1:24" ht="12.75">
      <c r="A218" s="42">
        <v>44090</v>
      </c>
      <c r="B218" s="53" t="s">
        <v>16</v>
      </c>
      <c r="C218" s="80">
        <v>44106</v>
      </c>
      <c r="D218" s="53">
        <v>235.5</v>
      </c>
      <c r="E218" s="53">
        <v>1.5126999999999999</v>
      </c>
      <c r="F218" s="53">
        <v>1.7650999999999999</v>
      </c>
      <c r="G218" s="53">
        <v>1.5536000000000001</v>
      </c>
      <c r="H218" s="53">
        <v>274</v>
      </c>
      <c r="I218" s="53">
        <v>323</v>
      </c>
      <c r="J218" s="53">
        <v>312</v>
      </c>
      <c r="K218" s="55">
        <f t="shared" si="156"/>
        <v>42656.838765121975</v>
      </c>
      <c r="L218" s="55">
        <f t="shared" si="177"/>
        <v>43094.72551130248</v>
      </c>
      <c r="M218" s="55">
        <f t="shared" si="178"/>
        <v>47294.026776519051</v>
      </c>
      <c r="N218" s="70">
        <f t="shared" si="179"/>
        <v>44348.530350981164</v>
      </c>
      <c r="O218" s="54">
        <f t="shared" si="180"/>
        <v>4</v>
      </c>
      <c r="P218" s="71">
        <f t="shared" si="181"/>
        <v>58.875</v>
      </c>
      <c r="Q218" s="85">
        <f t="shared" si="182"/>
        <v>11087.132587745291</v>
      </c>
      <c r="R218" s="55">
        <f t="shared" si="183"/>
        <v>2560.2535216775836</v>
      </c>
      <c r="S218" s="55">
        <f t="shared" si="184"/>
        <v>5.7730290077604357E-2</v>
      </c>
      <c r="V218" s="55"/>
      <c r="W218" s="273"/>
      <c r="X218" s="273"/>
    </row>
    <row r="219" spans="1:24" ht="12.75">
      <c r="A219" s="42">
        <v>44090</v>
      </c>
      <c r="B219" s="53" t="s">
        <v>16</v>
      </c>
      <c r="C219" s="80">
        <v>44106</v>
      </c>
      <c r="D219" s="53">
        <v>265.5</v>
      </c>
      <c r="E219" s="53">
        <v>1.5317000000000001</v>
      </c>
      <c r="F219" s="53">
        <v>1.7864</v>
      </c>
      <c r="G219" s="53">
        <v>1.6413</v>
      </c>
      <c r="H219" s="53">
        <v>234</v>
      </c>
      <c r="I219" s="53">
        <v>248</v>
      </c>
      <c r="J219" s="53">
        <v>242</v>
      </c>
      <c r="K219" s="55">
        <f t="shared" si="156"/>
        <v>40560.814780962333</v>
      </c>
      <c r="L219" s="55">
        <f t="shared" si="177"/>
        <v>36858.486341244963</v>
      </c>
      <c r="M219" s="55">
        <f t="shared" si="178"/>
        <v>39146.408334856518</v>
      </c>
      <c r="N219" s="70">
        <f t="shared" si="179"/>
        <v>38855.236485687936</v>
      </c>
      <c r="O219" s="54">
        <f t="shared" si="180"/>
        <v>3</v>
      </c>
      <c r="P219" s="71">
        <f t="shared" si="181"/>
        <v>88.5</v>
      </c>
      <c r="Q219" s="85">
        <f t="shared" si="182"/>
        <v>12951.745495229312</v>
      </c>
      <c r="R219" s="55">
        <f t="shared" si="183"/>
        <v>1868.2598195101777</v>
      </c>
      <c r="S219" s="55">
        <f t="shared" si="184"/>
        <v>4.8082574923931774E-2</v>
      </c>
      <c r="T219" s="55"/>
      <c r="U219" s="55"/>
      <c r="W219" s="273"/>
      <c r="X219" s="273"/>
    </row>
    <row r="220" spans="1:24" ht="12.75">
      <c r="A220" s="42">
        <v>44090</v>
      </c>
      <c r="B220" s="53" t="s">
        <v>24</v>
      </c>
      <c r="C220" s="80">
        <v>44106</v>
      </c>
      <c r="D220" s="53">
        <v>341</v>
      </c>
      <c r="E220" s="53">
        <v>1.6512</v>
      </c>
      <c r="F220" s="53">
        <v>1.8142</v>
      </c>
      <c r="G220" s="53">
        <v>1.7087000000000001</v>
      </c>
      <c r="H220" s="53">
        <v>239</v>
      </c>
      <c r="I220" s="53">
        <v>267</v>
      </c>
      <c r="J220" s="53">
        <v>256</v>
      </c>
      <c r="K220" s="55">
        <f t="shared" si="156"/>
        <v>49357.437015503878</v>
      </c>
      <c r="L220" s="55">
        <f t="shared" si="177"/>
        <v>50185.756807408223</v>
      </c>
      <c r="M220" s="55">
        <f t="shared" si="178"/>
        <v>51089.132088722414</v>
      </c>
      <c r="N220" s="70">
        <f t="shared" si="179"/>
        <v>50210.775303878174</v>
      </c>
      <c r="O220" s="54">
        <f t="shared" si="180"/>
        <v>5</v>
      </c>
      <c r="P220" s="71">
        <f t="shared" si="181"/>
        <v>68.2</v>
      </c>
      <c r="Q220" s="85">
        <f t="shared" si="182"/>
        <v>10042.155060775634</v>
      </c>
      <c r="R220" s="55">
        <f t="shared" si="183"/>
        <v>866.11858340907941</v>
      </c>
      <c r="S220" s="55">
        <f t="shared" si="184"/>
        <v>1.7249655639995309E-2</v>
      </c>
      <c r="T220" s="55"/>
      <c r="U220" s="55"/>
      <c r="W220" s="273"/>
      <c r="X220" s="273"/>
    </row>
    <row r="221" spans="1:24" ht="12.75">
      <c r="A221" s="42" t="s">
        <v>176</v>
      </c>
      <c r="B221" s="53" t="s">
        <v>8</v>
      </c>
      <c r="C221" s="80">
        <v>44106</v>
      </c>
      <c r="D221" s="53">
        <v>463</v>
      </c>
      <c r="E221" s="53">
        <v>1.4414</v>
      </c>
      <c r="F221" s="53">
        <v>1.5986</v>
      </c>
      <c r="G221" s="53">
        <v>1.5461</v>
      </c>
      <c r="H221" s="53">
        <v>250</v>
      </c>
      <c r="I221" s="53">
        <v>284</v>
      </c>
      <c r="J221" s="53">
        <v>281</v>
      </c>
      <c r="K221" s="55">
        <f t="shared" si="156"/>
        <v>80303.87123629803</v>
      </c>
      <c r="L221" s="55">
        <f t="shared" si="177"/>
        <v>82254.472663580629</v>
      </c>
      <c r="M221" s="55">
        <f t="shared" si="178"/>
        <v>84149.149472867211</v>
      </c>
      <c r="N221" s="70">
        <f t="shared" si="179"/>
        <v>82235.831124248623</v>
      </c>
      <c r="O221" s="54">
        <f t="shared" si="180"/>
        <v>8</v>
      </c>
      <c r="P221" s="71">
        <f t="shared" si="181"/>
        <v>57.875</v>
      </c>
      <c r="Q221" s="85">
        <f t="shared" si="182"/>
        <v>10279.478890531078</v>
      </c>
      <c r="R221" s="55">
        <f t="shared" si="183"/>
        <v>1922.7068963832344</v>
      </c>
      <c r="S221" s="55">
        <f t="shared" si="184"/>
        <v>2.3380403287689176E-2</v>
      </c>
      <c r="T221" s="55"/>
      <c r="U221" s="55"/>
      <c r="W221" s="273"/>
      <c r="X221" s="273"/>
    </row>
    <row r="222" spans="1:24" ht="12.75">
      <c r="A222" s="42" t="s">
        <v>177</v>
      </c>
      <c r="B222" s="53" t="s">
        <v>24</v>
      </c>
      <c r="C222" s="80">
        <v>44110</v>
      </c>
      <c r="D222" s="53">
        <v>269</v>
      </c>
      <c r="E222" s="53">
        <v>1.7964</v>
      </c>
      <c r="F222" s="53">
        <v>1.5334000000000001</v>
      </c>
      <c r="G222" s="53">
        <v>1.6447000000000001</v>
      </c>
      <c r="H222" s="53">
        <v>201</v>
      </c>
      <c r="I222" s="53">
        <v>188</v>
      </c>
      <c r="J222" s="53">
        <v>225</v>
      </c>
      <c r="K222" s="55">
        <f t="shared" si="156"/>
        <v>30098.530394121575</v>
      </c>
      <c r="L222" s="55">
        <f t="shared" si="177"/>
        <v>32980.305204121556</v>
      </c>
      <c r="M222" s="55">
        <f t="shared" si="178"/>
        <v>36800.024320544784</v>
      </c>
      <c r="N222" s="70">
        <f t="shared" si="179"/>
        <v>33292.953306262636</v>
      </c>
      <c r="O222" s="54">
        <f t="shared" si="180"/>
        <v>3</v>
      </c>
      <c r="P222" s="71">
        <f t="shared" si="181"/>
        <v>89.666666666666671</v>
      </c>
      <c r="Q222" s="85">
        <f t="shared" si="182"/>
        <v>11097.651102087546</v>
      </c>
      <c r="R222" s="55">
        <f t="shared" si="183"/>
        <v>3361.6687579684444</v>
      </c>
      <c r="S222" s="55">
        <f t="shared" si="184"/>
        <v>0.10097238076311155</v>
      </c>
      <c r="T222" s="55"/>
      <c r="U222" s="55"/>
      <c r="W222" s="273"/>
      <c r="X222" s="273"/>
    </row>
    <row r="223" spans="1:24" ht="12.75">
      <c r="A223" s="42">
        <v>44092</v>
      </c>
      <c r="B223" s="53" t="s">
        <v>19</v>
      </c>
      <c r="C223" s="80">
        <v>44110</v>
      </c>
      <c r="D223" s="53">
        <v>109.5</v>
      </c>
      <c r="E223" s="53">
        <v>1.5121</v>
      </c>
      <c r="F223" s="53">
        <v>1.5121</v>
      </c>
      <c r="G223" s="53">
        <v>1.5121</v>
      </c>
      <c r="H223" s="53">
        <v>134</v>
      </c>
      <c r="I223" s="53">
        <v>134</v>
      </c>
      <c r="J223" s="53">
        <v>134</v>
      </c>
      <c r="K223" s="55">
        <f t="shared" si="156"/>
        <v>9703.7232987236293</v>
      </c>
      <c r="L223" s="55">
        <f t="shared" si="177"/>
        <v>9703.7232987236293</v>
      </c>
      <c r="M223" s="55">
        <f t="shared" si="178"/>
        <v>9703.7232987236293</v>
      </c>
      <c r="N223" s="70">
        <f t="shared" si="179"/>
        <v>9703.7232987236293</v>
      </c>
      <c r="O223" s="54">
        <f t="shared" si="180"/>
        <v>1</v>
      </c>
      <c r="P223" s="71">
        <f t="shared" si="181"/>
        <v>109.5</v>
      </c>
      <c r="Q223" s="85">
        <f t="shared" si="182"/>
        <v>9703.7232987236293</v>
      </c>
      <c r="R223" s="55">
        <f t="shared" si="183"/>
        <v>0</v>
      </c>
      <c r="S223" s="55">
        <f t="shared" si="184"/>
        <v>0</v>
      </c>
      <c r="T223" s="55"/>
      <c r="U223" s="55"/>
      <c r="W223" s="273"/>
      <c r="X223" s="273"/>
    </row>
    <row r="224" spans="1:24" ht="12.75">
      <c r="A224" s="44" t="s">
        <v>177</v>
      </c>
      <c r="B224" s="53" t="s">
        <v>8</v>
      </c>
      <c r="C224" s="80">
        <v>44110</v>
      </c>
      <c r="D224" s="53">
        <v>793</v>
      </c>
      <c r="E224" s="53">
        <v>1.6738</v>
      </c>
      <c r="F224" s="53">
        <v>1.7315</v>
      </c>
      <c r="G224" s="53">
        <v>1.7103999999999999</v>
      </c>
      <c r="H224" s="53">
        <v>239</v>
      </c>
      <c r="I224" s="53">
        <v>235</v>
      </c>
      <c r="J224" s="53">
        <v>193</v>
      </c>
      <c r="K224" s="55">
        <f t="shared" si="156"/>
        <v>113231.56888517148</v>
      </c>
      <c r="L224" s="55">
        <f t="shared" si="177"/>
        <v>107626.33554721338</v>
      </c>
      <c r="M224" s="55">
        <f t="shared" si="178"/>
        <v>89481.407857811049</v>
      </c>
      <c r="N224" s="70">
        <f t="shared" si="179"/>
        <v>103446.43743006531</v>
      </c>
      <c r="O224" s="54">
        <f t="shared" si="180"/>
        <v>10</v>
      </c>
      <c r="P224" s="71">
        <f t="shared" si="181"/>
        <v>79.3</v>
      </c>
      <c r="Q224" s="85">
        <f t="shared" si="182"/>
        <v>10344.643743006531</v>
      </c>
      <c r="R224" s="55">
        <f t="shared" si="183"/>
        <v>12414.555908637694</v>
      </c>
      <c r="S224" s="55">
        <f t="shared" si="184"/>
        <v>0.1200095065335674</v>
      </c>
      <c r="T224" s="55"/>
      <c r="U224" s="55"/>
      <c r="W224" s="273"/>
      <c r="X224" s="273"/>
    </row>
    <row r="225" spans="1:24" ht="12.75">
      <c r="A225" s="42">
        <v>44095</v>
      </c>
      <c r="B225" s="53" t="s">
        <v>24</v>
      </c>
      <c r="C225" s="80">
        <v>44110</v>
      </c>
      <c r="D225" s="53">
        <v>273</v>
      </c>
      <c r="E225" s="53">
        <v>1.8310999999999999</v>
      </c>
      <c r="F225" s="53">
        <v>1.8462000000000001</v>
      </c>
      <c r="G225" s="53">
        <v>1.6999</v>
      </c>
      <c r="H225" s="53">
        <v>257</v>
      </c>
      <c r="I225" s="53">
        <v>294</v>
      </c>
      <c r="J225" s="53">
        <v>267</v>
      </c>
      <c r="K225" s="55">
        <f t="shared" si="156"/>
        <v>38316.312598984216</v>
      </c>
      <c r="L225" s="55">
        <f t="shared" si="177"/>
        <v>43474.163145921346</v>
      </c>
      <c r="M225" s="55">
        <f t="shared" si="178"/>
        <v>42879.581151832463</v>
      </c>
      <c r="N225" s="70">
        <f t="shared" si="179"/>
        <v>41556.685632246008</v>
      </c>
      <c r="O225" s="54">
        <f t="shared" si="180"/>
        <v>4</v>
      </c>
      <c r="P225" s="71">
        <f t="shared" si="181"/>
        <v>68.25</v>
      </c>
      <c r="Q225" s="85">
        <f t="shared" si="182"/>
        <v>10389.171408061502</v>
      </c>
      <c r="R225" s="55">
        <f t="shared" si="183"/>
        <v>2821.9487916936673</v>
      </c>
      <c r="S225" s="55">
        <f t="shared" si="184"/>
        <v>6.7906011963186241E-2</v>
      </c>
      <c r="T225" s="55"/>
      <c r="U225" s="55"/>
      <c r="W225" s="273"/>
      <c r="X225" s="273"/>
    </row>
    <row r="226" spans="1:24" ht="12.75">
      <c r="A226" s="42">
        <v>44097</v>
      </c>
      <c r="B226" s="53" t="s">
        <v>19</v>
      </c>
      <c r="C226" s="80">
        <v>44113</v>
      </c>
      <c r="D226" s="53">
        <v>413</v>
      </c>
      <c r="E226" s="53">
        <v>1.8349</v>
      </c>
      <c r="F226" s="53">
        <v>1.9494</v>
      </c>
      <c r="G226" s="53">
        <v>1.929</v>
      </c>
      <c r="H226" s="53">
        <v>475</v>
      </c>
      <c r="I226" s="53">
        <v>439</v>
      </c>
      <c r="J226" s="53">
        <v>493</v>
      </c>
      <c r="K226" s="55">
        <f t="shared" si="156"/>
        <v>106913.18327974278</v>
      </c>
      <c r="L226" s="55">
        <f t="shared" si="177"/>
        <v>93006.566122909615</v>
      </c>
      <c r="M226" s="55">
        <f t="shared" si="178"/>
        <v>105551.58113011923</v>
      </c>
      <c r="N226" s="70">
        <f t="shared" si="179"/>
        <v>101823.7768442572</v>
      </c>
      <c r="O226" s="54">
        <f t="shared" si="180"/>
        <v>10</v>
      </c>
      <c r="P226" s="71">
        <f t="shared" si="181"/>
        <v>41.3</v>
      </c>
      <c r="Q226" s="85">
        <f t="shared" si="182"/>
        <v>10182.377684425719</v>
      </c>
      <c r="R226" s="55">
        <f t="shared" si="183"/>
        <v>7666.2176972709349</v>
      </c>
      <c r="S226" s="55">
        <f t="shared" si="184"/>
        <v>7.5289072305741181E-2</v>
      </c>
      <c r="T226" s="55"/>
      <c r="U226" s="55"/>
      <c r="W226" s="273"/>
      <c r="X226" s="273"/>
    </row>
    <row r="227" spans="1:24" ht="12.75">
      <c r="A227" s="42">
        <v>44095</v>
      </c>
      <c r="B227" s="53" t="s">
        <v>8</v>
      </c>
      <c r="C227" s="80">
        <v>44113</v>
      </c>
      <c r="D227" s="53">
        <v>553</v>
      </c>
      <c r="E227" s="53">
        <v>1.7298</v>
      </c>
      <c r="F227" s="53">
        <v>1.7601</v>
      </c>
      <c r="G227" s="53">
        <v>1.8290999999999999</v>
      </c>
      <c r="H227" s="53">
        <v>347</v>
      </c>
      <c r="I227" s="53">
        <v>362</v>
      </c>
      <c r="J227" s="53">
        <v>421</v>
      </c>
      <c r="K227" s="55">
        <f t="shared" si="156"/>
        <v>110932.47774309169</v>
      </c>
      <c r="L227" s="55">
        <f t="shared" si="177"/>
        <v>113735.58320549969</v>
      </c>
      <c r="M227" s="55">
        <f t="shared" si="178"/>
        <v>127282.81668580176</v>
      </c>
      <c r="N227" s="70">
        <f t="shared" si="179"/>
        <v>117316.95921146439</v>
      </c>
      <c r="O227" s="54">
        <f t="shared" si="180"/>
        <v>11</v>
      </c>
      <c r="P227" s="71">
        <f t="shared" si="181"/>
        <v>50.272727272727273</v>
      </c>
      <c r="Q227" s="85">
        <f t="shared" si="182"/>
        <v>10665.178110133127</v>
      </c>
      <c r="R227" s="55">
        <f t="shared" si="183"/>
        <v>8743.7455622547786</v>
      </c>
      <c r="S227" s="55">
        <f t="shared" si="184"/>
        <v>7.4530959726753013E-2</v>
      </c>
      <c r="T227" s="55"/>
      <c r="U227" s="55"/>
      <c r="W227" s="273"/>
      <c r="X227" s="273"/>
    </row>
    <row r="228" spans="1:24" ht="12.75">
      <c r="A228" s="53" t="s">
        <v>178</v>
      </c>
      <c r="B228" s="53" t="s">
        <v>24</v>
      </c>
      <c r="C228" s="80">
        <v>44113</v>
      </c>
      <c r="D228" s="53">
        <v>190.5</v>
      </c>
      <c r="E228" s="53">
        <v>1.4844999999999999</v>
      </c>
      <c r="F228" s="53">
        <v>1.4103000000000001</v>
      </c>
      <c r="G228" s="53">
        <v>1.5083</v>
      </c>
      <c r="H228" s="53">
        <v>343</v>
      </c>
      <c r="I228" s="53">
        <v>380</v>
      </c>
      <c r="J228" s="53">
        <v>431</v>
      </c>
      <c r="K228" s="55">
        <f t="shared" si="156"/>
        <v>44015.830245874036</v>
      </c>
      <c r="L228" s="55">
        <f t="shared" si="177"/>
        <v>51329.504360774299</v>
      </c>
      <c r="M228" s="55">
        <f t="shared" si="178"/>
        <v>54435.788636212957</v>
      </c>
      <c r="N228" s="70">
        <f t="shared" si="179"/>
        <v>49927.041080953764</v>
      </c>
      <c r="O228" s="54">
        <v>5</v>
      </c>
      <c r="P228" s="71">
        <f t="shared" si="181"/>
        <v>38.1</v>
      </c>
      <c r="Q228" s="85">
        <f t="shared" si="182"/>
        <v>9985.4082161907536</v>
      </c>
      <c r="R228" s="55">
        <f t="shared" si="183"/>
        <v>5349.6785560005701</v>
      </c>
      <c r="S228" s="55">
        <f t="shared" si="184"/>
        <v>0.10714992196966731</v>
      </c>
      <c r="T228" s="55"/>
      <c r="U228" s="55"/>
      <c r="W228" s="273"/>
      <c r="X228" s="273"/>
    </row>
    <row r="229" spans="1:24" ht="12.75">
      <c r="A229" s="42">
        <v>44095</v>
      </c>
      <c r="B229" s="53" t="s">
        <v>11</v>
      </c>
      <c r="C229" s="80">
        <v>44113</v>
      </c>
      <c r="D229" s="53">
        <v>312</v>
      </c>
      <c r="E229" s="53">
        <v>1.5773999999999999</v>
      </c>
      <c r="F229" s="53">
        <v>1.6634</v>
      </c>
      <c r="G229" s="53">
        <v>1.5820000000000001</v>
      </c>
      <c r="H229" s="53">
        <v>276</v>
      </c>
      <c r="I229" s="53">
        <v>273</v>
      </c>
      <c r="J229" s="53">
        <v>293</v>
      </c>
      <c r="K229" s="55">
        <f t="shared" si="156"/>
        <v>54591.099277291753</v>
      </c>
      <c r="L229" s="55">
        <f t="shared" si="177"/>
        <v>51205.96368883011</v>
      </c>
      <c r="M229" s="55">
        <f t="shared" si="178"/>
        <v>57785.082174462703</v>
      </c>
      <c r="N229" s="70">
        <f t="shared" si="179"/>
        <v>54527.381713528186</v>
      </c>
      <c r="O229" s="54">
        <f t="shared" si="180"/>
        <v>5</v>
      </c>
      <c r="P229" s="71">
        <f t="shared" si="181"/>
        <v>62.4</v>
      </c>
      <c r="Q229" s="85">
        <f t="shared" si="182"/>
        <v>10905.476342705637</v>
      </c>
      <c r="R229" s="55">
        <f t="shared" si="183"/>
        <v>3290.0220300093883</v>
      </c>
      <c r="S229" s="55">
        <f t="shared" si="184"/>
        <v>6.0337062345928436E-2</v>
      </c>
      <c r="T229" s="55"/>
      <c r="U229" s="55"/>
      <c r="W229" s="273"/>
      <c r="X229" s="273"/>
    </row>
    <row r="230" spans="1:24" ht="12.75">
      <c r="A230" s="42">
        <v>44092</v>
      </c>
      <c r="B230" s="53" t="s">
        <v>16</v>
      </c>
      <c r="C230" s="80">
        <v>44116</v>
      </c>
      <c r="D230" s="53">
        <v>378.5</v>
      </c>
      <c r="E230" s="53">
        <v>1.5212000000000001</v>
      </c>
      <c r="F230" s="53">
        <v>1.5411999999999999</v>
      </c>
      <c r="G230" s="53">
        <v>1.5421</v>
      </c>
      <c r="H230" s="53">
        <v>286</v>
      </c>
      <c r="I230" s="53">
        <v>283</v>
      </c>
      <c r="J230" s="53">
        <v>306</v>
      </c>
      <c r="K230" s="55">
        <f t="shared" si="156"/>
        <v>71161.582960820408</v>
      </c>
      <c r="L230" s="55">
        <f t="shared" si="177"/>
        <v>69501.362574617189</v>
      </c>
      <c r="M230" s="55">
        <f t="shared" si="178"/>
        <v>75106.024252642499</v>
      </c>
      <c r="N230" s="70">
        <f t="shared" si="179"/>
        <v>71922.989929360032</v>
      </c>
      <c r="O230" s="54">
        <f t="shared" si="180"/>
        <v>7</v>
      </c>
      <c r="P230" s="71">
        <f t="shared" si="181"/>
        <v>54.071428571428569</v>
      </c>
      <c r="Q230" s="85">
        <f t="shared" si="182"/>
        <v>10274.712847051433</v>
      </c>
      <c r="R230" s="55">
        <f t="shared" si="183"/>
        <v>2878.8649777450305</v>
      </c>
      <c r="S230" s="55">
        <f t="shared" si="184"/>
        <v>4.0027048104820724E-2</v>
      </c>
      <c r="T230" s="55"/>
      <c r="U230" s="55"/>
      <c r="W230" s="273"/>
      <c r="X230" s="273"/>
    </row>
    <row r="231" spans="1:24" ht="12.75">
      <c r="A231" s="42">
        <v>44092</v>
      </c>
      <c r="B231" s="53" t="s">
        <v>16</v>
      </c>
      <c r="C231" s="80">
        <v>44116</v>
      </c>
      <c r="D231" s="53">
        <v>261.5</v>
      </c>
      <c r="E231" s="53">
        <v>1.8360000000000001</v>
      </c>
      <c r="F231" s="53">
        <v>1.7818000000000001</v>
      </c>
      <c r="G231" s="53">
        <v>1.7917000000000001</v>
      </c>
      <c r="H231" s="53">
        <v>152</v>
      </c>
      <c r="I231" s="53">
        <v>133</v>
      </c>
      <c r="J231" s="53">
        <v>148</v>
      </c>
      <c r="K231" s="55">
        <f t="shared" si="156"/>
        <v>21649.237472766883</v>
      </c>
      <c r="L231" s="55">
        <f t="shared" si="177"/>
        <v>19519.30631945224</v>
      </c>
      <c r="M231" s="55">
        <f t="shared" si="178"/>
        <v>21600.714405313389</v>
      </c>
      <c r="N231" s="70">
        <f t="shared" si="179"/>
        <v>20923.086065844171</v>
      </c>
      <c r="O231" s="54">
        <f t="shared" si="180"/>
        <v>2</v>
      </c>
      <c r="P231" s="71">
        <f t="shared" si="181"/>
        <v>130.75</v>
      </c>
      <c r="Q231" s="85">
        <f t="shared" si="182"/>
        <v>10461.543032922085</v>
      </c>
      <c r="R231" s="55">
        <f t="shared" si="183"/>
        <v>1215.9509876240566</v>
      </c>
      <c r="S231" s="55">
        <f t="shared" si="184"/>
        <v>5.8115279160899314E-2</v>
      </c>
      <c r="T231" s="55"/>
      <c r="U231" s="55"/>
      <c r="W231" s="273"/>
      <c r="X231" s="273"/>
    </row>
    <row r="232" spans="1:24" ht="12.75">
      <c r="A232" s="42" t="s">
        <v>179</v>
      </c>
      <c r="B232" s="53" t="s">
        <v>19</v>
      </c>
      <c r="C232" s="80">
        <v>44117</v>
      </c>
      <c r="D232" s="53">
        <v>94.5</v>
      </c>
      <c r="E232" s="53">
        <v>1.2107000000000001</v>
      </c>
      <c r="H232" s="53">
        <v>325</v>
      </c>
      <c r="K232" s="55">
        <f t="shared" si="156"/>
        <v>25367.555959362351</v>
      </c>
      <c r="L232" s="55" t="e">
        <f t="shared" si="177"/>
        <v>#DIV/0!</v>
      </c>
      <c r="M232" s="55" t="e">
        <f t="shared" si="178"/>
        <v>#DIV/0!</v>
      </c>
      <c r="N232" s="70" t="e">
        <f t="shared" si="179"/>
        <v>#DIV/0!</v>
      </c>
      <c r="O232" s="54">
        <v>2</v>
      </c>
      <c r="P232" s="71">
        <f t="shared" si="181"/>
        <v>47.25</v>
      </c>
      <c r="Q232" s="85">
        <f>K232/2</f>
        <v>12683.777979681176</v>
      </c>
      <c r="R232" s="55" t="e">
        <f t="shared" si="183"/>
        <v>#DIV/0!</v>
      </c>
      <c r="S232" s="55" t="e">
        <f t="shared" si="184"/>
        <v>#DIV/0!</v>
      </c>
      <c r="T232" s="55"/>
      <c r="U232" s="55"/>
      <c r="W232" s="273"/>
      <c r="X232" s="273"/>
    </row>
    <row r="233" spans="1:24" ht="12.75">
      <c r="A233" s="42">
        <v>44104</v>
      </c>
      <c r="B233" s="53" t="s">
        <v>19</v>
      </c>
      <c r="C233" s="80">
        <v>44117</v>
      </c>
      <c r="D233" s="53">
        <v>270.5</v>
      </c>
      <c r="E233" s="53">
        <v>1.6655</v>
      </c>
      <c r="F233" s="53">
        <v>1.6212</v>
      </c>
      <c r="G233" s="53">
        <v>1.7239</v>
      </c>
      <c r="H233" s="53">
        <v>236</v>
      </c>
      <c r="I233" s="53">
        <v>275</v>
      </c>
      <c r="J233" s="53">
        <v>310</v>
      </c>
      <c r="K233" s="55">
        <f t="shared" si="156"/>
        <v>38329.63074151906</v>
      </c>
      <c r="L233" s="55">
        <f t="shared" si="177"/>
        <v>45884.221564273379</v>
      </c>
      <c r="M233" s="55">
        <f t="shared" si="178"/>
        <v>48642.612680549915</v>
      </c>
      <c r="N233" s="70">
        <f t="shared" si="179"/>
        <v>44285.488328780782</v>
      </c>
      <c r="O233" s="54">
        <f>IF(ROUNDDOWN(N233/10000,0)=0,1,ROUNDDOWN(N233/10000,0))</f>
        <v>4</v>
      </c>
      <c r="P233" s="71">
        <f t="shared" si="181"/>
        <v>67.625</v>
      </c>
      <c r="Q233" s="85">
        <f>N233/O233</f>
        <v>11071.372082195196</v>
      </c>
      <c r="R233" s="55">
        <f t="shared" si="183"/>
        <v>5339.134769547929</v>
      </c>
      <c r="S233" s="55">
        <f t="shared" si="184"/>
        <v>0.12056172283592204</v>
      </c>
      <c r="T233" s="55"/>
      <c r="U233" s="55"/>
      <c r="W233" s="273"/>
      <c r="X233" s="273"/>
    </row>
    <row r="234" spans="1:24" ht="12.75">
      <c r="A234" s="42" t="s">
        <v>179</v>
      </c>
      <c r="B234" s="53" t="s">
        <v>19</v>
      </c>
      <c r="C234" s="80">
        <v>44117</v>
      </c>
      <c r="D234" s="53">
        <v>156</v>
      </c>
      <c r="E234" s="53">
        <v>1.4147000000000001</v>
      </c>
      <c r="F234" s="53">
        <v>1.4434</v>
      </c>
      <c r="G234" s="53">
        <v>1.6023000000000001</v>
      </c>
      <c r="H234" s="53">
        <v>305</v>
      </c>
      <c r="I234" s="53">
        <v>313</v>
      </c>
      <c r="J234" s="53">
        <v>360</v>
      </c>
      <c r="K234" s="55">
        <f t="shared" si="156"/>
        <v>33632.572276807798</v>
      </c>
      <c r="L234" s="55">
        <f t="shared" si="177"/>
        <v>33828.460579188024</v>
      </c>
      <c r="M234" s="55">
        <f t="shared" si="178"/>
        <v>35049.616176745927</v>
      </c>
      <c r="N234" s="70">
        <f t="shared" si="179"/>
        <v>34170.216344247245</v>
      </c>
      <c r="O234" s="54">
        <f t="shared" si="180"/>
        <v>3</v>
      </c>
      <c r="P234" s="71">
        <f t="shared" si="181"/>
        <v>52</v>
      </c>
      <c r="Q234" s="85">
        <f t="shared" si="182"/>
        <v>11390.072114749082</v>
      </c>
      <c r="R234" s="55">
        <f t="shared" si="183"/>
        <v>767.85487287727642</v>
      </c>
      <c r="S234" s="55">
        <f t="shared" si="184"/>
        <v>2.247146652925858E-2</v>
      </c>
      <c r="T234" s="55"/>
      <c r="U234" s="55"/>
      <c r="W234" s="273"/>
      <c r="X234" s="273"/>
    </row>
    <row r="235" spans="1:24" ht="12.75">
      <c r="A235" s="42">
        <v>44106</v>
      </c>
      <c r="B235" s="53" t="s">
        <v>19</v>
      </c>
      <c r="C235" s="80">
        <v>44117</v>
      </c>
      <c r="D235" s="53">
        <v>300.5</v>
      </c>
      <c r="E235" s="53">
        <v>1.8725000000000001</v>
      </c>
      <c r="F235" s="53">
        <v>1.7879</v>
      </c>
      <c r="G235" s="53">
        <v>1.6781999999999999</v>
      </c>
      <c r="H235" s="53">
        <v>521</v>
      </c>
      <c r="I235" s="53">
        <v>485</v>
      </c>
      <c r="J235" s="53">
        <v>565</v>
      </c>
      <c r="K235" s="55">
        <f t="shared" ref="K235:K299" si="185">$D235/E235*H235</f>
        <v>83610.413885180242</v>
      </c>
      <c r="L235" s="55">
        <f t="shared" si="177"/>
        <v>81516.024386151359</v>
      </c>
      <c r="M235" s="55">
        <f t="shared" si="178"/>
        <v>101169.40769872483</v>
      </c>
      <c r="N235" s="70">
        <f t="shared" si="179"/>
        <v>88765.281990018804</v>
      </c>
      <c r="O235" s="54">
        <f t="shared" si="180"/>
        <v>8</v>
      </c>
      <c r="P235" s="71">
        <f t="shared" si="181"/>
        <v>37.5625</v>
      </c>
      <c r="Q235" s="85">
        <f t="shared" si="182"/>
        <v>11095.660248752351</v>
      </c>
      <c r="R235" s="55">
        <f t="shared" si="183"/>
        <v>10793.20933696029</v>
      </c>
      <c r="S235" s="55">
        <f t="shared" si="184"/>
        <v>0.1215926891121005</v>
      </c>
      <c r="T235" s="55"/>
      <c r="U235" s="55"/>
      <c r="W235" s="273"/>
      <c r="X235" s="273"/>
    </row>
    <row r="236" spans="1:24" ht="12.75">
      <c r="A236" s="42" t="s">
        <v>178</v>
      </c>
      <c r="B236" s="53" t="s">
        <v>11</v>
      </c>
      <c r="C236" s="80">
        <v>44118</v>
      </c>
      <c r="D236" s="53">
        <v>256</v>
      </c>
      <c r="E236" s="53">
        <v>1.665</v>
      </c>
      <c r="F236" s="53">
        <v>1.6594</v>
      </c>
      <c r="G236" s="53">
        <v>1.5441</v>
      </c>
      <c r="H236" s="53">
        <v>204</v>
      </c>
      <c r="I236" s="53" t="s">
        <v>180</v>
      </c>
      <c r="J236" s="53">
        <v>265</v>
      </c>
      <c r="K236" s="55">
        <f t="shared" si="185"/>
        <v>31365.765765765766</v>
      </c>
      <c r="L236" s="55" t="e">
        <f t="shared" si="177"/>
        <v>#VALUE!</v>
      </c>
      <c r="M236" s="55">
        <f t="shared" si="178"/>
        <v>43934.978304513956</v>
      </c>
      <c r="N236" s="70">
        <f>AVERAGE(K236,M236)</f>
        <v>37650.372035139859</v>
      </c>
      <c r="O236" s="54">
        <f t="shared" si="180"/>
        <v>3</v>
      </c>
      <c r="P236" s="71">
        <f t="shared" si="181"/>
        <v>85.333333333333329</v>
      </c>
      <c r="Q236" s="85">
        <f t="shared" si="182"/>
        <v>12550.124011713286</v>
      </c>
      <c r="R236" s="55" t="e">
        <f t="shared" si="183"/>
        <v>#VALUE!</v>
      </c>
      <c r="S236" s="55" t="e">
        <f t="shared" si="184"/>
        <v>#VALUE!</v>
      </c>
      <c r="T236" s="55">
        <v>3.7</v>
      </c>
      <c r="U236" s="55">
        <v>236</v>
      </c>
      <c r="W236" s="273"/>
      <c r="X236" s="273"/>
    </row>
    <row r="237" spans="1:24" ht="12.75">
      <c r="A237" s="42" t="s">
        <v>175</v>
      </c>
      <c r="B237" s="53" t="s">
        <v>11</v>
      </c>
      <c r="C237" s="80">
        <v>44118</v>
      </c>
      <c r="D237" s="53">
        <v>219</v>
      </c>
      <c r="E237" s="53">
        <v>1.4715</v>
      </c>
      <c r="F237" s="53">
        <v>1.4833000000000001</v>
      </c>
      <c r="G237" s="53">
        <v>1.6561999999999999</v>
      </c>
      <c r="H237" s="53">
        <v>282</v>
      </c>
      <c r="I237" s="53">
        <v>310</v>
      </c>
      <c r="J237" s="53">
        <v>356</v>
      </c>
      <c r="K237" s="55">
        <f t="shared" si="185"/>
        <v>41969.418960244649</v>
      </c>
      <c r="L237" s="55">
        <f t="shared" si="177"/>
        <v>45769.567855457426</v>
      </c>
      <c r="M237" s="55">
        <f t="shared" si="178"/>
        <v>47074.024876222684</v>
      </c>
      <c r="N237" s="70">
        <f t="shared" si="179"/>
        <v>44937.67056397492</v>
      </c>
      <c r="O237" s="54">
        <f t="shared" si="180"/>
        <v>4</v>
      </c>
      <c r="P237" s="71">
        <f t="shared" si="181"/>
        <v>54.75</v>
      </c>
      <c r="Q237" s="85">
        <f t="shared" si="182"/>
        <v>11234.41764099373</v>
      </c>
      <c r="R237" s="55">
        <f t="shared" si="183"/>
        <v>2652.035108561241</v>
      </c>
      <c r="S237" s="55">
        <f t="shared" si="184"/>
        <v>5.9015856302246608E-2</v>
      </c>
      <c r="T237" s="55">
        <v>3</v>
      </c>
      <c r="U237" s="55">
        <v>237</v>
      </c>
      <c r="W237" s="273"/>
      <c r="X237" s="273"/>
    </row>
    <row r="238" spans="1:24" ht="12.75">
      <c r="A238" s="42">
        <v>44102</v>
      </c>
      <c r="B238" s="53" t="s">
        <v>8</v>
      </c>
      <c r="C238" s="80">
        <v>44118</v>
      </c>
      <c r="D238" s="53">
        <v>328.5</v>
      </c>
      <c r="E238" s="53">
        <v>1.8128</v>
      </c>
      <c r="F238" s="53">
        <v>1.7181</v>
      </c>
      <c r="G238" s="53">
        <v>1.7457</v>
      </c>
      <c r="H238" s="53">
        <v>220</v>
      </c>
      <c r="I238" s="53">
        <v>246</v>
      </c>
      <c r="J238" s="53">
        <v>274</v>
      </c>
      <c r="K238" s="55">
        <f t="shared" si="185"/>
        <v>39866.504854368934</v>
      </c>
      <c r="L238" s="55">
        <f t="shared" si="177"/>
        <v>47035.09690937664</v>
      </c>
      <c r="M238" s="55">
        <f t="shared" si="178"/>
        <v>51560.405567966998</v>
      </c>
      <c r="N238" s="70">
        <f t="shared" si="179"/>
        <v>46154.002443904195</v>
      </c>
      <c r="O238" s="54">
        <f t="shared" si="180"/>
        <v>4</v>
      </c>
      <c r="P238" s="71">
        <f t="shared" si="181"/>
        <v>82.125</v>
      </c>
      <c r="Q238" s="85">
        <f t="shared" si="182"/>
        <v>11538.500610976049</v>
      </c>
      <c r="R238" s="55">
        <f t="shared" si="183"/>
        <v>5896.530680636416</v>
      </c>
      <c r="S238" s="55">
        <f t="shared" si="184"/>
        <v>0.1277577321230827</v>
      </c>
      <c r="T238" s="55"/>
      <c r="U238" s="55">
        <v>238</v>
      </c>
      <c r="W238" s="273"/>
      <c r="X238" s="273"/>
    </row>
    <row r="239" spans="1:24" ht="15">
      <c r="A239" s="42">
        <v>44111</v>
      </c>
      <c r="B239" s="53" t="s">
        <v>19</v>
      </c>
      <c r="C239" s="80">
        <v>44123</v>
      </c>
      <c r="D239" s="53">
        <v>445</v>
      </c>
      <c r="E239" s="53">
        <v>1.5858000000000001</v>
      </c>
      <c r="F239" s="53">
        <v>1.6413</v>
      </c>
      <c r="G239" s="53">
        <v>1.6248</v>
      </c>
      <c r="H239" s="53">
        <v>232</v>
      </c>
      <c r="I239" s="53">
        <v>232</v>
      </c>
      <c r="J239" s="53">
        <v>268</v>
      </c>
      <c r="K239" s="55">
        <f t="shared" si="185"/>
        <v>65102.787236725933</v>
      </c>
      <c r="L239" s="55">
        <f t="shared" si="177"/>
        <v>62901.358679095843</v>
      </c>
      <c r="M239" s="55">
        <f t="shared" si="178"/>
        <v>73399.803052683405</v>
      </c>
      <c r="N239" s="70">
        <f t="shared" si="179"/>
        <v>67134.649656168403</v>
      </c>
      <c r="O239" s="54">
        <f t="shared" si="180"/>
        <v>6</v>
      </c>
      <c r="P239" s="71">
        <f t="shared" si="181"/>
        <v>74.166666666666671</v>
      </c>
      <c r="Q239" s="85">
        <f t="shared" si="182"/>
        <v>11189.108276028068</v>
      </c>
      <c r="R239" s="55">
        <f t="shared" si="183"/>
        <v>5536.3058292497726</v>
      </c>
      <c r="S239" s="55">
        <f t="shared" si="184"/>
        <v>8.2465699271599469E-2</v>
      </c>
      <c r="T239" s="55">
        <v>8.3000000000000007</v>
      </c>
      <c r="U239" s="241">
        <v>239</v>
      </c>
      <c r="W239" s="273"/>
      <c r="X239" s="273"/>
    </row>
    <row r="240" spans="1:24" ht="15">
      <c r="A240" s="42" t="s">
        <v>179</v>
      </c>
      <c r="B240" s="53" t="s">
        <v>8</v>
      </c>
      <c r="C240" s="80" t="s">
        <v>181</v>
      </c>
      <c r="D240" s="53">
        <v>154</v>
      </c>
      <c r="E240" s="53">
        <v>1.5281</v>
      </c>
      <c r="F240" s="53">
        <v>1.4111</v>
      </c>
      <c r="G240" s="53">
        <v>1.6658999999999999</v>
      </c>
      <c r="H240" s="53">
        <v>385</v>
      </c>
      <c r="I240" s="53">
        <v>334</v>
      </c>
      <c r="J240" s="53">
        <v>432</v>
      </c>
      <c r="K240" s="55">
        <f t="shared" si="185"/>
        <v>38799.816765918462</v>
      </c>
      <c r="L240" s="55">
        <f t="shared" si="177"/>
        <v>36450.995677131315</v>
      </c>
      <c r="M240" s="55">
        <f t="shared" si="178"/>
        <v>39935.170178282009</v>
      </c>
      <c r="N240" s="70">
        <f t="shared" si="179"/>
        <v>38395.327540443926</v>
      </c>
      <c r="O240" s="54">
        <f t="shared" si="180"/>
        <v>3</v>
      </c>
      <c r="P240" s="71">
        <f t="shared" si="181"/>
        <v>51.333333333333336</v>
      </c>
      <c r="Q240" s="85">
        <f t="shared" si="182"/>
        <v>12798.442513481308</v>
      </c>
      <c r="R240" s="55">
        <f t="shared" si="183"/>
        <v>1776.9571291285877</v>
      </c>
      <c r="S240" s="55">
        <f t="shared" si="184"/>
        <v>4.6280556592643213E-2</v>
      </c>
      <c r="T240" s="55">
        <v>2.8</v>
      </c>
      <c r="U240" s="241">
        <v>240</v>
      </c>
      <c r="W240" s="273"/>
      <c r="X240" s="273"/>
    </row>
    <row r="241" spans="1:24" ht="15">
      <c r="A241" s="44" t="s">
        <v>182</v>
      </c>
      <c r="B241" s="53" t="s">
        <v>19</v>
      </c>
      <c r="C241" s="80" t="s">
        <v>181</v>
      </c>
      <c r="D241" s="53">
        <v>202.5</v>
      </c>
      <c r="E241" s="53">
        <v>1.8454999999999999</v>
      </c>
      <c r="F241" s="53">
        <v>1.8824000000000001</v>
      </c>
      <c r="G241" s="53">
        <v>1.6787000000000001</v>
      </c>
      <c r="H241" s="53">
        <v>150</v>
      </c>
      <c r="I241" s="53">
        <v>160</v>
      </c>
      <c r="J241" s="53">
        <v>133</v>
      </c>
      <c r="K241" s="55">
        <f t="shared" si="185"/>
        <v>16458.954212950423</v>
      </c>
      <c r="L241" s="55">
        <f t="shared" si="177"/>
        <v>17212.069698257543</v>
      </c>
      <c r="M241" s="55">
        <f t="shared" si="178"/>
        <v>16043.664740573062</v>
      </c>
      <c r="N241" s="70">
        <f t="shared" si="179"/>
        <v>16571.56288392701</v>
      </c>
      <c r="O241" s="54">
        <f t="shared" si="180"/>
        <v>1</v>
      </c>
      <c r="P241" s="71">
        <f t="shared" si="181"/>
        <v>202.5</v>
      </c>
      <c r="Q241" s="85">
        <f t="shared" si="182"/>
        <v>16571.56288392701</v>
      </c>
      <c r="R241" s="55">
        <f t="shared" si="183"/>
        <v>592.28630819034913</v>
      </c>
      <c r="S241" s="55">
        <f t="shared" si="184"/>
        <v>3.5741125465288244E-2</v>
      </c>
      <c r="T241" s="55"/>
      <c r="U241" s="241">
        <v>241</v>
      </c>
      <c r="V241" s="53" t="s">
        <v>183</v>
      </c>
      <c r="W241" s="273"/>
      <c r="X241" s="273"/>
    </row>
    <row r="242" spans="1:24" ht="15">
      <c r="A242" s="44" t="s">
        <v>182</v>
      </c>
      <c r="B242" s="53" t="s">
        <v>19</v>
      </c>
      <c r="C242" s="80" t="s">
        <v>181</v>
      </c>
      <c r="D242" s="53">
        <v>202.5</v>
      </c>
      <c r="E242" s="53">
        <v>1.4339</v>
      </c>
      <c r="F242" s="53">
        <v>1.4941</v>
      </c>
      <c r="G242" s="53">
        <v>1.3223</v>
      </c>
      <c r="H242" s="53">
        <v>328</v>
      </c>
      <c r="I242" s="53">
        <v>365</v>
      </c>
      <c r="J242" s="53">
        <v>325</v>
      </c>
      <c r="K242" s="55">
        <f t="shared" si="185"/>
        <v>46321.221842527375</v>
      </c>
      <c r="L242" s="55">
        <f t="shared" si="177"/>
        <v>49469.580349374213</v>
      </c>
      <c r="M242" s="55">
        <f t="shared" si="178"/>
        <v>49771.231944339401</v>
      </c>
      <c r="N242" s="70">
        <f t="shared" si="179"/>
        <v>48520.678045413661</v>
      </c>
      <c r="O242" s="54">
        <f t="shared" si="180"/>
        <v>4</v>
      </c>
      <c r="P242" s="71">
        <f t="shared" si="181"/>
        <v>50.625</v>
      </c>
      <c r="Q242" s="85">
        <f t="shared" si="182"/>
        <v>12130.169511353415</v>
      </c>
      <c r="R242" s="55">
        <f t="shared" si="183"/>
        <v>1910.7470037913147</v>
      </c>
      <c r="S242" s="55">
        <f t="shared" si="184"/>
        <v>3.9380055695077514E-2</v>
      </c>
      <c r="T242" s="55"/>
      <c r="U242" s="241">
        <v>242</v>
      </c>
      <c r="V242" s="53" t="s">
        <v>184</v>
      </c>
      <c r="W242" s="273"/>
      <c r="X242" s="273"/>
    </row>
    <row r="243" spans="1:24" ht="15">
      <c r="A243" s="42">
        <v>44106</v>
      </c>
      <c r="B243" s="53" t="s">
        <v>11</v>
      </c>
      <c r="C243" s="80" t="s">
        <v>185</v>
      </c>
      <c r="D243" s="53">
        <v>132</v>
      </c>
      <c r="E243" s="53">
        <v>1.5602</v>
      </c>
      <c r="F243" s="53">
        <v>1.6728000000000001</v>
      </c>
      <c r="G243" s="53">
        <v>1.4905999999999999</v>
      </c>
      <c r="H243" s="53">
        <v>270</v>
      </c>
      <c r="I243" s="53">
        <v>308</v>
      </c>
      <c r="J243" s="53">
        <v>264</v>
      </c>
      <c r="K243" s="55">
        <f t="shared" si="185"/>
        <v>22843.225227534931</v>
      </c>
      <c r="L243" s="55">
        <f t="shared" si="177"/>
        <v>24304.16068866571</v>
      </c>
      <c r="M243" s="55">
        <f t="shared" si="178"/>
        <v>23378.505299879242</v>
      </c>
      <c r="N243" s="70">
        <f t="shared" si="179"/>
        <v>23508.63040535996</v>
      </c>
      <c r="O243" s="54">
        <f t="shared" si="180"/>
        <v>2</v>
      </c>
      <c r="P243" s="71">
        <f t="shared" si="181"/>
        <v>66</v>
      </c>
      <c r="Q243" s="85">
        <f t="shared" si="182"/>
        <v>11754.31520267998</v>
      </c>
      <c r="R243" s="55">
        <f t="shared" si="183"/>
        <v>739.10926980022839</v>
      </c>
      <c r="S243" s="55">
        <f t="shared" si="184"/>
        <v>3.1439911941093419E-2</v>
      </c>
      <c r="T243" s="55">
        <v>1.8</v>
      </c>
      <c r="U243" s="241">
        <v>243</v>
      </c>
      <c r="W243" s="273"/>
      <c r="X243" s="273"/>
    </row>
    <row r="244" spans="1:24" ht="15">
      <c r="A244" s="42">
        <v>44111</v>
      </c>
      <c r="B244" s="53" t="s">
        <v>11</v>
      </c>
      <c r="C244" s="80" t="s">
        <v>185</v>
      </c>
      <c r="D244" s="53">
        <v>298</v>
      </c>
      <c r="F244" s="53">
        <v>1.8275999999999999</v>
      </c>
      <c r="G244" s="53">
        <v>1.8111999999999999</v>
      </c>
      <c r="H244" s="53">
        <v>201</v>
      </c>
      <c r="I244" s="53">
        <v>192</v>
      </c>
      <c r="J244" s="53">
        <v>207</v>
      </c>
      <c r="K244" s="55" t="e">
        <f t="shared" si="185"/>
        <v>#DIV/0!</v>
      </c>
      <c r="L244" s="55">
        <f t="shared" si="177"/>
        <v>31306.631648063034</v>
      </c>
      <c r="M244" s="55">
        <f t="shared" si="178"/>
        <v>34058.083038869263</v>
      </c>
      <c r="N244" s="70" t="e">
        <f t="shared" si="179"/>
        <v>#DIV/0!</v>
      </c>
      <c r="O244" s="54">
        <v>3</v>
      </c>
      <c r="P244" s="71">
        <f t="shared" si="181"/>
        <v>99.333333333333329</v>
      </c>
      <c r="Q244" s="85">
        <f>AVERAGE(L244:M244)/O244</f>
        <v>10894.119114488716</v>
      </c>
      <c r="R244" s="55" t="e">
        <f t="shared" si="183"/>
        <v>#DIV/0!</v>
      </c>
      <c r="S244" s="55" t="e">
        <f t="shared" si="184"/>
        <v>#DIV/0!</v>
      </c>
      <c r="T244" s="55"/>
      <c r="U244" s="241">
        <v>244</v>
      </c>
      <c r="W244" s="273"/>
      <c r="X244" s="273"/>
    </row>
    <row r="245" spans="1:24" ht="15">
      <c r="A245" s="42">
        <v>44110</v>
      </c>
      <c r="B245" s="53" t="s">
        <v>11</v>
      </c>
      <c r="C245" s="80">
        <v>44124</v>
      </c>
      <c r="D245" s="53">
        <v>146.5</v>
      </c>
      <c r="E245" s="53">
        <v>1.5179</v>
      </c>
      <c r="F245" s="53">
        <v>1.7623</v>
      </c>
      <c r="G245" s="53">
        <v>1.4096</v>
      </c>
      <c r="H245" s="53">
        <v>379</v>
      </c>
      <c r="I245" s="53">
        <v>436</v>
      </c>
      <c r="J245" s="53">
        <v>297</v>
      </c>
      <c r="K245" s="55">
        <f t="shared" si="185"/>
        <v>36579.15541208248</v>
      </c>
      <c r="L245" s="55">
        <f t="shared" si="177"/>
        <v>36244.680247403958</v>
      </c>
      <c r="M245" s="55">
        <f t="shared" si="178"/>
        <v>30867.26730987514</v>
      </c>
      <c r="N245" s="70">
        <f t="shared" si="179"/>
        <v>34563.700989787198</v>
      </c>
      <c r="O245" s="54">
        <f t="shared" si="180"/>
        <v>3</v>
      </c>
      <c r="P245" s="71">
        <f t="shared" si="181"/>
        <v>48.833333333333336</v>
      </c>
      <c r="Q245" s="85">
        <f t="shared" si="182"/>
        <v>11521.233663262399</v>
      </c>
      <c r="R245" s="55">
        <f t="shared" si="183"/>
        <v>3205.5709119340659</v>
      </c>
      <c r="S245" s="55">
        <f t="shared" si="184"/>
        <v>9.274385613048905E-2</v>
      </c>
      <c r="T245" s="55">
        <v>1.75</v>
      </c>
      <c r="U245" s="241">
        <v>245</v>
      </c>
      <c r="W245" s="273"/>
      <c r="X245" s="273"/>
    </row>
    <row r="246" spans="1:24" ht="15">
      <c r="A246" s="42">
        <v>44113</v>
      </c>
      <c r="B246" s="53" t="s">
        <v>11</v>
      </c>
      <c r="C246" s="80" t="s">
        <v>185</v>
      </c>
      <c r="D246" s="53">
        <v>144.5</v>
      </c>
      <c r="E246" s="53">
        <v>2.0891000000000002</v>
      </c>
      <c r="H246" s="53">
        <v>203</v>
      </c>
      <c r="K246" s="55">
        <f t="shared" si="185"/>
        <v>14041.213919869799</v>
      </c>
      <c r="L246" s="55" t="e">
        <f t="shared" si="177"/>
        <v>#DIV/0!</v>
      </c>
      <c r="M246" s="55" t="e">
        <f t="shared" si="178"/>
        <v>#DIV/0!</v>
      </c>
      <c r="N246" s="70" t="e">
        <f t="shared" si="179"/>
        <v>#DIV/0!</v>
      </c>
      <c r="O246" s="54">
        <v>1</v>
      </c>
      <c r="P246" s="71">
        <f t="shared" si="181"/>
        <v>144.5</v>
      </c>
      <c r="Q246" s="85">
        <f>K246</f>
        <v>14041.213919869799</v>
      </c>
      <c r="R246" s="55" t="e">
        <f t="shared" si="183"/>
        <v>#DIV/0!</v>
      </c>
      <c r="S246" s="55" t="e">
        <f t="shared" si="184"/>
        <v>#DIV/0!</v>
      </c>
      <c r="T246" s="55"/>
      <c r="U246" s="241">
        <v>246</v>
      </c>
      <c r="V246" s="53" t="s">
        <v>186</v>
      </c>
      <c r="W246" s="273"/>
      <c r="X246" s="273"/>
    </row>
    <row r="247" spans="1:24" ht="15">
      <c r="A247" s="42">
        <v>44113</v>
      </c>
      <c r="B247" s="53" t="s">
        <v>11</v>
      </c>
      <c r="C247" s="80" t="s">
        <v>185</v>
      </c>
      <c r="D247" s="53">
        <v>181.5</v>
      </c>
      <c r="E247" s="53">
        <v>1.4472</v>
      </c>
      <c r="F247" s="53">
        <v>1.5525</v>
      </c>
      <c r="G247" s="53">
        <v>1.4645999999999999</v>
      </c>
      <c r="H247" s="53">
        <v>497</v>
      </c>
      <c r="I247" s="53">
        <v>568</v>
      </c>
      <c r="J247" s="53">
        <v>487</v>
      </c>
      <c r="K247" s="55">
        <f t="shared" si="185"/>
        <v>62331.053067993365</v>
      </c>
      <c r="L247" s="55">
        <f t="shared" si="177"/>
        <v>66403.86473429951</v>
      </c>
      <c r="M247" s="55">
        <f t="shared" si="178"/>
        <v>60351.290454731665</v>
      </c>
      <c r="N247" s="70">
        <f t="shared" si="179"/>
        <v>63028.736085674849</v>
      </c>
      <c r="O247" s="54">
        <f t="shared" si="180"/>
        <v>6</v>
      </c>
      <c r="P247" s="71">
        <f t="shared" si="181"/>
        <v>30.25</v>
      </c>
      <c r="Q247" s="85">
        <f t="shared" si="182"/>
        <v>10504.789347612475</v>
      </c>
      <c r="R247" s="55">
        <f t="shared" si="183"/>
        <v>3086.014427589801</v>
      </c>
      <c r="S247" s="55">
        <f t="shared" si="184"/>
        <v>4.8962023027004496E-2</v>
      </c>
      <c r="T247" s="55"/>
      <c r="U247" s="241">
        <v>247</v>
      </c>
      <c r="V247" s="53" t="s">
        <v>187</v>
      </c>
      <c r="W247" s="273"/>
      <c r="X247" s="273"/>
    </row>
    <row r="248" spans="1:24" ht="15">
      <c r="A248" s="42">
        <v>44110</v>
      </c>
      <c r="B248" s="53" t="s">
        <v>16</v>
      </c>
      <c r="C248" s="80" t="s">
        <v>188</v>
      </c>
      <c r="D248" s="53">
        <v>125</v>
      </c>
      <c r="E248" s="53">
        <v>2.0236999999999998</v>
      </c>
      <c r="H248" s="53">
        <v>175</v>
      </c>
      <c r="K248" s="55">
        <f t="shared" si="185"/>
        <v>10809.408509166378</v>
      </c>
      <c r="L248" s="55" t="e">
        <f t="shared" si="177"/>
        <v>#DIV/0!</v>
      </c>
      <c r="M248" s="55" t="e">
        <f t="shared" si="178"/>
        <v>#DIV/0!</v>
      </c>
      <c r="N248" s="70" t="e">
        <f t="shared" si="179"/>
        <v>#DIV/0!</v>
      </c>
      <c r="O248" s="54">
        <v>1</v>
      </c>
      <c r="P248" s="71">
        <f t="shared" si="181"/>
        <v>125</v>
      </c>
      <c r="Q248" s="85">
        <f>K248</f>
        <v>10809.408509166378</v>
      </c>
      <c r="R248" s="55" t="e">
        <f t="shared" si="183"/>
        <v>#DIV/0!</v>
      </c>
      <c r="S248" s="55" t="e">
        <f t="shared" si="184"/>
        <v>#DIV/0!</v>
      </c>
      <c r="T248" s="55"/>
      <c r="U248" s="241">
        <v>248</v>
      </c>
      <c r="W248" s="273"/>
      <c r="X248" s="273"/>
    </row>
    <row r="249" spans="1:24" ht="15">
      <c r="A249" s="42">
        <v>44106</v>
      </c>
      <c r="B249" s="53" t="s">
        <v>16</v>
      </c>
      <c r="C249" s="80" t="s">
        <v>188</v>
      </c>
      <c r="D249" s="53">
        <v>101</v>
      </c>
      <c r="E249" s="53">
        <v>1.4570000000000001</v>
      </c>
      <c r="F249" s="53">
        <v>1.6591</v>
      </c>
      <c r="G249" s="53">
        <v>1.4574</v>
      </c>
      <c r="H249" s="53">
        <v>184</v>
      </c>
      <c r="I249" s="53">
        <v>223</v>
      </c>
      <c r="J249" s="53">
        <v>208</v>
      </c>
      <c r="K249" s="55">
        <f t="shared" si="185"/>
        <v>12754.97597803706</v>
      </c>
      <c r="L249" s="55">
        <f t="shared" si="177"/>
        <v>13575.432463383762</v>
      </c>
      <c r="M249" s="55">
        <f t="shared" si="178"/>
        <v>14414.711129408537</v>
      </c>
      <c r="N249" s="70">
        <f t="shared" si="179"/>
        <v>13581.706523609786</v>
      </c>
      <c r="O249" s="54">
        <f t="shared" si="180"/>
        <v>1</v>
      </c>
      <c r="P249" s="71">
        <f t="shared" si="181"/>
        <v>101</v>
      </c>
      <c r="Q249" s="85">
        <f t="shared" si="182"/>
        <v>13581.706523609786</v>
      </c>
      <c r="R249" s="55">
        <f t="shared" si="183"/>
        <v>829.88536319681793</v>
      </c>
      <c r="S249" s="55">
        <f t="shared" si="184"/>
        <v>6.1103172988916016E-2</v>
      </c>
      <c r="T249" s="55">
        <v>1.4</v>
      </c>
      <c r="U249" s="241">
        <v>249</v>
      </c>
      <c r="W249" s="273"/>
      <c r="X249" s="273"/>
    </row>
    <row r="250" spans="1:24" ht="15">
      <c r="A250" s="42" t="s">
        <v>189</v>
      </c>
      <c r="B250" s="53" t="s">
        <v>16</v>
      </c>
      <c r="C250" s="80" t="s">
        <v>188</v>
      </c>
      <c r="D250" s="53">
        <v>149</v>
      </c>
      <c r="E250" s="53">
        <v>1.9944999999999999</v>
      </c>
      <c r="F250" s="53">
        <v>1.4753000000000001</v>
      </c>
      <c r="G250" s="53">
        <v>1.6142000000000001</v>
      </c>
      <c r="H250" s="53">
        <v>278</v>
      </c>
      <c r="I250" s="53">
        <v>175</v>
      </c>
      <c r="J250" s="53">
        <v>226</v>
      </c>
      <c r="K250" s="55">
        <f t="shared" si="185"/>
        <v>20768.112308849337</v>
      </c>
      <c r="L250" s="55">
        <f t="shared" si="177"/>
        <v>17674.371314308955</v>
      </c>
      <c r="M250" s="55">
        <f t="shared" si="178"/>
        <v>20861.107669433775</v>
      </c>
      <c r="N250" s="70">
        <f t="shared" si="179"/>
        <v>19767.863764197355</v>
      </c>
      <c r="O250" s="54">
        <v>2</v>
      </c>
      <c r="P250" s="71">
        <f t="shared" si="181"/>
        <v>74.5</v>
      </c>
      <c r="Q250" s="85">
        <f t="shared" si="182"/>
        <v>9883.9318820986773</v>
      </c>
      <c r="R250" s="55">
        <f t="shared" si="183"/>
        <v>1813.6137991803439</v>
      </c>
      <c r="S250" s="55">
        <f t="shared" si="184"/>
        <v>9.17455634465206E-2</v>
      </c>
      <c r="T250" s="55"/>
      <c r="U250" s="241">
        <v>250</v>
      </c>
      <c r="V250" s="53" t="s">
        <v>186</v>
      </c>
      <c r="W250" s="273"/>
      <c r="X250" s="273"/>
    </row>
    <row r="251" spans="1:24" ht="15">
      <c r="A251" s="42" t="s">
        <v>189</v>
      </c>
      <c r="B251" s="53" t="s">
        <v>16</v>
      </c>
      <c r="C251" s="80" t="s">
        <v>188</v>
      </c>
      <c r="D251" s="53">
        <v>224.5</v>
      </c>
      <c r="E251" s="53">
        <v>1.4611000000000001</v>
      </c>
      <c r="F251" s="53">
        <v>1.3649</v>
      </c>
      <c r="G251" s="53">
        <v>1.5488</v>
      </c>
      <c r="H251" s="53">
        <v>506</v>
      </c>
      <c r="I251" s="53">
        <v>428</v>
      </c>
      <c r="J251" s="53">
        <v>519</v>
      </c>
      <c r="K251" s="55">
        <f t="shared" si="185"/>
        <v>77747.587434124973</v>
      </c>
      <c r="L251" s="55">
        <f>$D251/E251*I251</f>
        <v>65762.781466018743</v>
      </c>
      <c r="M251" s="55">
        <f>$D251/F251*J251</f>
        <v>85365.594549051224</v>
      </c>
      <c r="N251" s="70">
        <f t="shared" si="179"/>
        <v>76291.987816398308</v>
      </c>
      <c r="O251" s="54">
        <f t="shared" si="180"/>
        <v>7</v>
      </c>
      <c r="P251" s="71">
        <f t="shared" si="181"/>
        <v>32.071428571428569</v>
      </c>
      <c r="Q251" s="85">
        <f t="shared" si="182"/>
        <v>10898.855402342615</v>
      </c>
      <c r="R251" s="55">
        <f t="shared" si="183"/>
        <v>9882.1378191877302</v>
      </c>
      <c r="S251" s="55">
        <f t="shared" si="184"/>
        <v>0.12953048022512856</v>
      </c>
      <c r="T251" s="55"/>
      <c r="U251" s="241">
        <v>251</v>
      </c>
      <c r="V251" s="53" t="s">
        <v>187</v>
      </c>
      <c r="W251" s="273"/>
      <c r="X251" s="273"/>
    </row>
    <row r="252" spans="1:24" ht="15">
      <c r="A252" s="42">
        <v>44084</v>
      </c>
      <c r="B252" s="53" t="s">
        <v>19</v>
      </c>
      <c r="C252" s="80" t="s">
        <v>188</v>
      </c>
      <c r="D252" s="53">
        <v>217.5</v>
      </c>
      <c r="E252" s="53">
        <v>1.669</v>
      </c>
      <c r="F252" s="53">
        <v>1.3671</v>
      </c>
      <c r="G252" s="53">
        <v>1.409</v>
      </c>
      <c r="H252" s="53">
        <v>383</v>
      </c>
      <c r="I252" s="53">
        <v>313</v>
      </c>
      <c r="J252" s="53">
        <v>373</v>
      </c>
      <c r="K252" s="55">
        <f t="shared" si="185"/>
        <v>49911.623726782498</v>
      </c>
      <c r="L252" s="55">
        <f t="shared" si="177"/>
        <v>49797.015580425723</v>
      </c>
      <c r="M252" s="55">
        <f t="shared" si="178"/>
        <v>57578.069552874374</v>
      </c>
      <c r="N252" s="70">
        <f t="shared" si="179"/>
        <v>52428.902953360863</v>
      </c>
      <c r="O252" s="54">
        <f t="shared" si="180"/>
        <v>5</v>
      </c>
      <c r="P252" s="71">
        <f t="shared" si="181"/>
        <v>43.5</v>
      </c>
      <c r="Q252" s="85">
        <f t="shared" si="182"/>
        <v>10485.780590672173</v>
      </c>
      <c r="R252" s="55">
        <f t="shared" si="183"/>
        <v>4459.6772595067878</v>
      </c>
      <c r="S252" s="55">
        <f t="shared" si="184"/>
        <v>8.5061426203672033E-2</v>
      </c>
      <c r="T252" s="55">
        <v>3.4352999999999998</v>
      </c>
      <c r="U252" s="241">
        <v>252</v>
      </c>
      <c r="W252" s="273"/>
      <c r="X252" s="273"/>
    </row>
    <row r="253" spans="1:24" ht="15">
      <c r="A253" s="42" t="s">
        <v>190</v>
      </c>
      <c r="B253" s="53" t="s">
        <v>11</v>
      </c>
      <c r="C253" s="80" t="s">
        <v>191</v>
      </c>
      <c r="D253" s="53">
        <v>295.5</v>
      </c>
      <c r="E253" s="53">
        <v>1.7505999999999999</v>
      </c>
      <c r="F253" s="53">
        <v>1.804</v>
      </c>
      <c r="G253" s="53">
        <v>1.6879999999999999</v>
      </c>
      <c r="H253" s="53">
        <v>312</v>
      </c>
      <c r="I253" s="53">
        <v>252</v>
      </c>
      <c r="J253" s="53">
        <v>257</v>
      </c>
      <c r="K253" s="55">
        <f t="shared" si="185"/>
        <v>52665.371872500858</v>
      </c>
      <c r="L253" s="55">
        <f t="shared" si="177"/>
        <v>41278.270509977832</v>
      </c>
      <c r="M253" s="55">
        <f t="shared" si="178"/>
        <v>44990.225118483417</v>
      </c>
      <c r="N253" s="70">
        <f t="shared" si="179"/>
        <v>46311.289166987372</v>
      </c>
      <c r="O253" s="54">
        <f t="shared" si="180"/>
        <v>4</v>
      </c>
      <c r="P253" s="71">
        <f t="shared" si="181"/>
        <v>73.875</v>
      </c>
      <c r="Q253" s="85">
        <f t="shared" si="182"/>
        <v>11577.822291746843</v>
      </c>
      <c r="R253" s="55">
        <f t="shared" si="183"/>
        <v>5807.3597292814984</v>
      </c>
      <c r="S253" s="55">
        <f t="shared" si="184"/>
        <v>0.1253983603941915</v>
      </c>
      <c r="T253" s="55"/>
      <c r="U253" s="241">
        <v>253</v>
      </c>
      <c r="V253" s="53" t="s">
        <v>187</v>
      </c>
      <c r="W253" s="273">
        <f>SUM(O253:O259)</f>
        <v>31</v>
      </c>
      <c r="X253" s="273"/>
    </row>
    <row r="254" spans="1:24" ht="15">
      <c r="A254" s="42" t="s">
        <v>190</v>
      </c>
      <c r="B254" s="53" t="s">
        <v>11</v>
      </c>
      <c r="C254" s="80" t="s">
        <v>191</v>
      </c>
      <c r="D254" s="53">
        <v>470</v>
      </c>
      <c r="E254" s="53">
        <v>2.2147999999999999</v>
      </c>
      <c r="F254" s="53">
        <v>2.3832</v>
      </c>
      <c r="G254" s="53">
        <v>2.1206999999999998</v>
      </c>
      <c r="H254" s="53">
        <v>165</v>
      </c>
      <c r="I254" s="53">
        <v>199</v>
      </c>
      <c r="J254" s="53">
        <v>181</v>
      </c>
      <c r="K254" s="55">
        <f t="shared" si="185"/>
        <v>35014.448257178985</v>
      </c>
      <c r="L254" s="55">
        <f t="shared" si="177"/>
        <v>39245.552198724406</v>
      </c>
      <c r="M254" s="55">
        <f t="shared" si="178"/>
        <v>40114.113264488144</v>
      </c>
      <c r="N254" s="70">
        <f t="shared" si="179"/>
        <v>38124.704573463845</v>
      </c>
      <c r="O254" s="54">
        <f t="shared" si="180"/>
        <v>3</v>
      </c>
      <c r="P254" s="71">
        <f t="shared" si="181"/>
        <v>156.66666666666666</v>
      </c>
      <c r="Q254" s="85">
        <f t="shared" si="182"/>
        <v>12708.234857821282</v>
      </c>
      <c r="R254" s="55">
        <f t="shared" si="183"/>
        <v>2728.3457159939535</v>
      </c>
      <c r="S254" s="55">
        <f t="shared" si="184"/>
        <v>7.1563720860750732E-2</v>
      </c>
      <c r="T254" s="55"/>
      <c r="U254" s="241">
        <v>254</v>
      </c>
      <c r="V254" s="53" t="s">
        <v>186</v>
      </c>
      <c r="W254" s="273"/>
      <c r="X254" s="273"/>
    </row>
    <row r="255" spans="1:24" ht="15">
      <c r="A255" s="42" t="s">
        <v>192</v>
      </c>
      <c r="B255" s="53" t="s">
        <v>11</v>
      </c>
      <c r="C255" s="80" t="s">
        <v>191</v>
      </c>
      <c r="D255" s="53">
        <v>362.5</v>
      </c>
      <c r="E255" s="53">
        <v>1.5015000000000001</v>
      </c>
      <c r="F255" s="53">
        <v>1.7221</v>
      </c>
      <c r="G255" s="53">
        <v>1.5257000000000001</v>
      </c>
      <c r="H255" s="53">
        <v>361</v>
      </c>
      <c r="I255" s="53">
        <v>456</v>
      </c>
      <c r="J255" s="53">
        <v>386</v>
      </c>
      <c r="K255" s="55">
        <f t="shared" si="185"/>
        <v>87154.512154512151</v>
      </c>
      <c r="L255" s="55">
        <f t="shared" si="177"/>
        <v>95987.457174380121</v>
      </c>
      <c r="M255" s="55">
        <f t="shared" si="178"/>
        <v>91712.001048698963</v>
      </c>
      <c r="N255" s="70">
        <f t="shared" si="179"/>
        <v>91617.99012586374</v>
      </c>
      <c r="O255" s="54">
        <f t="shared" si="180"/>
        <v>9</v>
      </c>
      <c r="P255" s="71">
        <f t="shared" si="181"/>
        <v>40.277777777777779</v>
      </c>
      <c r="Q255" s="85">
        <f t="shared" si="182"/>
        <v>10179.776680651526</v>
      </c>
      <c r="R255" s="55">
        <f t="shared" si="183"/>
        <v>4417.2228799565728</v>
      </c>
      <c r="S255" s="55">
        <f t="shared" si="184"/>
        <v>4.8213488135771622E-2</v>
      </c>
      <c r="T255" s="55">
        <v>3.76</v>
      </c>
      <c r="U255" s="241">
        <v>255</v>
      </c>
      <c r="W255" s="273"/>
      <c r="X255" s="273"/>
    </row>
    <row r="256" spans="1:24" ht="15">
      <c r="A256" s="42" t="s">
        <v>192</v>
      </c>
      <c r="B256" s="53" t="s">
        <v>11</v>
      </c>
      <c r="C256" s="80" t="s">
        <v>191</v>
      </c>
      <c r="D256" s="53">
        <v>242</v>
      </c>
      <c r="E256" s="53">
        <v>1.4742</v>
      </c>
      <c r="F256" s="53">
        <v>1.5963000000000001</v>
      </c>
      <c r="G256" s="53">
        <v>1.3838999999999999</v>
      </c>
      <c r="H256" s="53">
        <v>277</v>
      </c>
      <c r="I256" s="53">
        <v>308</v>
      </c>
      <c r="J256" s="53">
        <v>264</v>
      </c>
      <c r="K256" s="55">
        <f t="shared" si="185"/>
        <v>45471.44213810881</v>
      </c>
      <c r="L256" s="55">
        <f t="shared" si="177"/>
        <v>46692.977510493016</v>
      </c>
      <c r="M256" s="55">
        <f t="shared" si="178"/>
        <v>46165.18534576198</v>
      </c>
      <c r="N256" s="70">
        <f t="shared" si="179"/>
        <v>46109.8683314546</v>
      </c>
      <c r="O256" s="54">
        <f t="shared" si="180"/>
        <v>4</v>
      </c>
      <c r="P256" s="71">
        <f t="shared" si="181"/>
        <v>60.5</v>
      </c>
      <c r="Q256" s="85">
        <f t="shared" si="182"/>
        <v>11527.46708286365</v>
      </c>
      <c r="R256" s="55">
        <f t="shared" si="183"/>
        <v>612.64357137765421</v>
      </c>
      <c r="S256" s="55">
        <f t="shared" si="184"/>
        <v>1.3286604224799518E-2</v>
      </c>
      <c r="T256" s="55">
        <v>2.77</v>
      </c>
      <c r="U256" s="241">
        <v>256</v>
      </c>
      <c r="W256" s="273"/>
      <c r="X256" s="273"/>
    </row>
    <row r="257" spans="1:24" ht="15">
      <c r="A257" s="42" t="s">
        <v>192</v>
      </c>
      <c r="B257" s="53" t="s">
        <v>16</v>
      </c>
      <c r="C257" s="80" t="s">
        <v>191</v>
      </c>
      <c r="D257" s="53">
        <v>132</v>
      </c>
      <c r="E257" s="53">
        <v>1.5283</v>
      </c>
      <c r="F257" s="53">
        <v>1.4867999999999999</v>
      </c>
      <c r="G257" s="53">
        <v>1.6892</v>
      </c>
      <c r="H257" s="53">
        <v>358</v>
      </c>
      <c r="I257" s="53">
        <v>349</v>
      </c>
      <c r="J257" s="53">
        <v>391</v>
      </c>
      <c r="K257" s="55">
        <f t="shared" si="185"/>
        <v>30920.630766210823</v>
      </c>
      <c r="L257" s="55">
        <f t="shared" si="177"/>
        <v>30984.665052461663</v>
      </c>
      <c r="M257" s="55">
        <f t="shared" si="178"/>
        <v>30554.108453705896</v>
      </c>
      <c r="N257" s="70">
        <f t="shared" si="179"/>
        <v>30819.801424126126</v>
      </c>
      <c r="O257" s="54">
        <f t="shared" si="180"/>
        <v>3</v>
      </c>
      <c r="P257" s="71">
        <f t="shared" si="181"/>
        <v>44</v>
      </c>
      <c r="Q257" s="85">
        <f t="shared" si="182"/>
        <v>10273.267141375376</v>
      </c>
      <c r="R257" s="55">
        <f t="shared" si="183"/>
        <v>232.31371752859999</v>
      </c>
      <c r="S257" s="55">
        <f t="shared" si="184"/>
        <v>7.5378070848549309E-3</v>
      </c>
      <c r="T257" s="55">
        <v>1.43</v>
      </c>
      <c r="U257" s="241">
        <v>257</v>
      </c>
      <c r="W257" s="273"/>
      <c r="X257" s="273"/>
    </row>
    <row r="258" spans="1:24" ht="15">
      <c r="A258" s="42" t="s">
        <v>193</v>
      </c>
      <c r="B258" s="53" t="s">
        <v>16</v>
      </c>
      <c r="C258" s="80" t="s">
        <v>191</v>
      </c>
      <c r="D258" s="53">
        <v>306</v>
      </c>
      <c r="E258" s="53">
        <v>2.4024000000000001</v>
      </c>
      <c r="F258" s="53">
        <v>2.0945999999999998</v>
      </c>
      <c r="G258" s="53">
        <v>2.3559999999999999</v>
      </c>
      <c r="H258" s="53">
        <v>168</v>
      </c>
      <c r="I258" s="53">
        <v>157</v>
      </c>
      <c r="J258" s="53">
        <v>170</v>
      </c>
      <c r="K258" s="55">
        <f t="shared" si="185"/>
        <v>21398.601398601397</v>
      </c>
      <c r="L258" s="55">
        <f t="shared" si="177"/>
        <v>22936.121455170443</v>
      </c>
      <c r="M258" s="55">
        <f t="shared" si="178"/>
        <v>22079.79626485569</v>
      </c>
      <c r="N258" s="70">
        <f t="shared" si="179"/>
        <v>22138.173039542511</v>
      </c>
      <c r="O258" s="54">
        <f t="shared" si="180"/>
        <v>2</v>
      </c>
      <c r="P258" s="71">
        <f t="shared" si="181"/>
        <v>153</v>
      </c>
      <c r="Q258" s="85">
        <f t="shared" si="182"/>
        <v>11069.086519771256</v>
      </c>
      <c r="R258" s="55">
        <f t="shared" si="183"/>
        <v>770.42057796709196</v>
      </c>
      <c r="S258" s="55">
        <f t="shared" si="184"/>
        <v>3.4800549105429381E-2</v>
      </c>
      <c r="T258" s="55"/>
      <c r="U258" s="241">
        <v>258</v>
      </c>
      <c r="V258" s="53" t="s">
        <v>186</v>
      </c>
      <c r="W258" s="273"/>
      <c r="X258" s="273"/>
    </row>
    <row r="259" spans="1:24" ht="15">
      <c r="A259" s="42" t="s">
        <v>193</v>
      </c>
      <c r="B259" s="53" t="s">
        <v>16</v>
      </c>
      <c r="C259" s="80" t="s">
        <v>191</v>
      </c>
      <c r="D259" s="53">
        <v>336</v>
      </c>
      <c r="E259" s="53">
        <v>1.6955</v>
      </c>
      <c r="F259" s="53">
        <v>1.5837000000000001</v>
      </c>
      <c r="G259" s="53">
        <v>1.7794000000000001</v>
      </c>
      <c r="H259" s="53">
        <v>355</v>
      </c>
      <c r="I259" s="53">
        <v>263</v>
      </c>
      <c r="J259" s="53">
        <v>298</v>
      </c>
      <c r="K259" s="55">
        <f t="shared" si="185"/>
        <v>70350.928929519316</v>
      </c>
      <c r="L259" s="55">
        <f t="shared" si="177"/>
        <v>55798.446675506719</v>
      </c>
      <c r="M259" s="55">
        <f t="shared" si="178"/>
        <v>56270.65302911093</v>
      </c>
      <c r="N259" s="70">
        <f t="shared" si="179"/>
        <v>60806.676211378981</v>
      </c>
      <c r="O259" s="54">
        <f t="shared" si="180"/>
        <v>6</v>
      </c>
      <c r="P259" s="71">
        <f t="shared" si="181"/>
        <v>56</v>
      </c>
      <c r="Q259" s="85">
        <f t="shared" si="182"/>
        <v>10134.44603522983</v>
      </c>
      <c r="R259" s="55">
        <f t="shared" si="183"/>
        <v>8268.9367315813124</v>
      </c>
      <c r="S259" s="55">
        <f t="shared" si="184"/>
        <v>0.13598731663668726</v>
      </c>
      <c r="T259" s="55"/>
      <c r="U259" s="241">
        <v>259</v>
      </c>
      <c r="V259" s="53" t="s">
        <v>187</v>
      </c>
      <c r="W259" s="273"/>
      <c r="X259" s="273"/>
    </row>
    <row r="260" spans="1:24" ht="15">
      <c r="A260" s="42">
        <v>44123</v>
      </c>
      <c r="B260" s="53" t="s">
        <v>11</v>
      </c>
      <c r="C260" s="80">
        <v>44134</v>
      </c>
      <c r="D260" s="53">
        <v>330</v>
      </c>
      <c r="E260" s="53">
        <v>1.5489999999999999</v>
      </c>
      <c r="F260" s="53">
        <v>1.5668</v>
      </c>
      <c r="G260" s="53">
        <v>1.4931000000000001</v>
      </c>
      <c r="H260" s="53">
        <v>244</v>
      </c>
      <c r="I260" s="53">
        <v>272</v>
      </c>
      <c r="J260" s="53">
        <v>247</v>
      </c>
      <c r="K260" s="55">
        <f t="shared" si="185"/>
        <v>51981.923821820528</v>
      </c>
      <c r="L260" s="55">
        <f t="shared" si="177"/>
        <v>57288.741383712026</v>
      </c>
      <c r="M260" s="55">
        <f t="shared" si="178"/>
        <v>54591.119148081169</v>
      </c>
      <c r="N260" s="70">
        <f t="shared" si="179"/>
        <v>54620.594784537912</v>
      </c>
      <c r="O260" s="54">
        <f t="shared" si="180"/>
        <v>5</v>
      </c>
      <c r="P260" s="71">
        <f t="shared" si="181"/>
        <v>66</v>
      </c>
      <c r="Q260" s="85">
        <f t="shared" si="182"/>
        <v>10924.118956907583</v>
      </c>
      <c r="R260" s="55">
        <f t="shared" si="183"/>
        <v>2653.5315654158708</v>
      </c>
      <c r="S260" s="55">
        <f t="shared" si="184"/>
        <v>4.8581154706997753E-2</v>
      </c>
      <c r="T260" s="55"/>
      <c r="U260" s="241">
        <v>260</v>
      </c>
      <c r="W260" s="273"/>
      <c r="X260" s="273"/>
    </row>
    <row r="261" spans="1:24" ht="15">
      <c r="A261" s="42">
        <v>44123</v>
      </c>
      <c r="B261" s="53" t="s">
        <v>16</v>
      </c>
      <c r="C261" s="80">
        <v>44134</v>
      </c>
      <c r="D261" s="53">
        <v>223</v>
      </c>
      <c r="E261" s="53">
        <v>1.2381</v>
      </c>
      <c r="F261" s="53">
        <v>1.2841</v>
      </c>
      <c r="G261" s="53">
        <v>1.3995</v>
      </c>
      <c r="H261" s="53">
        <v>318</v>
      </c>
      <c r="I261" s="53">
        <v>320</v>
      </c>
      <c r="J261" s="53">
        <v>251</v>
      </c>
      <c r="K261" s="55">
        <f t="shared" si="185"/>
        <v>57276.472013569182</v>
      </c>
      <c r="L261" s="55">
        <f t="shared" si="177"/>
        <v>55571.995950471144</v>
      </c>
      <c r="M261" s="55">
        <f t="shared" si="178"/>
        <v>39994.998213647734</v>
      </c>
      <c r="N261" s="70">
        <f t="shared" si="179"/>
        <v>50947.822059229344</v>
      </c>
      <c r="O261" s="54">
        <f t="shared" si="180"/>
        <v>5</v>
      </c>
      <c r="P261" s="71">
        <f t="shared" si="181"/>
        <v>44.6</v>
      </c>
      <c r="Q261" s="85">
        <f t="shared" si="182"/>
        <v>10189.564411845869</v>
      </c>
      <c r="R261" s="55">
        <f t="shared" si="183"/>
        <v>9523.632306356405</v>
      </c>
      <c r="S261" s="55">
        <f t="shared" si="184"/>
        <v>0.18692913497430205</v>
      </c>
      <c r="T261" s="55"/>
      <c r="U261" s="241">
        <v>261</v>
      </c>
      <c r="V261" s="53" t="s">
        <v>187</v>
      </c>
      <c r="W261" s="273"/>
      <c r="X261" s="273"/>
    </row>
    <row r="262" spans="1:24" ht="15">
      <c r="A262" s="42">
        <v>44123</v>
      </c>
      <c r="B262" s="53" t="s">
        <v>16</v>
      </c>
      <c r="C262" s="80">
        <v>44134</v>
      </c>
      <c r="D262" s="53">
        <v>424</v>
      </c>
      <c r="E262" s="53">
        <v>1.9750000000000001</v>
      </c>
      <c r="F262" s="53">
        <v>1.6187</v>
      </c>
      <c r="G262" s="53">
        <v>1.8360000000000001</v>
      </c>
      <c r="H262" s="53">
        <v>164</v>
      </c>
      <c r="I262" s="53">
        <v>136</v>
      </c>
      <c r="J262" s="53">
        <v>146</v>
      </c>
      <c r="K262" s="55">
        <f t="shared" si="185"/>
        <v>35208.101265822785</v>
      </c>
      <c r="L262" s="55">
        <f t="shared" si="177"/>
        <v>35623.648606906776</v>
      </c>
      <c r="M262" s="55">
        <f t="shared" si="178"/>
        <v>33716.775599128538</v>
      </c>
      <c r="N262" s="70">
        <f t="shared" si="179"/>
        <v>34849.508490619366</v>
      </c>
      <c r="O262" s="54">
        <f t="shared" si="180"/>
        <v>3</v>
      </c>
      <c r="P262" s="71">
        <f t="shared" si="181"/>
        <v>141.33333333333334</v>
      </c>
      <c r="Q262" s="85">
        <f t="shared" si="182"/>
        <v>11616.502830206455</v>
      </c>
      <c r="R262" s="55">
        <f t="shared" si="183"/>
        <v>1002.737628080932</v>
      </c>
      <c r="S262" s="55">
        <f t="shared" si="184"/>
        <v>2.8773365006018504E-2</v>
      </c>
      <c r="T262" s="55"/>
      <c r="U262" s="241">
        <v>262</v>
      </c>
      <c r="V262" s="53" t="s">
        <v>186</v>
      </c>
      <c r="W262" s="273"/>
      <c r="X262" s="273"/>
    </row>
    <row r="263" spans="1:24" ht="15">
      <c r="A263" s="42" t="s">
        <v>194</v>
      </c>
      <c r="B263" s="53" t="s">
        <v>16</v>
      </c>
      <c r="C263" s="80">
        <v>44139</v>
      </c>
      <c r="D263" s="53">
        <v>466.5</v>
      </c>
      <c r="E263" s="53">
        <v>1.4755</v>
      </c>
      <c r="F263" s="53">
        <v>1.6477999999999999</v>
      </c>
      <c r="G263" s="53">
        <v>1.6195999999999999</v>
      </c>
      <c r="H263" s="53">
        <v>119</v>
      </c>
      <c r="I263" s="53">
        <v>135</v>
      </c>
      <c r="J263" s="53">
        <v>133</v>
      </c>
      <c r="K263" s="55">
        <f t="shared" si="185"/>
        <v>37623.517451711283</v>
      </c>
      <c r="L263" s="55">
        <f t="shared" si="177"/>
        <v>38219.140672411704</v>
      </c>
      <c r="M263" s="55">
        <f t="shared" si="178"/>
        <v>38308.532971103974</v>
      </c>
      <c r="N263" s="70">
        <f t="shared" si="179"/>
        <v>38050.397031742323</v>
      </c>
      <c r="O263" s="54">
        <f t="shared" si="180"/>
        <v>3</v>
      </c>
      <c r="P263" s="71">
        <f t="shared" si="181"/>
        <v>155.5</v>
      </c>
      <c r="Q263" s="85">
        <f t="shared" si="182"/>
        <v>12683.465677247441</v>
      </c>
      <c r="R263" s="55">
        <f t="shared" si="183"/>
        <v>372.38068915020045</v>
      </c>
      <c r="S263" s="55">
        <f t="shared" si="184"/>
        <v>9.7865125780304957E-3</v>
      </c>
      <c r="T263" s="55"/>
      <c r="U263" s="241">
        <v>263</v>
      </c>
      <c r="V263" s="53" t="s">
        <v>186</v>
      </c>
      <c r="W263" s="273"/>
      <c r="X263" s="273"/>
    </row>
    <row r="264" spans="1:24" ht="15">
      <c r="A264" s="42" t="s">
        <v>194</v>
      </c>
      <c r="B264" s="53" t="s">
        <v>16</v>
      </c>
      <c r="C264" s="80">
        <v>44139</v>
      </c>
      <c r="D264" s="53">
        <v>528.5</v>
      </c>
      <c r="E264" s="53">
        <v>1.5925</v>
      </c>
      <c r="F264" s="53">
        <v>1.5246</v>
      </c>
      <c r="G264" s="53">
        <v>1.516</v>
      </c>
      <c r="H264" s="53">
        <v>270</v>
      </c>
      <c r="I264" s="53">
        <v>232</v>
      </c>
      <c r="J264" s="53">
        <v>274</v>
      </c>
      <c r="K264" s="55">
        <f t="shared" si="185"/>
        <v>89604.395604395599</v>
      </c>
      <c r="L264" s="55">
        <f t="shared" si="177"/>
        <v>80422.405876951336</v>
      </c>
      <c r="M264" s="55">
        <f t="shared" si="178"/>
        <v>95520.448548812667</v>
      </c>
      <c r="N264" s="70">
        <f t="shared" si="179"/>
        <v>88515.750010053205</v>
      </c>
      <c r="O264" s="54">
        <f t="shared" si="180"/>
        <v>8</v>
      </c>
      <c r="P264" s="71">
        <f t="shared" si="181"/>
        <v>66.0625</v>
      </c>
      <c r="Q264" s="85">
        <f t="shared" si="182"/>
        <v>11064.468751256651</v>
      </c>
      <c r="R264" s="55">
        <f t="shared" si="183"/>
        <v>7607.6662027784341</v>
      </c>
      <c r="S264" s="55">
        <f t="shared" si="184"/>
        <v>8.5947034306486592E-2</v>
      </c>
      <c r="T264" s="55"/>
      <c r="U264" s="241">
        <v>264</v>
      </c>
      <c r="V264" s="53" t="s">
        <v>187</v>
      </c>
      <c r="W264" s="273"/>
      <c r="X264" s="273"/>
    </row>
    <row r="265" spans="1:24" ht="15">
      <c r="A265" s="42">
        <v>44127</v>
      </c>
      <c r="B265" s="53" t="s">
        <v>8</v>
      </c>
      <c r="C265" s="80">
        <v>44139</v>
      </c>
      <c r="D265" s="53">
        <v>464</v>
      </c>
      <c r="E265" s="53">
        <v>1.4435</v>
      </c>
      <c r="F265" s="53">
        <v>1.5934999999999999</v>
      </c>
      <c r="G265" s="53">
        <v>1.4329000000000001</v>
      </c>
      <c r="H265" s="53">
        <v>316</v>
      </c>
      <c r="I265" s="53">
        <v>378</v>
      </c>
      <c r="J265" s="53">
        <v>296</v>
      </c>
      <c r="K265" s="55">
        <f t="shared" si="185"/>
        <v>101575.33772081746</v>
      </c>
      <c r="L265" s="55">
        <f t="shared" si="177"/>
        <v>110067.1477878883</v>
      </c>
      <c r="M265" s="55">
        <f t="shared" si="178"/>
        <v>95850.373368692861</v>
      </c>
      <c r="N265" s="70">
        <f t="shared" si="179"/>
        <v>102497.61962579955</v>
      </c>
      <c r="O265" s="54">
        <f t="shared" si="180"/>
        <v>10</v>
      </c>
      <c r="P265" s="71">
        <f t="shared" si="181"/>
        <v>46.4</v>
      </c>
      <c r="Q265" s="85">
        <f t="shared" si="182"/>
        <v>10249.761962579954</v>
      </c>
      <c r="R265" s="55">
        <f t="shared" si="183"/>
        <v>7153.1197149052023</v>
      </c>
      <c r="S265" s="55">
        <f t="shared" si="184"/>
        <v>6.9788154505635955E-2</v>
      </c>
      <c r="T265" s="55"/>
      <c r="U265" s="241">
        <v>265</v>
      </c>
      <c r="W265" s="273"/>
      <c r="X265" s="273"/>
    </row>
    <row r="266" spans="1:24" ht="15">
      <c r="A266" s="42" t="s">
        <v>194</v>
      </c>
      <c r="B266" s="53" t="s">
        <v>24</v>
      </c>
      <c r="C266" s="80">
        <v>44139</v>
      </c>
      <c r="D266" s="53">
        <v>357</v>
      </c>
      <c r="E266" s="53">
        <v>1.4497</v>
      </c>
      <c r="F266" s="53">
        <v>1.5423</v>
      </c>
      <c r="G266" s="53">
        <v>1.4260999999999999</v>
      </c>
      <c r="H266" s="53">
        <v>221</v>
      </c>
      <c r="I266" s="53">
        <v>254</v>
      </c>
      <c r="J266" s="53">
        <v>225</v>
      </c>
      <c r="K266" s="55">
        <f t="shared" si="185"/>
        <v>54422.984065668759</v>
      </c>
      <c r="L266" s="55">
        <f t="shared" si="177"/>
        <v>58794.008947675546</v>
      </c>
      <c r="M266" s="55">
        <f t="shared" si="178"/>
        <v>56324.942149919363</v>
      </c>
      <c r="N266" s="70">
        <f t="shared" si="179"/>
        <v>56513.978387754556</v>
      </c>
      <c r="O266" s="54">
        <f t="shared" si="180"/>
        <v>5</v>
      </c>
      <c r="P266" s="71">
        <f t="shared" si="181"/>
        <v>71.400000000000006</v>
      </c>
      <c r="Q266" s="85">
        <f t="shared" si="182"/>
        <v>11302.795677550912</v>
      </c>
      <c r="R266" s="55">
        <f t="shared" si="183"/>
        <v>2191.635383496026</v>
      </c>
      <c r="S266" s="55">
        <f t="shared" si="184"/>
        <v>3.8780412316024616E-2</v>
      </c>
      <c r="T266" s="55"/>
      <c r="U266" s="241">
        <v>266</v>
      </c>
      <c r="V266" s="53" t="s">
        <v>186</v>
      </c>
      <c r="W266" s="273"/>
      <c r="X266" s="273"/>
    </row>
    <row r="267" spans="1:24" ht="15">
      <c r="A267" s="42" t="s">
        <v>194</v>
      </c>
      <c r="B267" s="53" t="s">
        <v>24</v>
      </c>
      <c r="C267" s="80">
        <v>44139</v>
      </c>
      <c r="D267" s="53">
        <v>395</v>
      </c>
      <c r="E267" s="53">
        <v>1.2817000000000001</v>
      </c>
      <c r="F267" s="53">
        <v>1.2484999999999999</v>
      </c>
      <c r="G267" s="53">
        <v>1.2366999999999999</v>
      </c>
      <c r="H267" s="53">
        <v>320</v>
      </c>
      <c r="I267" s="53">
        <v>287</v>
      </c>
      <c r="J267" s="53">
        <v>286</v>
      </c>
      <c r="K267" s="55">
        <f t="shared" si="185"/>
        <v>98619.021611921649</v>
      </c>
      <c r="L267" s="55">
        <f t="shared" si="177"/>
        <v>90800.961153384065</v>
      </c>
      <c r="M267" s="55">
        <f t="shared" si="178"/>
        <v>91347.942103986425</v>
      </c>
      <c r="N267" s="70">
        <f t="shared" si="179"/>
        <v>93589.308289764056</v>
      </c>
      <c r="O267" s="54">
        <f>IF(ROUNDDOWN(N267/10000,0)=0,1,ROUNDDOWN(N267/10000,0))</f>
        <v>9</v>
      </c>
      <c r="P267" s="71">
        <f t="shared" si="181"/>
        <v>43.888888888888886</v>
      </c>
      <c r="Q267" s="85">
        <f t="shared" si="182"/>
        <v>10398.812032196007</v>
      </c>
      <c r="R267" s="55">
        <f t="shared" si="183"/>
        <v>4364.4368614287132</v>
      </c>
      <c r="S267" s="55">
        <f t="shared" si="184"/>
        <v>4.6633925831740072E-2</v>
      </c>
      <c r="T267" s="55"/>
      <c r="U267" s="241">
        <v>267</v>
      </c>
      <c r="V267" s="53" t="s">
        <v>187</v>
      </c>
      <c r="W267" s="273"/>
      <c r="X267" s="273"/>
    </row>
    <row r="268" spans="1:24" ht="15">
      <c r="A268" s="42" t="s">
        <v>194</v>
      </c>
      <c r="B268" s="53" t="s">
        <v>11</v>
      </c>
      <c r="C268" s="80">
        <v>44139</v>
      </c>
      <c r="D268" s="53">
        <v>206.5</v>
      </c>
      <c r="E268" s="53">
        <v>1.5196000000000001</v>
      </c>
      <c r="F268" s="53">
        <v>1.5752999999999999</v>
      </c>
      <c r="G268" s="53">
        <v>1.2707999999999999</v>
      </c>
      <c r="H268" s="53">
        <v>358</v>
      </c>
      <c r="I268" s="53">
        <v>387</v>
      </c>
      <c r="J268" s="53">
        <v>317</v>
      </c>
      <c r="K268" s="55">
        <f t="shared" si="185"/>
        <v>48648.986575414579</v>
      </c>
      <c r="L268" s="55">
        <f t="shared" si="177"/>
        <v>50730.337078651683</v>
      </c>
      <c r="M268" s="55">
        <f t="shared" si="178"/>
        <v>51511.252754170608</v>
      </c>
      <c r="N268" s="70">
        <f t="shared" si="179"/>
        <v>50296.858802745621</v>
      </c>
      <c r="O268" s="54">
        <f t="shared" si="180"/>
        <v>5</v>
      </c>
      <c r="P268" s="71">
        <f t="shared" si="181"/>
        <v>41.3</v>
      </c>
      <c r="Q268" s="85">
        <f t="shared" si="182"/>
        <v>10059.371760549124</v>
      </c>
      <c r="R268" s="55">
        <f t="shared" si="183"/>
        <v>1479.5504321497549</v>
      </c>
      <c r="S268" s="55">
        <f t="shared" si="184"/>
        <v>2.9416358543428337E-2</v>
      </c>
      <c r="T268" s="55"/>
      <c r="U268" s="241">
        <v>268</v>
      </c>
      <c r="V268" s="53" t="s">
        <v>187</v>
      </c>
      <c r="W268" s="273"/>
      <c r="X268" s="273"/>
    </row>
    <row r="269" spans="1:24" ht="15">
      <c r="A269" s="42" t="s">
        <v>194</v>
      </c>
      <c r="B269" s="53" t="s">
        <v>11</v>
      </c>
      <c r="C269" s="80">
        <v>44139</v>
      </c>
      <c r="D269" s="53">
        <v>150.5</v>
      </c>
      <c r="E269" s="53">
        <v>1.62</v>
      </c>
      <c r="F269" s="53">
        <v>1.9285000000000001</v>
      </c>
      <c r="G269" s="53">
        <v>1.6348</v>
      </c>
      <c r="H269" s="53">
        <v>136</v>
      </c>
      <c r="I269" s="53">
        <v>157</v>
      </c>
      <c r="J269" s="53">
        <v>139</v>
      </c>
      <c r="K269" s="55">
        <f t="shared" si="185"/>
        <v>12634.567901234566</v>
      </c>
      <c r="L269" s="55">
        <f t="shared" si="177"/>
        <v>12252.268602540833</v>
      </c>
      <c r="M269" s="55">
        <f t="shared" si="178"/>
        <v>12796.366528015658</v>
      </c>
      <c r="N269" s="70">
        <f t="shared" si="179"/>
        <v>12561.067677263685</v>
      </c>
      <c r="O269" s="54">
        <f t="shared" si="180"/>
        <v>1</v>
      </c>
      <c r="P269" s="71">
        <f t="shared" si="181"/>
        <v>150.5</v>
      </c>
      <c r="Q269" s="85">
        <f t="shared" si="182"/>
        <v>12561.067677263685</v>
      </c>
      <c r="R269" s="55">
        <f t="shared" si="183"/>
        <v>279.39640355475115</v>
      </c>
      <c r="S269" s="55">
        <f t="shared" si="184"/>
        <v>2.224304579303207E-2</v>
      </c>
      <c r="T269" s="55"/>
      <c r="U269" s="241">
        <v>269</v>
      </c>
      <c r="V269" s="53" t="s">
        <v>186</v>
      </c>
      <c r="W269" s="273"/>
      <c r="X269" s="273"/>
    </row>
    <row r="270" spans="1:24" ht="15">
      <c r="A270" s="42" t="s">
        <v>195</v>
      </c>
      <c r="B270" s="53" t="s">
        <v>24</v>
      </c>
      <c r="C270" s="80">
        <v>44146</v>
      </c>
      <c r="D270" s="53">
        <v>274.5</v>
      </c>
      <c r="E270" s="53">
        <v>2.2749000000000001</v>
      </c>
      <c r="F270" s="53">
        <v>2.2338</v>
      </c>
      <c r="G270" s="53">
        <v>2.1654</v>
      </c>
      <c r="H270" s="53">
        <v>127</v>
      </c>
      <c r="I270" s="53">
        <v>126</v>
      </c>
      <c r="J270" s="53">
        <v>133</v>
      </c>
      <c r="K270" s="55">
        <f t="shared" si="185"/>
        <v>15324.409864169853</v>
      </c>
      <c r="L270" s="55">
        <f t="shared" si="177"/>
        <v>15483.481063658341</v>
      </c>
      <c r="M270" s="55">
        <f t="shared" si="178"/>
        <v>16859.933499584371</v>
      </c>
      <c r="N270" s="70">
        <f t="shared" si="179"/>
        <v>15889.27480913752</v>
      </c>
      <c r="O270" s="54">
        <f t="shared" si="180"/>
        <v>1</v>
      </c>
      <c r="P270" s="71">
        <f t="shared" si="181"/>
        <v>274.5</v>
      </c>
      <c r="Q270" s="85">
        <f t="shared" si="182"/>
        <v>15889.27480913752</v>
      </c>
      <c r="R270" s="55">
        <f t="shared" si="183"/>
        <v>844.36936919316963</v>
      </c>
      <c r="S270" s="55">
        <f t="shared" si="184"/>
        <v>5.3140837409873118E-2</v>
      </c>
      <c r="T270" s="55"/>
      <c r="U270" s="241">
        <v>270</v>
      </c>
      <c r="W270" s="273"/>
      <c r="X270" s="273"/>
    </row>
    <row r="271" spans="1:24" ht="15">
      <c r="A271" s="42" t="s">
        <v>195</v>
      </c>
      <c r="B271" s="53" t="s">
        <v>24</v>
      </c>
      <c r="C271" s="80">
        <v>44146</v>
      </c>
      <c r="D271" s="53">
        <v>306</v>
      </c>
      <c r="E271" s="53">
        <v>1.4814000000000001</v>
      </c>
      <c r="F271" s="53">
        <v>1.4977</v>
      </c>
      <c r="G271" s="53">
        <v>1.5582</v>
      </c>
      <c r="H271" s="53">
        <v>377</v>
      </c>
      <c r="I271" s="53">
        <v>368</v>
      </c>
      <c r="J271" s="53">
        <v>420</v>
      </c>
      <c r="K271" s="55">
        <f t="shared" si="185"/>
        <v>77873.633049817741</v>
      </c>
      <c r="L271" s="55">
        <f t="shared" si="177"/>
        <v>75187.287173666293</v>
      </c>
      <c r="M271" s="55">
        <f t="shared" si="178"/>
        <v>82479.784366576816</v>
      </c>
      <c r="N271" s="70">
        <f t="shared" si="179"/>
        <v>78513.56819668696</v>
      </c>
      <c r="O271" s="54">
        <f t="shared" si="180"/>
        <v>7</v>
      </c>
      <c r="P271" s="71">
        <f t="shared" si="181"/>
        <v>43.714285714285715</v>
      </c>
      <c r="Q271" s="85">
        <f t="shared" si="182"/>
        <v>11216.224028098137</v>
      </c>
      <c r="R271" s="55">
        <f t="shared" si="183"/>
        <v>3688.1250753331092</v>
      </c>
      <c r="S271" s="55">
        <f t="shared" si="184"/>
        <v>4.6974365833098608E-2</v>
      </c>
      <c r="T271" s="55"/>
      <c r="U271" s="241">
        <v>271</v>
      </c>
      <c r="W271" s="273"/>
      <c r="X271" s="273"/>
    </row>
    <row r="272" spans="1:24" ht="15">
      <c r="A272" s="42" t="s">
        <v>196</v>
      </c>
      <c r="B272" s="53" t="s">
        <v>16</v>
      </c>
      <c r="C272" s="80">
        <v>44146</v>
      </c>
      <c r="D272" s="53">
        <v>307</v>
      </c>
      <c r="E272" s="53">
        <v>1.94</v>
      </c>
      <c r="F272" s="53">
        <v>2.3599000000000001</v>
      </c>
      <c r="G272" s="53">
        <v>2.1675</v>
      </c>
      <c r="H272" s="53">
        <v>166</v>
      </c>
      <c r="I272" s="53">
        <v>201</v>
      </c>
      <c r="J272" s="53">
        <v>174</v>
      </c>
      <c r="K272" s="55">
        <f t="shared" si="185"/>
        <v>26269.072164948455</v>
      </c>
      <c r="L272" s="55">
        <f t="shared" si="177"/>
        <v>26148.141870418236</v>
      </c>
      <c r="M272" s="55">
        <f t="shared" si="178"/>
        <v>24644.98269896194</v>
      </c>
      <c r="N272" s="70">
        <f t="shared" si="179"/>
        <v>25687.39891144288</v>
      </c>
      <c r="O272" s="54">
        <f t="shared" si="180"/>
        <v>2</v>
      </c>
      <c r="P272" s="71">
        <f t="shared" si="181"/>
        <v>153.5</v>
      </c>
      <c r="Q272" s="85">
        <f t="shared" si="182"/>
        <v>12843.69945572144</v>
      </c>
      <c r="R272" s="55">
        <f t="shared" si="183"/>
        <v>904.7815780983376</v>
      </c>
      <c r="S272" s="55">
        <f t="shared" si="184"/>
        <v>3.5222779122851849E-2</v>
      </c>
      <c r="T272" s="55"/>
      <c r="U272" s="241">
        <v>272</v>
      </c>
      <c r="W272" s="273"/>
      <c r="X272" s="273"/>
    </row>
    <row r="273" spans="1:24" ht="15">
      <c r="A273" s="42" t="s">
        <v>196</v>
      </c>
      <c r="B273" s="53" t="s">
        <v>16</v>
      </c>
      <c r="C273" s="80">
        <v>44146</v>
      </c>
      <c r="D273" s="53">
        <v>221</v>
      </c>
      <c r="E273" s="53">
        <v>1.6273</v>
      </c>
      <c r="F273" s="53">
        <v>1.5421</v>
      </c>
      <c r="G273" s="53">
        <v>1.5874999999999999</v>
      </c>
      <c r="H273" s="53">
        <v>518</v>
      </c>
      <c r="I273" s="53">
        <v>561</v>
      </c>
      <c r="J273" s="53">
        <v>571</v>
      </c>
      <c r="K273" s="55">
        <f t="shared" si="185"/>
        <v>70348.429914582433</v>
      </c>
      <c r="L273" s="55">
        <f t="shared" ref="L273:L300" si="186">$D273/F273*I273</f>
        <v>80397.509889112247</v>
      </c>
      <c r="M273" s="55">
        <f t="shared" ref="M273:M300" si="187">$D273/G273*J273</f>
        <v>79490.393700787405</v>
      </c>
      <c r="N273" s="70">
        <f t="shared" ref="N273:N300" si="188">AVERAGE(K273:M273)</f>
        <v>76745.444501494014</v>
      </c>
      <c r="O273" s="54">
        <f t="shared" ref="O273:O300" si="189">IF(ROUNDDOWN(N273/10000,0)=0,1,ROUNDDOWN(N273/10000,0))</f>
        <v>7</v>
      </c>
      <c r="P273" s="71">
        <f t="shared" ref="P273:P300" si="190">D273/O273</f>
        <v>31.571428571428573</v>
      </c>
      <c r="Q273" s="85">
        <f t="shared" ref="Q273:Q300" si="191">N273/O273</f>
        <v>10963.634928784859</v>
      </c>
      <c r="R273" s="55">
        <f t="shared" ref="R273:R300" si="192">STDEV(K273:M273)</f>
        <v>5558.5125405678491</v>
      </c>
      <c r="S273" s="55">
        <f t="shared" ref="S273:S300" si="193">R273/N273</f>
        <v>7.2427915124781653E-2</v>
      </c>
      <c r="T273" s="55"/>
      <c r="U273" s="241">
        <v>273</v>
      </c>
      <c r="W273" s="273"/>
      <c r="X273" s="273"/>
    </row>
    <row r="274" spans="1:24" ht="15">
      <c r="A274" s="42" t="s">
        <v>195</v>
      </c>
      <c r="B274" s="53" t="s">
        <v>8</v>
      </c>
      <c r="C274" s="80">
        <v>44146</v>
      </c>
      <c r="D274" s="53">
        <v>354.5</v>
      </c>
      <c r="E274" s="53">
        <v>1.2867</v>
      </c>
      <c r="F274" s="53">
        <v>1.115</v>
      </c>
      <c r="G274" s="53">
        <v>1.1936</v>
      </c>
      <c r="H274" s="53">
        <v>441</v>
      </c>
      <c r="I274" s="53">
        <v>369</v>
      </c>
      <c r="J274" s="53">
        <v>418</v>
      </c>
      <c r="K274" s="55">
        <f t="shared" si="185"/>
        <v>121500.34973187225</v>
      </c>
      <c r="L274" s="55">
        <f t="shared" si="186"/>
        <v>117318.83408071748</v>
      </c>
      <c r="M274" s="55">
        <f t="shared" si="187"/>
        <v>124146.2801608579</v>
      </c>
      <c r="N274" s="70">
        <f t="shared" si="188"/>
        <v>120988.4879911492</v>
      </c>
      <c r="O274" s="54">
        <f t="shared" si="189"/>
        <v>12</v>
      </c>
      <c r="P274" s="71">
        <f t="shared" si="190"/>
        <v>29.541666666666668</v>
      </c>
      <c r="Q274" s="85">
        <f t="shared" si="191"/>
        <v>10082.373999262434</v>
      </c>
      <c r="R274" s="55">
        <f t="shared" si="192"/>
        <v>3442.3838870059526</v>
      </c>
      <c r="S274" s="55">
        <f t="shared" si="193"/>
        <v>2.8452160566365427E-2</v>
      </c>
      <c r="T274" s="55"/>
      <c r="U274" s="241">
        <v>274</v>
      </c>
      <c r="W274" s="273"/>
      <c r="X274" s="273"/>
    </row>
    <row r="275" spans="1:24" ht="15">
      <c r="A275" s="42" t="s">
        <v>195</v>
      </c>
      <c r="B275" s="53" t="s">
        <v>8</v>
      </c>
      <c r="C275" s="80">
        <v>44146</v>
      </c>
      <c r="D275" s="53">
        <v>238</v>
      </c>
      <c r="E275" s="53">
        <v>3.2947000000000002</v>
      </c>
      <c r="H275" s="53">
        <v>135</v>
      </c>
      <c r="K275" s="55">
        <f t="shared" si="185"/>
        <v>9752.0259811211945</v>
      </c>
      <c r="L275" s="55" t="e">
        <f t="shared" si="186"/>
        <v>#DIV/0!</v>
      </c>
      <c r="M275" s="55" t="e">
        <f t="shared" si="187"/>
        <v>#DIV/0!</v>
      </c>
      <c r="N275" s="70" t="e">
        <f t="shared" si="188"/>
        <v>#DIV/0!</v>
      </c>
      <c r="O275" s="54">
        <v>1</v>
      </c>
      <c r="P275" s="71">
        <f t="shared" si="190"/>
        <v>238</v>
      </c>
      <c r="Q275" s="85" t="e">
        <f t="shared" si="191"/>
        <v>#DIV/0!</v>
      </c>
      <c r="R275" s="55" t="e">
        <f t="shared" si="192"/>
        <v>#DIV/0!</v>
      </c>
      <c r="S275" s="55" t="e">
        <f t="shared" si="193"/>
        <v>#DIV/0!</v>
      </c>
      <c r="T275" s="55"/>
      <c r="U275" s="241">
        <v>275</v>
      </c>
      <c r="W275" s="273"/>
      <c r="X275" s="273"/>
    </row>
    <row r="276" spans="1:24" ht="15">
      <c r="A276" s="42" t="s">
        <v>195</v>
      </c>
      <c r="B276" s="53" t="s">
        <v>8</v>
      </c>
      <c r="C276" s="80">
        <v>44146</v>
      </c>
      <c r="D276" s="53">
        <v>82.5</v>
      </c>
      <c r="E276" s="53">
        <v>1.3448</v>
      </c>
      <c r="H276" s="53">
        <v>121</v>
      </c>
      <c r="K276" s="55">
        <f t="shared" si="185"/>
        <v>7423.0368828078526</v>
      </c>
      <c r="L276" s="55" t="e">
        <f t="shared" si="186"/>
        <v>#DIV/0!</v>
      </c>
      <c r="M276" s="55" t="e">
        <f t="shared" si="187"/>
        <v>#DIV/0!</v>
      </c>
      <c r="N276" s="70" t="e">
        <f t="shared" si="188"/>
        <v>#DIV/0!</v>
      </c>
      <c r="O276" s="54">
        <v>1</v>
      </c>
      <c r="P276" s="71">
        <f t="shared" si="190"/>
        <v>82.5</v>
      </c>
      <c r="Q276" s="85" t="e">
        <f t="shared" si="191"/>
        <v>#DIV/0!</v>
      </c>
      <c r="R276" s="55" t="e">
        <f t="shared" si="192"/>
        <v>#DIV/0!</v>
      </c>
      <c r="S276" s="55" t="e">
        <f t="shared" si="193"/>
        <v>#DIV/0!</v>
      </c>
      <c r="T276" s="55"/>
      <c r="U276" s="241">
        <v>276</v>
      </c>
      <c r="W276" s="273"/>
      <c r="X276" s="273"/>
    </row>
    <row r="277" spans="1:24" ht="15">
      <c r="A277" s="42" t="s">
        <v>197</v>
      </c>
      <c r="B277" s="53" t="s">
        <v>11</v>
      </c>
      <c r="C277" s="80" t="s">
        <v>198</v>
      </c>
      <c r="D277" s="53">
        <v>140</v>
      </c>
      <c r="E277" s="53">
        <v>1.4438</v>
      </c>
      <c r="F277" s="53">
        <v>1.5219</v>
      </c>
      <c r="G277" s="53">
        <v>1.5762</v>
      </c>
      <c r="H277" s="53">
        <v>377</v>
      </c>
      <c r="I277" s="53">
        <v>430</v>
      </c>
      <c r="J277" s="53">
        <v>437</v>
      </c>
      <c r="K277" s="55">
        <f t="shared" si="185"/>
        <v>36556.309738190881</v>
      </c>
      <c r="L277" s="55">
        <f t="shared" si="186"/>
        <v>39555.818384913597</v>
      </c>
      <c r="M277" s="55">
        <f t="shared" si="187"/>
        <v>38814.871209237404</v>
      </c>
      <c r="N277" s="70">
        <f t="shared" si="188"/>
        <v>38308.999777447294</v>
      </c>
      <c r="O277" s="54">
        <f t="shared" si="189"/>
        <v>3</v>
      </c>
      <c r="P277" s="71">
        <f t="shared" si="190"/>
        <v>46.666666666666664</v>
      </c>
      <c r="Q277" s="85">
        <f t="shared" si="191"/>
        <v>12769.666592482432</v>
      </c>
      <c r="R277" s="55">
        <f t="shared" si="192"/>
        <v>1562.431585563706</v>
      </c>
      <c r="S277" s="55">
        <f t="shared" si="193"/>
        <v>4.0784974670195318E-2</v>
      </c>
      <c r="T277" s="55"/>
      <c r="U277" s="241">
        <v>277</v>
      </c>
      <c r="W277" s="273"/>
      <c r="X277" s="273"/>
    </row>
    <row r="278" spans="1:24" ht="15">
      <c r="A278" s="42" t="s">
        <v>197</v>
      </c>
      <c r="B278" s="53" t="s">
        <v>24</v>
      </c>
      <c r="C278" s="80" t="s">
        <v>198</v>
      </c>
      <c r="D278" s="53">
        <v>237</v>
      </c>
      <c r="E278" s="53">
        <v>2.3237000000000001</v>
      </c>
      <c r="F278" s="53">
        <v>2.3056000000000001</v>
      </c>
      <c r="G278" s="53">
        <v>2.5729000000000002</v>
      </c>
      <c r="H278" s="53">
        <v>198</v>
      </c>
      <c r="I278" s="53">
        <v>211</v>
      </c>
      <c r="J278" s="53">
        <v>221</v>
      </c>
      <c r="K278" s="55">
        <f t="shared" si="185"/>
        <v>20194.517364547919</v>
      </c>
      <c r="L278" s="55">
        <f>$D278/E278*I278</f>
        <v>21520.420019796013</v>
      </c>
      <c r="M278" s="55">
        <f>$D278/F278*J278</f>
        <v>22717.297015961136</v>
      </c>
      <c r="N278" s="70">
        <f t="shared" si="188"/>
        <v>21477.411466768357</v>
      </c>
      <c r="O278" s="54">
        <f t="shared" si="189"/>
        <v>2</v>
      </c>
      <c r="P278" s="71">
        <f t="shared" si="190"/>
        <v>118.5</v>
      </c>
      <c r="Q278" s="85">
        <f t="shared" si="191"/>
        <v>10738.705733384179</v>
      </c>
      <c r="R278" s="55">
        <f t="shared" si="192"/>
        <v>1261.9396158775974</v>
      </c>
      <c r="S278" s="55">
        <f t="shared" si="193"/>
        <v>5.8756597266396635E-2</v>
      </c>
      <c r="T278" s="55"/>
      <c r="U278" s="241">
        <v>278</v>
      </c>
      <c r="W278" s="273"/>
      <c r="X278" s="273"/>
    </row>
    <row r="279" spans="1:24" ht="15">
      <c r="A279" s="42" t="s">
        <v>197</v>
      </c>
      <c r="B279" s="53" t="s">
        <v>24</v>
      </c>
      <c r="C279" s="80" t="s">
        <v>198</v>
      </c>
      <c r="D279" s="53">
        <v>486</v>
      </c>
      <c r="E279" s="53">
        <v>1.4594</v>
      </c>
      <c r="F279" s="53">
        <v>1.5513999999999999</v>
      </c>
      <c r="G279" s="53">
        <v>1.5844</v>
      </c>
      <c r="H279" s="53">
        <v>303</v>
      </c>
      <c r="I279" s="53">
        <v>314</v>
      </c>
      <c r="J279" s="53">
        <v>301</v>
      </c>
      <c r="K279" s="55">
        <f t="shared" si="185"/>
        <v>100903.11086747979</v>
      </c>
      <c r="L279" s="55">
        <f t="shared" si="186"/>
        <v>98365.347428129433</v>
      </c>
      <c r="M279" s="55">
        <f t="shared" si="187"/>
        <v>92328.957334006554</v>
      </c>
      <c r="N279" s="70">
        <f t="shared" si="188"/>
        <v>97199.138543205263</v>
      </c>
      <c r="O279" s="54">
        <f t="shared" si="189"/>
        <v>9</v>
      </c>
      <c r="P279" s="71">
        <f t="shared" si="190"/>
        <v>54</v>
      </c>
      <c r="Q279" s="85">
        <f t="shared" si="191"/>
        <v>10799.904282578362</v>
      </c>
      <c r="R279" s="55">
        <f t="shared" si="192"/>
        <v>4404.4363517197007</v>
      </c>
      <c r="S279" s="55">
        <f t="shared" si="193"/>
        <v>4.5313532791876728E-2</v>
      </c>
      <c r="T279" s="55"/>
      <c r="U279" s="241">
        <v>279</v>
      </c>
      <c r="W279" s="273"/>
      <c r="X279" s="273"/>
    </row>
    <row r="280" spans="1:24" ht="15">
      <c r="A280" s="42" t="s">
        <v>197</v>
      </c>
      <c r="B280" s="53" t="s">
        <v>16</v>
      </c>
      <c r="C280" s="80" t="s">
        <v>198</v>
      </c>
      <c r="D280" s="53">
        <v>254</v>
      </c>
      <c r="E280" s="53">
        <v>1.9834000000000001</v>
      </c>
      <c r="F280" s="53">
        <v>1.9427000000000001</v>
      </c>
      <c r="G280" s="53">
        <v>2.1145</v>
      </c>
      <c r="H280" s="53">
        <v>199</v>
      </c>
      <c r="I280" s="53">
        <v>216</v>
      </c>
      <c r="J280" s="53">
        <v>209</v>
      </c>
      <c r="K280" s="55">
        <f t="shared" si="185"/>
        <v>25484.52152868811</v>
      </c>
      <c r="L280" s="55">
        <f t="shared" si="186"/>
        <v>28241.107736655173</v>
      </c>
      <c r="M280" s="55">
        <f t="shared" si="187"/>
        <v>25105.69874674864</v>
      </c>
      <c r="N280" s="70">
        <f t="shared" si="188"/>
        <v>26277.109337363974</v>
      </c>
      <c r="O280" s="54">
        <f t="shared" si="189"/>
        <v>2</v>
      </c>
      <c r="P280" s="71">
        <f t="shared" si="190"/>
        <v>127</v>
      </c>
      <c r="Q280" s="85">
        <f t="shared" si="191"/>
        <v>13138.554668681987</v>
      </c>
      <c r="R280" s="55">
        <f t="shared" si="192"/>
        <v>1711.3865604657769</v>
      </c>
      <c r="S280" s="55">
        <f t="shared" si="193"/>
        <v>6.5128417988972648E-2</v>
      </c>
      <c r="T280" s="55"/>
      <c r="U280" s="241">
        <v>280</v>
      </c>
      <c r="W280" s="273"/>
      <c r="X280" s="273"/>
    </row>
    <row r="281" spans="1:24" ht="15">
      <c r="A281" s="42" t="s">
        <v>197</v>
      </c>
      <c r="B281" s="53" t="s">
        <v>16</v>
      </c>
      <c r="C281" s="80" t="s">
        <v>198</v>
      </c>
      <c r="D281" s="53">
        <v>248.5</v>
      </c>
      <c r="E281" s="53">
        <v>1.3821000000000001</v>
      </c>
      <c r="F281" s="53">
        <v>1.4044000000000001</v>
      </c>
      <c r="G281" s="53">
        <v>1.3023</v>
      </c>
      <c r="H281" s="53">
        <v>430</v>
      </c>
      <c r="I281" s="53">
        <v>444</v>
      </c>
      <c r="J281" s="53">
        <v>399</v>
      </c>
      <c r="K281" s="55">
        <f t="shared" si="185"/>
        <v>77313.508429201931</v>
      </c>
      <c r="L281" s="55">
        <f t="shared" si="186"/>
        <v>78563.08743947593</v>
      </c>
      <c r="M281" s="55">
        <f t="shared" si="187"/>
        <v>76135.683022345082</v>
      </c>
      <c r="N281" s="70">
        <f t="shared" si="188"/>
        <v>77337.426297007652</v>
      </c>
      <c r="O281" s="54">
        <f t="shared" si="189"/>
        <v>7</v>
      </c>
      <c r="P281" s="71">
        <f t="shared" si="190"/>
        <v>35.5</v>
      </c>
      <c r="Q281" s="85">
        <f t="shared" si="191"/>
        <v>11048.203756715378</v>
      </c>
      <c r="R281" s="55">
        <f t="shared" si="192"/>
        <v>1213.8789475795629</v>
      </c>
      <c r="S281" s="55">
        <f t="shared" si="193"/>
        <v>1.569587980491834E-2</v>
      </c>
      <c r="T281" s="55"/>
      <c r="U281" s="241">
        <v>281</v>
      </c>
      <c r="W281" s="273"/>
      <c r="X281" s="273"/>
    </row>
    <row r="282" spans="1:24" ht="15">
      <c r="A282" s="42" t="s">
        <v>199</v>
      </c>
      <c r="B282" s="53" t="s">
        <v>8</v>
      </c>
      <c r="C282" s="80">
        <v>44153</v>
      </c>
      <c r="D282" s="53">
        <v>473</v>
      </c>
      <c r="E282" s="53">
        <v>1.4883</v>
      </c>
      <c r="F282" s="53">
        <v>1.6705000000000001</v>
      </c>
      <c r="G282" s="53">
        <v>1.4452</v>
      </c>
      <c r="H282" s="53">
        <v>255</v>
      </c>
      <c r="I282" s="53">
        <v>288</v>
      </c>
      <c r="J282" s="53">
        <v>278</v>
      </c>
      <c r="K282" s="55">
        <f t="shared" si="185"/>
        <v>81042.128603104211</v>
      </c>
      <c r="L282" s="55">
        <f t="shared" si="186"/>
        <v>81546.842262795559</v>
      </c>
      <c r="M282" s="55">
        <f t="shared" si="187"/>
        <v>90986.714641572093</v>
      </c>
      <c r="N282" s="70">
        <f t="shared" si="188"/>
        <v>84525.228502490616</v>
      </c>
      <c r="O282" s="54">
        <f t="shared" si="189"/>
        <v>8</v>
      </c>
      <c r="P282" s="71">
        <f t="shared" si="190"/>
        <v>59.125</v>
      </c>
      <c r="Q282" s="85">
        <f t="shared" si="191"/>
        <v>10565.653562811327</v>
      </c>
      <c r="R282" s="55">
        <f t="shared" si="192"/>
        <v>5601.498577499261</v>
      </c>
      <c r="S282" s="55">
        <f t="shared" si="193"/>
        <v>6.6270138238481158E-2</v>
      </c>
      <c r="T282" s="55"/>
      <c r="U282" s="241">
        <v>282</v>
      </c>
      <c r="V282" s="53" t="s">
        <v>187</v>
      </c>
      <c r="W282" s="273"/>
      <c r="X282" s="273"/>
    </row>
    <row r="283" spans="1:24" s="249" customFormat="1" ht="15">
      <c r="A283" s="42" t="s">
        <v>199</v>
      </c>
      <c r="B283" s="53" t="s">
        <v>8</v>
      </c>
      <c r="C283" s="80">
        <v>44153</v>
      </c>
      <c r="D283" s="53">
        <v>220</v>
      </c>
      <c r="E283" s="53">
        <v>1.9208000000000001</v>
      </c>
      <c r="F283" s="53">
        <v>1.9260999999999999</v>
      </c>
      <c r="G283" s="53">
        <v>1.8841000000000001</v>
      </c>
      <c r="H283" s="53">
        <v>187</v>
      </c>
      <c r="I283" s="53">
        <v>184</v>
      </c>
      <c r="J283" s="53">
        <v>167</v>
      </c>
      <c r="K283" s="55">
        <f t="shared" ref="K283" si="194">$D283/E283*H283</f>
        <v>21418.159100374844</v>
      </c>
      <c r="L283" s="55">
        <f t="shared" ref="L283" si="195">$D283/F283*I283</f>
        <v>21016.561964591663</v>
      </c>
      <c r="M283" s="55">
        <f t="shared" ref="M283" si="196">$D283/G283*J283</f>
        <v>19500.02653786954</v>
      </c>
      <c r="N283" s="70">
        <f t="shared" si="188"/>
        <v>20644.915867612017</v>
      </c>
      <c r="O283" s="54">
        <f t="shared" si="189"/>
        <v>2</v>
      </c>
      <c r="P283" s="71">
        <f t="shared" si="190"/>
        <v>110</v>
      </c>
      <c r="Q283" s="85">
        <f t="shared" ref="Q283" si="197">N283/O283</f>
        <v>10322.457933806008</v>
      </c>
      <c r="R283" s="55">
        <f t="shared" ref="R283" si="198">STDEV(K283:M283)</f>
        <v>1011.6317254247932</v>
      </c>
      <c r="S283" s="55">
        <f t="shared" ref="S283" si="199">R283/N283</f>
        <v>4.9001494213490732E-2</v>
      </c>
      <c r="T283" s="55"/>
      <c r="U283" s="241">
        <v>283</v>
      </c>
      <c r="V283" s="53" t="s">
        <v>186</v>
      </c>
      <c r="W283" s="273"/>
      <c r="X283" s="273"/>
    </row>
    <row r="284" spans="1:24" ht="15">
      <c r="A284" s="42">
        <v>44139</v>
      </c>
      <c r="B284" s="53" t="s">
        <v>24</v>
      </c>
      <c r="C284" s="80">
        <v>44153</v>
      </c>
      <c r="D284" s="53">
        <v>219.5</v>
      </c>
      <c r="E284" s="53">
        <v>1.7000999999999999</v>
      </c>
      <c r="F284" s="53">
        <v>1.6203000000000001</v>
      </c>
      <c r="G284" s="53">
        <v>1.6578999999999999</v>
      </c>
      <c r="H284" s="53">
        <v>364</v>
      </c>
      <c r="I284" s="53">
        <v>392</v>
      </c>
      <c r="J284" s="53">
        <v>345</v>
      </c>
      <c r="K284" s="55">
        <f t="shared" si="185"/>
        <v>46996.059055349688</v>
      </c>
      <c r="L284" s="55">
        <f t="shared" si="186"/>
        <v>53103.746219835826</v>
      </c>
      <c r="M284" s="55">
        <f t="shared" si="187"/>
        <v>45676.759756318243</v>
      </c>
      <c r="N284" s="70">
        <f t="shared" si="188"/>
        <v>48592.18834383459</v>
      </c>
      <c r="O284" s="54">
        <v>5</v>
      </c>
      <c r="P284" s="71">
        <f t="shared" si="190"/>
        <v>43.9</v>
      </c>
      <c r="Q284" s="85">
        <f t="shared" si="191"/>
        <v>9718.4376687669173</v>
      </c>
      <c r="R284" s="55">
        <f t="shared" si="192"/>
        <v>3962.4176346629383</v>
      </c>
      <c r="S284" s="55">
        <f t="shared" si="193"/>
        <v>8.1544333970414662E-2</v>
      </c>
      <c r="T284" s="55"/>
      <c r="U284" s="241">
        <v>284</v>
      </c>
      <c r="W284" s="273"/>
      <c r="X284" s="273"/>
    </row>
    <row r="285" spans="1:24" ht="15">
      <c r="A285" s="42">
        <v>44139</v>
      </c>
      <c r="B285" s="53" t="s">
        <v>16</v>
      </c>
      <c r="C285" s="80">
        <v>44153</v>
      </c>
      <c r="D285" s="53">
        <v>299</v>
      </c>
      <c r="E285" s="53">
        <v>1.7212000000000001</v>
      </c>
      <c r="F285" s="53">
        <v>1.69</v>
      </c>
      <c r="G285" s="53">
        <v>1.6883999999999999</v>
      </c>
      <c r="H285" s="53">
        <v>286</v>
      </c>
      <c r="I285" s="53">
        <v>276</v>
      </c>
      <c r="J285" s="53">
        <v>331</v>
      </c>
      <c r="K285" s="55">
        <f t="shared" si="185"/>
        <v>49682.779456193348</v>
      </c>
      <c r="L285" s="55">
        <f t="shared" si="186"/>
        <v>48830.769230769234</v>
      </c>
      <c r="M285" s="55">
        <f t="shared" si="187"/>
        <v>58617.033878227907</v>
      </c>
      <c r="N285" s="70">
        <f t="shared" si="188"/>
        <v>52376.860855063489</v>
      </c>
      <c r="O285" s="54">
        <f t="shared" si="189"/>
        <v>5</v>
      </c>
      <c r="P285" s="71">
        <f t="shared" si="190"/>
        <v>59.8</v>
      </c>
      <c r="Q285" s="85">
        <f t="shared" si="191"/>
        <v>10475.372171012697</v>
      </c>
      <c r="R285" s="55">
        <f t="shared" si="192"/>
        <v>5420.9131957012978</v>
      </c>
      <c r="S285" s="55">
        <f t="shared" si="193"/>
        <v>0.10349824535498553</v>
      </c>
      <c r="T285" s="55"/>
      <c r="U285" s="241">
        <v>285</v>
      </c>
      <c r="W285" s="273"/>
      <c r="X285" s="273"/>
    </row>
    <row r="286" spans="1:24" ht="15">
      <c r="A286" s="42">
        <v>44139</v>
      </c>
      <c r="B286" s="53" t="s">
        <v>11</v>
      </c>
      <c r="C286" s="80">
        <v>44153</v>
      </c>
      <c r="D286" s="53">
        <v>117.5</v>
      </c>
      <c r="E286" s="53">
        <v>2.2791999999999999</v>
      </c>
      <c r="H286" s="53">
        <v>335</v>
      </c>
      <c r="K286" s="55">
        <f t="shared" si="185"/>
        <v>17270.314145314147</v>
      </c>
      <c r="L286" s="55" t="e">
        <f t="shared" si="186"/>
        <v>#DIV/0!</v>
      </c>
      <c r="M286" s="55" t="e">
        <f t="shared" si="187"/>
        <v>#DIV/0!</v>
      </c>
      <c r="N286" s="70" t="e">
        <f t="shared" si="188"/>
        <v>#DIV/0!</v>
      </c>
      <c r="O286" s="54">
        <v>1</v>
      </c>
      <c r="P286" s="71">
        <f t="shared" si="190"/>
        <v>117.5</v>
      </c>
      <c r="Q286" s="85" t="e">
        <f t="shared" si="191"/>
        <v>#DIV/0!</v>
      </c>
      <c r="R286" s="55" t="e">
        <f t="shared" si="192"/>
        <v>#DIV/0!</v>
      </c>
      <c r="S286" s="55" t="e">
        <f t="shared" si="193"/>
        <v>#DIV/0!</v>
      </c>
      <c r="T286" s="55"/>
      <c r="U286" s="241">
        <v>286</v>
      </c>
      <c r="W286" s="273"/>
      <c r="X286" s="273"/>
    </row>
    <row r="287" spans="1:24" ht="15">
      <c r="A287" s="42">
        <v>44141</v>
      </c>
      <c r="B287" s="53" t="s">
        <v>19</v>
      </c>
      <c r="C287" s="80">
        <v>44154</v>
      </c>
      <c r="D287" s="53">
        <v>100</v>
      </c>
      <c r="E287" s="53">
        <v>1.6259999999999999</v>
      </c>
      <c r="H287" s="53">
        <v>251</v>
      </c>
      <c r="K287" s="55">
        <f t="shared" si="185"/>
        <v>15436.654366543666</v>
      </c>
      <c r="L287" s="55" t="e">
        <f t="shared" si="186"/>
        <v>#DIV/0!</v>
      </c>
      <c r="M287" s="55" t="e">
        <f t="shared" si="187"/>
        <v>#DIV/0!</v>
      </c>
      <c r="N287" s="70" t="e">
        <f t="shared" si="188"/>
        <v>#DIV/0!</v>
      </c>
      <c r="O287" s="54">
        <v>1</v>
      </c>
      <c r="P287" s="71">
        <f t="shared" si="190"/>
        <v>100</v>
      </c>
      <c r="Q287" s="85" t="e">
        <f t="shared" si="191"/>
        <v>#DIV/0!</v>
      </c>
      <c r="R287" s="55" t="e">
        <f t="shared" si="192"/>
        <v>#DIV/0!</v>
      </c>
      <c r="S287" s="55" t="e">
        <f t="shared" si="193"/>
        <v>#DIV/0!</v>
      </c>
      <c r="T287" s="55">
        <v>0.47439999999999999</v>
      </c>
      <c r="U287" s="241">
        <v>287</v>
      </c>
      <c r="W287" s="273"/>
      <c r="X287" s="273"/>
    </row>
    <row r="288" spans="1:24" ht="15">
      <c r="A288" s="42">
        <v>44144</v>
      </c>
      <c r="B288" s="53" t="s">
        <v>8</v>
      </c>
      <c r="C288" s="80">
        <v>44154</v>
      </c>
      <c r="D288" s="53">
        <v>188.5</v>
      </c>
      <c r="E288" s="53">
        <v>1.7062999999999999</v>
      </c>
      <c r="F288" s="53">
        <v>1.456</v>
      </c>
      <c r="G288" s="53">
        <v>1.6500999999999999</v>
      </c>
      <c r="H288" s="53">
        <v>303</v>
      </c>
      <c r="I288" s="53">
        <v>263</v>
      </c>
      <c r="J288" s="53">
        <v>307</v>
      </c>
      <c r="K288" s="55">
        <f t="shared" si="185"/>
        <v>33473.304811580616</v>
      </c>
      <c r="L288" s="55">
        <f t="shared" si="186"/>
        <v>34049.107142857145</v>
      </c>
      <c r="M288" s="55">
        <f t="shared" si="187"/>
        <v>35070.298769771529</v>
      </c>
      <c r="N288" s="70">
        <f t="shared" si="188"/>
        <v>34197.570241403097</v>
      </c>
      <c r="O288" s="54">
        <f t="shared" si="189"/>
        <v>3</v>
      </c>
      <c r="P288" s="71">
        <f t="shared" si="190"/>
        <v>62.833333333333336</v>
      </c>
      <c r="Q288" s="85">
        <f t="shared" si="191"/>
        <v>11399.190080467699</v>
      </c>
      <c r="R288" s="55">
        <f t="shared" si="192"/>
        <v>808.78204378371845</v>
      </c>
      <c r="S288" s="55">
        <f t="shared" si="193"/>
        <v>2.3650278019007435E-2</v>
      </c>
      <c r="T288" s="55">
        <v>2</v>
      </c>
      <c r="U288" s="241">
        <v>288</v>
      </c>
      <c r="W288" s="273"/>
      <c r="X288" s="273"/>
    </row>
    <row r="289" spans="1:24" ht="15">
      <c r="A289" s="42">
        <v>44144</v>
      </c>
      <c r="B289" s="53" t="s">
        <v>16</v>
      </c>
      <c r="C289" s="80">
        <v>44160</v>
      </c>
      <c r="D289" s="53">
        <v>102</v>
      </c>
      <c r="E289" s="53">
        <v>1.2685999999999999</v>
      </c>
      <c r="F289" s="53">
        <v>1.3345</v>
      </c>
      <c r="H289" s="53">
        <v>249</v>
      </c>
      <c r="I289" s="53">
        <v>244</v>
      </c>
      <c r="K289" s="55">
        <f t="shared" si="185"/>
        <v>20020.495033895633</v>
      </c>
      <c r="L289" s="55">
        <f t="shared" si="186"/>
        <v>18649.681528662422</v>
      </c>
      <c r="M289" s="55" t="e">
        <f t="shared" si="187"/>
        <v>#DIV/0!</v>
      </c>
      <c r="N289" s="70" t="e">
        <f t="shared" si="188"/>
        <v>#DIV/0!</v>
      </c>
      <c r="O289" s="54">
        <v>2</v>
      </c>
      <c r="P289" s="71">
        <f t="shared" si="190"/>
        <v>51</v>
      </c>
      <c r="Q289" s="85" t="e">
        <f t="shared" si="191"/>
        <v>#DIV/0!</v>
      </c>
      <c r="R289" s="55" t="e">
        <f t="shared" si="192"/>
        <v>#DIV/0!</v>
      </c>
      <c r="S289" s="55" t="e">
        <f t="shared" si="193"/>
        <v>#DIV/0!</v>
      </c>
      <c r="T289" s="55"/>
      <c r="U289" s="241">
        <v>289</v>
      </c>
      <c r="W289" s="273"/>
      <c r="X289" s="273"/>
    </row>
    <row r="290" spans="1:24" ht="15">
      <c r="A290" s="42">
        <v>44144</v>
      </c>
      <c r="B290" s="53" t="s">
        <v>8</v>
      </c>
      <c r="C290" s="80">
        <v>44160</v>
      </c>
      <c r="D290" s="53">
        <v>202</v>
      </c>
      <c r="E290" s="53">
        <v>1.5127999999999999</v>
      </c>
      <c r="F290" s="53">
        <v>1.3631</v>
      </c>
      <c r="G290" s="53">
        <v>1.5129999999999999</v>
      </c>
      <c r="H290" s="53">
        <v>306</v>
      </c>
      <c r="I290" s="53">
        <v>265</v>
      </c>
      <c r="J290" s="53">
        <v>303</v>
      </c>
      <c r="K290" s="55">
        <f t="shared" si="185"/>
        <v>40859.333685880491</v>
      </c>
      <c r="L290" s="55">
        <f t="shared" si="186"/>
        <v>39270.779840070427</v>
      </c>
      <c r="M290" s="55">
        <f t="shared" si="187"/>
        <v>40453.403833443495</v>
      </c>
      <c r="N290" s="70">
        <f t="shared" si="188"/>
        <v>40194.505786464804</v>
      </c>
      <c r="O290" s="54">
        <f t="shared" si="189"/>
        <v>4</v>
      </c>
      <c r="P290" s="71">
        <f t="shared" si="190"/>
        <v>50.5</v>
      </c>
      <c r="Q290" s="85">
        <f t="shared" si="191"/>
        <v>10048.626446616201</v>
      </c>
      <c r="R290" s="55">
        <f t="shared" si="192"/>
        <v>825.31629046476553</v>
      </c>
      <c r="S290" s="55">
        <f t="shared" si="193"/>
        <v>2.0533062275956245E-2</v>
      </c>
      <c r="T290" s="55"/>
      <c r="U290" s="241">
        <v>290</v>
      </c>
      <c r="W290" s="273"/>
      <c r="X290" s="273"/>
    </row>
    <row r="291" spans="1:24" ht="15">
      <c r="A291" s="42" t="s">
        <v>200</v>
      </c>
      <c r="B291" s="53" t="s">
        <v>11</v>
      </c>
      <c r="C291" s="80">
        <v>44160</v>
      </c>
      <c r="D291" s="53">
        <v>81</v>
      </c>
      <c r="E291" s="53">
        <v>1.4422999999999999</v>
      </c>
      <c r="F291" s="53">
        <v>1.4684999999999999</v>
      </c>
      <c r="G291" s="53">
        <v>1.171</v>
      </c>
      <c r="H291" s="53">
        <v>393</v>
      </c>
      <c r="I291" s="53">
        <v>396</v>
      </c>
      <c r="J291" s="53">
        <v>236</v>
      </c>
      <c r="K291" s="55">
        <f t="shared" si="185"/>
        <v>22070.997711987799</v>
      </c>
      <c r="L291" s="55">
        <f t="shared" si="186"/>
        <v>21842.696629213486</v>
      </c>
      <c r="M291" s="55">
        <f t="shared" si="187"/>
        <v>16324.50896669513</v>
      </c>
      <c r="N291" s="70">
        <f t="shared" si="188"/>
        <v>20079.401102632139</v>
      </c>
      <c r="O291" s="54">
        <f t="shared" si="189"/>
        <v>2</v>
      </c>
      <c r="P291" s="71">
        <f t="shared" si="190"/>
        <v>40.5</v>
      </c>
      <c r="Q291" s="85">
        <f t="shared" si="191"/>
        <v>10039.700551316069</v>
      </c>
      <c r="R291" s="55">
        <f t="shared" si="192"/>
        <v>3253.8349006195954</v>
      </c>
      <c r="S291" s="55">
        <f t="shared" si="193"/>
        <v>0.16204840393337536</v>
      </c>
      <c r="T291" s="55"/>
      <c r="U291" s="241">
        <v>291</v>
      </c>
      <c r="V291" s="53" t="s">
        <v>187</v>
      </c>
      <c r="W291" s="273"/>
      <c r="X291" s="273"/>
    </row>
    <row r="292" spans="1:24" ht="15">
      <c r="A292" s="42" t="s">
        <v>200</v>
      </c>
      <c r="B292" s="53" t="s">
        <v>11</v>
      </c>
      <c r="C292" s="80">
        <v>44160</v>
      </c>
      <c r="D292" s="53">
        <v>101.5</v>
      </c>
      <c r="E292" s="53">
        <v>1.7795000000000001</v>
      </c>
      <c r="H292" s="53">
        <v>244</v>
      </c>
      <c r="K292" s="55">
        <f t="shared" si="185"/>
        <v>13917.392525990446</v>
      </c>
      <c r="L292" s="55" t="e">
        <f t="shared" si="186"/>
        <v>#DIV/0!</v>
      </c>
      <c r="M292" s="55" t="e">
        <f t="shared" si="187"/>
        <v>#DIV/0!</v>
      </c>
      <c r="N292" s="70" t="e">
        <f t="shared" si="188"/>
        <v>#DIV/0!</v>
      </c>
      <c r="O292" s="54">
        <v>1</v>
      </c>
      <c r="P292" s="71">
        <f t="shared" si="190"/>
        <v>101.5</v>
      </c>
      <c r="Q292" s="85" t="e">
        <f t="shared" si="191"/>
        <v>#DIV/0!</v>
      </c>
      <c r="R292" s="55" t="e">
        <f t="shared" si="192"/>
        <v>#DIV/0!</v>
      </c>
      <c r="S292" s="55" t="e">
        <f t="shared" si="193"/>
        <v>#DIV/0!</v>
      </c>
      <c r="T292" s="55"/>
      <c r="U292" s="241">
        <v>292</v>
      </c>
      <c r="V292" s="53" t="s">
        <v>186</v>
      </c>
      <c r="W292" s="273"/>
      <c r="X292" s="273"/>
    </row>
    <row r="293" spans="1:24" ht="15">
      <c r="A293" s="42" t="s">
        <v>201</v>
      </c>
      <c r="B293" s="53" t="s">
        <v>16</v>
      </c>
      <c r="C293" s="80">
        <v>44166</v>
      </c>
      <c r="D293" s="53">
        <v>482.5</v>
      </c>
      <c r="E293" s="53">
        <v>1.6875</v>
      </c>
      <c r="F293" s="53">
        <v>1.6187</v>
      </c>
      <c r="G293" s="53">
        <v>1.6594</v>
      </c>
      <c r="H293" s="53">
        <v>291</v>
      </c>
      <c r="I293" s="53">
        <v>277</v>
      </c>
      <c r="J293" s="53">
        <v>290</v>
      </c>
      <c r="K293" s="55">
        <f t="shared" si="185"/>
        <v>83204.444444444438</v>
      </c>
      <c r="L293" s="55">
        <f t="shared" si="186"/>
        <v>82567.801322048545</v>
      </c>
      <c r="M293" s="55">
        <f t="shared" si="187"/>
        <v>84322.646739785458</v>
      </c>
      <c r="N293" s="70">
        <f t="shared" si="188"/>
        <v>83364.96416875947</v>
      </c>
      <c r="O293" s="54">
        <f t="shared" si="189"/>
        <v>8</v>
      </c>
      <c r="P293" s="71">
        <f t="shared" si="190"/>
        <v>60.3125</v>
      </c>
      <c r="Q293" s="85">
        <f t="shared" si="191"/>
        <v>10420.620521094934</v>
      </c>
      <c r="R293" s="55">
        <f t="shared" si="192"/>
        <v>888.36678599477875</v>
      </c>
      <c r="S293" s="55">
        <f t="shared" si="193"/>
        <v>1.0656356598395672E-2</v>
      </c>
      <c r="T293" s="55"/>
      <c r="U293" s="241">
        <v>293</v>
      </c>
      <c r="W293" s="273"/>
      <c r="X293" s="273"/>
    </row>
    <row r="294" spans="1:24" ht="15">
      <c r="A294" s="42" t="s">
        <v>202</v>
      </c>
      <c r="B294" s="53" t="s">
        <v>11</v>
      </c>
      <c r="C294" s="80">
        <v>44169</v>
      </c>
      <c r="D294" s="53">
        <v>141.5</v>
      </c>
      <c r="E294" s="53">
        <v>1.5872999999999999</v>
      </c>
      <c r="F294" s="53">
        <v>1.5508999999999999</v>
      </c>
      <c r="G294" s="53">
        <v>1.6858</v>
      </c>
      <c r="H294" s="53">
        <v>212</v>
      </c>
      <c r="I294" s="53">
        <v>259</v>
      </c>
      <c r="J294" s="53">
        <v>234</v>
      </c>
      <c r="K294" s="55">
        <f t="shared" si="185"/>
        <v>18898.758898758897</v>
      </c>
      <c r="L294" s="55">
        <f t="shared" si="186"/>
        <v>23630.472628796182</v>
      </c>
      <c r="M294" s="55">
        <f t="shared" si="187"/>
        <v>19641.119943053745</v>
      </c>
      <c r="N294" s="70">
        <f t="shared" si="188"/>
        <v>20723.45049020294</v>
      </c>
      <c r="O294" s="54">
        <f t="shared" si="189"/>
        <v>2</v>
      </c>
      <c r="P294" s="71">
        <f t="shared" si="190"/>
        <v>70.75</v>
      </c>
      <c r="Q294" s="85">
        <f t="shared" si="191"/>
        <v>10361.72524510147</v>
      </c>
      <c r="R294" s="55">
        <f t="shared" si="192"/>
        <v>2544.7707687972697</v>
      </c>
      <c r="S294" s="55">
        <f t="shared" si="193"/>
        <v>0.12279667278382604</v>
      </c>
      <c r="T294" s="55"/>
      <c r="U294" s="241">
        <v>294</v>
      </c>
      <c r="W294" s="273"/>
      <c r="X294" s="273"/>
    </row>
    <row r="295" spans="1:24" ht="15">
      <c r="A295" s="42" t="s">
        <v>203</v>
      </c>
      <c r="B295" s="53" t="s">
        <v>19</v>
      </c>
      <c r="C295" s="80">
        <v>44169</v>
      </c>
      <c r="D295" s="53">
        <v>320.5</v>
      </c>
      <c r="E295" s="53">
        <v>1.4402999999999999</v>
      </c>
      <c r="F295" s="53">
        <v>1.4160999999999999</v>
      </c>
      <c r="G295" s="53">
        <v>1.49</v>
      </c>
      <c r="H295" s="53">
        <v>433</v>
      </c>
      <c r="I295" s="53">
        <v>437</v>
      </c>
      <c r="J295" s="53">
        <v>430</v>
      </c>
      <c r="K295" s="55">
        <f t="shared" si="185"/>
        <v>96352.496007776164</v>
      </c>
      <c r="L295" s="55">
        <f t="shared" si="186"/>
        <v>98904.385283525175</v>
      </c>
      <c r="M295" s="55">
        <f t="shared" si="187"/>
        <v>92493.288590604032</v>
      </c>
      <c r="N295" s="70">
        <f t="shared" si="188"/>
        <v>95916.723293968462</v>
      </c>
      <c r="O295" s="54">
        <f t="shared" si="189"/>
        <v>9</v>
      </c>
      <c r="P295" s="71">
        <f t="shared" si="190"/>
        <v>35.611111111111114</v>
      </c>
      <c r="Q295" s="85">
        <f t="shared" si="191"/>
        <v>10657.413699329829</v>
      </c>
      <c r="R295" s="55">
        <f t="shared" si="192"/>
        <v>3227.6870348704201</v>
      </c>
      <c r="S295" s="55">
        <f t="shared" si="193"/>
        <v>3.3650930974550783E-2</v>
      </c>
      <c r="T295" s="55"/>
      <c r="U295" s="241">
        <v>295</v>
      </c>
      <c r="V295" s="53" t="s">
        <v>187</v>
      </c>
      <c r="W295" s="273"/>
      <c r="X295" s="273"/>
    </row>
    <row r="296" spans="1:24" ht="15">
      <c r="A296" s="42" t="s">
        <v>203</v>
      </c>
      <c r="B296" s="53" t="s">
        <v>19</v>
      </c>
      <c r="C296" s="80">
        <v>44169</v>
      </c>
      <c r="D296" s="53">
        <v>197.5</v>
      </c>
      <c r="E296" s="53">
        <v>1.9702</v>
      </c>
      <c r="F296" s="53">
        <v>1.9308000000000001</v>
      </c>
      <c r="G296" s="53">
        <v>2.4336000000000002</v>
      </c>
      <c r="H296" s="53">
        <v>161</v>
      </c>
      <c r="I296" s="53">
        <v>169</v>
      </c>
      <c r="J296" s="53">
        <v>219</v>
      </c>
      <c r="K296" s="55">
        <f t="shared" si="185"/>
        <v>16139.224444218862</v>
      </c>
      <c r="L296" s="55">
        <f t="shared" si="186"/>
        <v>17286.875906360059</v>
      </c>
      <c r="M296" s="55">
        <f t="shared" si="187"/>
        <v>17773.052268244577</v>
      </c>
      <c r="N296" s="70">
        <f t="shared" si="188"/>
        <v>17066.384206274499</v>
      </c>
      <c r="O296" s="54">
        <f t="shared" si="189"/>
        <v>1</v>
      </c>
      <c r="P296" s="71">
        <f t="shared" si="190"/>
        <v>197.5</v>
      </c>
      <c r="Q296" s="85">
        <f t="shared" si="191"/>
        <v>17066.384206274499</v>
      </c>
      <c r="R296" s="55">
        <f t="shared" si="192"/>
        <v>838.93431327793246</v>
      </c>
      <c r="S296" s="55">
        <f t="shared" si="193"/>
        <v>4.915712098931279E-2</v>
      </c>
      <c r="T296" s="55"/>
      <c r="U296" s="241">
        <v>296</v>
      </c>
      <c r="V296" s="53" t="s">
        <v>186</v>
      </c>
      <c r="W296" s="273"/>
      <c r="X296" s="273"/>
    </row>
    <row r="297" spans="1:24" ht="15">
      <c r="A297" s="42">
        <v>44148</v>
      </c>
      <c r="B297" s="53" t="s">
        <v>8</v>
      </c>
      <c r="C297" s="80">
        <v>44169</v>
      </c>
      <c r="D297" s="53">
        <v>101.5</v>
      </c>
      <c r="E297" s="53">
        <v>1.0707</v>
      </c>
      <c r="H297" s="53">
        <v>199</v>
      </c>
      <c r="K297" s="55">
        <f t="shared" si="185"/>
        <v>18864.761371065659</v>
      </c>
      <c r="L297" s="55" t="e">
        <f t="shared" si="186"/>
        <v>#DIV/0!</v>
      </c>
      <c r="M297" s="55" t="e">
        <f t="shared" si="187"/>
        <v>#DIV/0!</v>
      </c>
      <c r="N297" s="70" t="e">
        <f t="shared" si="188"/>
        <v>#DIV/0!</v>
      </c>
      <c r="O297" s="54">
        <v>1</v>
      </c>
      <c r="P297" s="71">
        <f t="shared" si="190"/>
        <v>101.5</v>
      </c>
      <c r="Q297" s="85" t="e">
        <f t="shared" si="191"/>
        <v>#DIV/0!</v>
      </c>
      <c r="R297" s="55" t="e">
        <f t="shared" si="192"/>
        <v>#DIV/0!</v>
      </c>
      <c r="S297" s="55" t="e">
        <f t="shared" si="193"/>
        <v>#DIV/0!</v>
      </c>
      <c r="T297" s="55"/>
      <c r="U297" s="241">
        <v>297</v>
      </c>
      <c r="W297" s="273"/>
      <c r="X297" s="273"/>
    </row>
    <row r="298" spans="1:24" ht="15">
      <c r="A298" s="42" t="s">
        <v>204</v>
      </c>
      <c r="B298" s="53" t="s">
        <v>19</v>
      </c>
      <c r="C298" s="226">
        <v>44174</v>
      </c>
      <c r="D298" s="53">
        <v>620.5</v>
      </c>
      <c r="E298" s="53">
        <v>1.6473</v>
      </c>
      <c r="F298" s="53">
        <v>1.6819</v>
      </c>
      <c r="G298" s="53">
        <v>1.7410000000000001</v>
      </c>
      <c r="H298" s="53">
        <v>307</v>
      </c>
      <c r="I298" s="53">
        <v>328</v>
      </c>
      <c r="J298" s="53">
        <v>308</v>
      </c>
      <c r="K298" s="55">
        <f t="shared" si="185"/>
        <v>115639.83488132096</v>
      </c>
      <c r="L298" s="55">
        <f t="shared" si="186"/>
        <v>121008.38337594389</v>
      </c>
      <c r="M298" s="55">
        <f t="shared" si="187"/>
        <v>109772.54451464675</v>
      </c>
      <c r="N298" s="70">
        <f t="shared" si="188"/>
        <v>115473.58759063719</v>
      </c>
      <c r="O298" s="54">
        <f t="shared" si="189"/>
        <v>11</v>
      </c>
      <c r="P298" s="71">
        <f t="shared" si="190"/>
        <v>56.409090909090907</v>
      </c>
      <c r="Q298" s="85">
        <f t="shared" si="191"/>
        <v>10497.598871876109</v>
      </c>
      <c r="R298" s="55">
        <f t="shared" si="192"/>
        <v>5619.7639941997095</v>
      </c>
      <c r="S298" s="55">
        <f t="shared" si="193"/>
        <v>4.8667094453860804E-2</v>
      </c>
      <c r="T298" s="55"/>
      <c r="U298" s="241">
        <v>298</v>
      </c>
      <c r="V298" s="53" t="s">
        <v>187</v>
      </c>
      <c r="W298" s="273"/>
      <c r="X298" s="273"/>
    </row>
    <row r="299" spans="1:24" ht="15">
      <c r="A299" s="42" t="s">
        <v>204</v>
      </c>
      <c r="B299" s="53" t="s">
        <v>19</v>
      </c>
      <c r="C299" s="226">
        <v>44174</v>
      </c>
      <c r="D299" s="53">
        <v>252.5</v>
      </c>
      <c r="E299" s="53">
        <v>1.6601999999999999</v>
      </c>
      <c r="F299" s="53">
        <v>1.7020999999999999</v>
      </c>
      <c r="G299" s="53">
        <v>1.67</v>
      </c>
      <c r="H299" s="53">
        <v>181</v>
      </c>
      <c r="I299" s="53">
        <v>181</v>
      </c>
      <c r="J299" s="53">
        <v>180</v>
      </c>
      <c r="K299" s="55">
        <f t="shared" si="185"/>
        <v>27528.309842187689</v>
      </c>
      <c r="L299" s="55">
        <f t="shared" si="186"/>
        <v>26850.655073144942</v>
      </c>
      <c r="M299" s="55">
        <f t="shared" si="187"/>
        <v>27215.568862275453</v>
      </c>
      <c r="N299" s="70">
        <f t="shared" si="188"/>
        <v>27198.17792586936</v>
      </c>
      <c r="O299" s="54">
        <f t="shared" si="189"/>
        <v>2</v>
      </c>
      <c r="P299" s="71">
        <f t="shared" si="190"/>
        <v>126.25</v>
      </c>
      <c r="Q299" s="85">
        <f t="shared" si="191"/>
        <v>13599.08896293468</v>
      </c>
      <c r="R299" s="55">
        <f t="shared" si="192"/>
        <v>339.16195247021034</v>
      </c>
      <c r="S299" s="55">
        <f t="shared" si="193"/>
        <v>1.2470024771314507E-2</v>
      </c>
      <c r="T299" s="55"/>
      <c r="U299" s="241">
        <v>299</v>
      </c>
      <c r="W299" s="273"/>
      <c r="X299" s="273"/>
    </row>
    <row r="300" spans="1:24" ht="15">
      <c r="A300" s="42" t="s">
        <v>203</v>
      </c>
      <c r="B300" s="53" t="s">
        <v>24</v>
      </c>
      <c r="C300" s="226">
        <v>44174</v>
      </c>
      <c r="D300" s="53">
        <v>170.5</v>
      </c>
      <c r="E300" s="53">
        <v>1.5221</v>
      </c>
      <c r="F300" s="53">
        <v>1.6431</v>
      </c>
      <c r="G300" s="53">
        <v>1.6611</v>
      </c>
      <c r="H300" s="53">
        <v>229</v>
      </c>
      <c r="I300" s="53">
        <v>255</v>
      </c>
      <c r="J300" s="53">
        <v>220</v>
      </c>
      <c r="K300" s="55">
        <f t="shared" ref="K300" si="200">$D300/E300*H300</f>
        <v>25651.731160896132</v>
      </c>
      <c r="L300" s="55">
        <f t="shared" si="186"/>
        <v>26460.653642505022</v>
      </c>
      <c r="M300" s="55">
        <f t="shared" si="187"/>
        <v>22581.421949310698</v>
      </c>
      <c r="N300" s="70">
        <f t="shared" si="188"/>
        <v>24897.935584237286</v>
      </c>
      <c r="O300" s="54">
        <f t="shared" si="189"/>
        <v>2</v>
      </c>
      <c r="P300" s="71">
        <f t="shared" si="190"/>
        <v>85.25</v>
      </c>
      <c r="Q300" s="85">
        <f t="shared" si="191"/>
        <v>12448.967792118643</v>
      </c>
      <c r="R300" s="55">
        <f t="shared" si="192"/>
        <v>2046.5252162906911</v>
      </c>
      <c r="S300" s="55">
        <f t="shared" si="193"/>
        <v>8.2196582498443457E-2</v>
      </c>
      <c r="T300" s="55"/>
      <c r="U300" s="241">
        <v>300</v>
      </c>
      <c r="W300" s="273"/>
      <c r="X300" s="273"/>
    </row>
    <row r="301" spans="1:24" ht="15">
      <c r="A301" s="42" t="s">
        <v>205</v>
      </c>
      <c r="B301" s="53" t="s">
        <v>16</v>
      </c>
      <c r="C301" s="226">
        <v>44174</v>
      </c>
      <c r="D301" s="53">
        <v>110.5</v>
      </c>
      <c r="E301" s="53">
        <v>1.9842</v>
      </c>
      <c r="H301" s="53">
        <v>184</v>
      </c>
      <c r="K301" s="55">
        <f>$D301/E301*H301</f>
        <v>10246.95091220643</v>
      </c>
      <c r="L301" s="55" t="e">
        <f>$D301/F301*I301</f>
        <v>#DIV/0!</v>
      </c>
      <c r="M301" s="55" t="e">
        <f>$D301/G301*J301</f>
        <v>#DIV/0!</v>
      </c>
      <c r="N301" s="70" t="e">
        <f>AVERAGE(K301:M301)</f>
        <v>#DIV/0!</v>
      </c>
      <c r="O301" s="54">
        <v>1</v>
      </c>
      <c r="P301" s="71">
        <f>D301/O301</f>
        <v>110.5</v>
      </c>
      <c r="Q301" s="55" t="e">
        <f>N301/O301</f>
        <v>#DIV/0!</v>
      </c>
      <c r="R301" s="55" t="e">
        <f>STDEV(K301:M301)</f>
        <v>#DIV/0!</v>
      </c>
      <c r="S301" s="55" t="e">
        <f>R301/N301</f>
        <v>#DIV/0!</v>
      </c>
      <c r="T301" s="55"/>
      <c r="U301" s="241">
        <v>301</v>
      </c>
      <c r="W301" s="273"/>
      <c r="X301" s="273"/>
    </row>
    <row r="302" spans="1:24" ht="15">
      <c r="A302" s="42" t="s">
        <v>204</v>
      </c>
      <c r="B302" s="53" t="s">
        <v>16</v>
      </c>
      <c r="C302" s="226">
        <v>44174</v>
      </c>
      <c r="D302" s="53">
        <v>137</v>
      </c>
      <c r="E302" s="53">
        <v>1.6906000000000001</v>
      </c>
      <c r="F302" s="53">
        <v>1.5106999999999999</v>
      </c>
      <c r="G302" s="53">
        <v>1.5041</v>
      </c>
      <c r="H302" s="53">
        <v>465</v>
      </c>
      <c r="I302" s="53">
        <v>356</v>
      </c>
      <c r="J302" s="53">
        <v>395</v>
      </c>
      <c r="K302" s="55">
        <f>$D302/E302*H302</f>
        <v>37681.888087069674</v>
      </c>
      <c r="L302" s="55">
        <f>$D302/F302*I302</f>
        <v>32284.371483418283</v>
      </c>
      <c r="M302" s="55">
        <f>$D302/G302*J302</f>
        <v>35978.325909181571</v>
      </c>
      <c r="N302" s="70">
        <f>AVERAGE(K302:M302)</f>
        <v>35314.861826556509</v>
      </c>
      <c r="O302" s="54">
        <f>IF(ROUNDDOWN(N302/10000,0)=0,1,ROUNDDOWN(N302/10000,0))</f>
        <v>3</v>
      </c>
      <c r="P302" s="71">
        <f>D302/O302</f>
        <v>45.666666666666664</v>
      </c>
      <c r="Q302" s="55">
        <f>N302/O302</f>
        <v>11771.62060885217</v>
      </c>
      <c r="R302" s="55">
        <f>STDEV(K302:M302)</f>
        <v>2759.2453340312541</v>
      </c>
      <c r="S302" s="55">
        <f>R302/N302</f>
        <v>7.813269516904417E-2</v>
      </c>
      <c r="T302" s="55"/>
      <c r="U302" s="241">
        <v>302</v>
      </c>
      <c r="W302" s="273"/>
      <c r="X302" s="273"/>
    </row>
    <row r="303" spans="1:24" ht="15">
      <c r="A303" s="42">
        <v>44160</v>
      </c>
      <c r="B303" s="53" t="s">
        <v>24</v>
      </c>
      <c r="C303" s="253">
        <v>44176</v>
      </c>
      <c r="D303" s="53">
        <v>182.16</v>
      </c>
      <c r="E303" s="53">
        <v>1.4352</v>
      </c>
      <c r="F303" s="53">
        <v>1.2911999999999999</v>
      </c>
      <c r="G303" s="53">
        <v>1.5006999999999999</v>
      </c>
      <c r="H303" s="53">
        <v>447</v>
      </c>
      <c r="I303" s="53">
        <v>389</v>
      </c>
      <c r="J303" s="53">
        <v>497</v>
      </c>
      <c r="K303" s="55">
        <f>$D303/E303*H303</f>
        <v>56734.615384615383</v>
      </c>
      <c r="L303" s="55">
        <f>$D303/F303*I303</f>
        <v>54879.36802973978</v>
      </c>
      <c r="M303" s="55">
        <f>$D303/G303*J303</f>
        <v>60327.527153994808</v>
      </c>
      <c r="N303" s="70">
        <f>AVERAGE(K303:M303)</f>
        <v>57313.836856116657</v>
      </c>
      <c r="O303" s="54">
        <f>IF(ROUNDDOWN(N303/10000,0)=0,1,ROUNDDOWN(N303/10000,0))</f>
        <v>5</v>
      </c>
      <c r="P303" s="71">
        <f>D303/O303</f>
        <v>36.432000000000002</v>
      </c>
      <c r="Q303" s="55">
        <f>N303/O303</f>
        <v>11462.767371223332</v>
      </c>
      <c r="R303" s="55">
        <f>STDEV(K303:M303)</f>
        <v>2769.8795272695352</v>
      </c>
      <c r="S303" s="55">
        <f>R303/N303</f>
        <v>4.8328286487313188E-2</v>
      </c>
      <c r="T303" s="55">
        <v>2.79</v>
      </c>
      <c r="U303" s="241">
        <v>303</v>
      </c>
      <c r="W303" s="273"/>
      <c r="X303" s="273"/>
    </row>
    <row r="304" spans="1:24" ht="15">
      <c r="A304" s="42">
        <v>44165</v>
      </c>
      <c r="B304" s="53" t="s">
        <v>11</v>
      </c>
      <c r="C304" s="253">
        <v>44176</v>
      </c>
      <c r="D304" s="53">
        <v>228</v>
      </c>
      <c r="E304" s="53">
        <v>1.421</v>
      </c>
      <c r="F304" s="53">
        <v>1.4912000000000001</v>
      </c>
      <c r="G304" s="53">
        <v>1.5697000000000001</v>
      </c>
      <c r="H304" s="53">
        <v>211</v>
      </c>
      <c r="I304" s="53">
        <v>242</v>
      </c>
      <c r="J304" s="53">
        <v>259</v>
      </c>
      <c r="K304" s="55">
        <f>$D304/E304*H304</f>
        <v>33855.031667839547</v>
      </c>
      <c r="L304" s="55">
        <f>$D304/F304*I304</f>
        <v>37001.072961373386</v>
      </c>
      <c r="M304" s="55">
        <f>$D304/G304*J304</f>
        <v>37619.927374657578</v>
      </c>
      <c r="N304" s="70">
        <f>AVERAGE(K304:M304)</f>
        <v>36158.677334623506</v>
      </c>
      <c r="O304" s="54">
        <f>IF(ROUNDDOWN(N304/10000,0)=0,1,ROUNDDOWN(N304/10000,0))</f>
        <v>3</v>
      </c>
      <c r="P304" s="71">
        <f>D304/O304</f>
        <v>76</v>
      </c>
      <c r="Q304" s="55">
        <f>N304/O304</f>
        <v>12052.892444874502</v>
      </c>
      <c r="R304" s="55">
        <f>STDEV(K304:M304)</f>
        <v>2018.8691673260323</v>
      </c>
      <c r="S304" s="55">
        <f>R304/N304</f>
        <v>5.5833601119941331E-2</v>
      </c>
      <c r="T304" s="55"/>
      <c r="U304" s="241">
        <v>304</v>
      </c>
      <c r="W304" s="273"/>
      <c r="X304" s="273"/>
    </row>
    <row r="305" spans="1:24" ht="15">
      <c r="A305" s="42" t="s">
        <v>206</v>
      </c>
      <c r="B305" s="53" t="s">
        <v>19</v>
      </c>
      <c r="C305" s="253">
        <v>44176</v>
      </c>
      <c r="D305" s="53">
        <v>589</v>
      </c>
      <c r="E305" s="53">
        <v>1.3957999999999999</v>
      </c>
      <c r="F305" s="53">
        <v>1.4371</v>
      </c>
      <c r="G305" s="53">
        <v>1.4508000000000001</v>
      </c>
      <c r="H305" s="53">
        <v>346</v>
      </c>
      <c r="I305" s="53">
        <v>305</v>
      </c>
      <c r="J305" s="53">
        <v>334</v>
      </c>
      <c r="K305" s="55">
        <f>$D305/E305*H305</f>
        <v>146005.15833213928</v>
      </c>
      <c r="L305" s="55">
        <f>$D305/F305*I305</f>
        <v>125005.21884350428</v>
      </c>
      <c r="M305" s="55">
        <f>$D305/G305*J305</f>
        <v>135598.29059829059</v>
      </c>
      <c r="N305" s="70">
        <f>AVERAGE(K305:M305)</f>
        <v>135536.22259131141</v>
      </c>
      <c r="O305" s="54">
        <f>IF(ROUNDDOWN(N305/10000,0)=0,1,ROUNDDOWN(N305/10000,0))</f>
        <v>13</v>
      </c>
      <c r="P305" s="71">
        <f>D305/O305</f>
        <v>45.307692307692307</v>
      </c>
      <c r="Q305" s="55">
        <f>N305/O305</f>
        <v>10425.863276254724</v>
      </c>
      <c r="R305" s="55">
        <f>STDEV(K305:M305)</f>
        <v>10500.107330865754</v>
      </c>
      <c r="S305" s="55">
        <f>R305/N305</f>
        <v>7.7470857089821737E-2</v>
      </c>
      <c r="T305" s="55"/>
      <c r="U305" s="241">
        <v>305</v>
      </c>
      <c r="W305" s="273"/>
      <c r="X305" s="273"/>
    </row>
    <row r="306" spans="1:24" ht="15">
      <c r="A306" s="42">
        <v>44167</v>
      </c>
      <c r="B306" s="53" t="s">
        <v>19</v>
      </c>
      <c r="C306" s="253">
        <v>44180</v>
      </c>
      <c r="D306" s="53">
        <v>282.5</v>
      </c>
      <c r="E306" s="53">
        <v>1.5268999999999999</v>
      </c>
      <c r="F306" s="53">
        <v>1.5281</v>
      </c>
      <c r="G306" s="53">
        <v>1.4423999999999999</v>
      </c>
      <c r="H306" s="53">
        <v>282</v>
      </c>
      <c r="I306" s="53">
        <v>262</v>
      </c>
      <c r="J306" s="53">
        <v>231</v>
      </c>
      <c r="K306" s="55">
        <f>$D306/E306*H306</f>
        <v>52174.340166350128</v>
      </c>
      <c r="L306" s="55">
        <f>$D306/F306*I306</f>
        <v>48435.9662325764</v>
      </c>
      <c r="M306" s="55">
        <f>$D306/G306*J306</f>
        <v>45242.304492512485</v>
      </c>
      <c r="N306" s="70">
        <f>AVERAGE(K306:M306)</f>
        <v>48617.536963813007</v>
      </c>
      <c r="O306" s="54">
        <f>IF(ROUNDDOWN(N306/10000,0)=0,1,ROUNDDOWN(N306/10000,0))</f>
        <v>4</v>
      </c>
      <c r="P306" s="71">
        <f>D306/O306</f>
        <v>70.625</v>
      </c>
      <c r="Q306" s="55">
        <f>N306/O306</f>
        <v>12154.384240953252</v>
      </c>
      <c r="R306" s="55">
        <f>STDEV(K306:M306)</f>
        <v>3469.5829135028284</v>
      </c>
      <c r="S306" s="55">
        <f>R306/N306</f>
        <v>7.1364843432634356E-2</v>
      </c>
      <c r="T306" s="55"/>
      <c r="U306" s="241">
        <v>306</v>
      </c>
      <c r="W306" s="273"/>
      <c r="X306" s="273"/>
    </row>
    <row r="307" spans="1:24" ht="15">
      <c r="A307" s="42">
        <v>44167</v>
      </c>
      <c r="B307" s="53" t="s">
        <v>11</v>
      </c>
      <c r="C307" s="253">
        <v>44180</v>
      </c>
      <c r="D307" s="53">
        <v>1097.5</v>
      </c>
      <c r="E307" s="53">
        <v>1.2237</v>
      </c>
      <c r="F307" s="53">
        <v>1.298</v>
      </c>
      <c r="G307" s="53">
        <v>1.2177</v>
      </c>
      <c r="H307" s="53">
        <v>199</v>
      </c>
      <c r="I307" s="53">
        <v>210</v>
      </c>
      <c r="J307" s="53">
        <v>198</v>
      </c>
      <c r="K307" s="55">
        <f>$D307/E307*H307</f>
        <v>178477.15943450193</v>
      </c>
      <c r="L307" s="55">
        <f>$D307/F307*I307</f>
        <v>177561.63328197226</v>
      </c>
      <c r="M307" s="55">
        <f>$D307/G307*J307</f>
        <v>178455.28455284552</v>
      </c>
      <c r="N307" s="70">
        <f>AVERAGE(K307:M307)</f>
        <v>178164.69242310655</v>
      </c>
      <c r="O307" s="54">
        <f>IF(ROUNDDOWN(N307/10000,0)=0,1,ROUNDDOWN(N307/10000,0))</f>
        <v>17</v>
      </c>
      <c r="P307" s="71">
        <f>D307/O307</f>
        <v>64.558823529411768</v>
      </c>
      <c r="Q307" s="55">
        <f>N307/O307</f>
        <v>10480.276024888621</v>
      </c>
      <c r="R307" s="55">
        <f>STDEV(K307:M307)</f>
        <v>522.3790514474224</v>
      </c>
      <c r="S307" s="55">
        <f>R307/N307</f>
        <v>2.93200097248715E-3</v>
      </c>
      <c r="T307" s="55"/>
      <c r="U307" s="241">
        <v>307</v>
      </c>
      <c r="W307" s="273"/>
      <c r="X307" s="273"/>
    </row>
    <row r="308" spans="1:24" ht="15">
      <c r="A308" s="42">
        <v>44167</v>
      </c>
      <c r="B308" s="53" t="s">
        <v>16</v>
      </c>
      <c r="C308" s="253">
        <v>44180</v>
      </c>
      <c r="D308" s="53">
        <v>731.5</v>
      </c>
      <c r="E308" s="53">
        <v>1.3197000000000001</v>
      </c>
      <c r="F308" s="53">
        <v>1.3250999999999999</v>
      </c>
      <c r="G308" s="53">
        <v>1.2068000000000001</v>
      </c>
      <c r="H308" s="53">
        <v>277</v>
      </c>
      <c r="I308" s="53">
        <v>257</v>
      </c>
      <c r="J308" s="53">
        <v>255</v>
      </c>
      <c r="K308" s="55">
        <f>$D308/E308*H308</f>
        <v>153539.0619080094</v>
      </c>
      <c r="L308" s="55">
        <f>$D308/F308*I308</f>
        <v>141872.68885367145</v>
      </c>
      <c r="M308" s="55">
        <f>$D308/G308*J308</f>
        <v>154567.86542923434</v>
      </c>
      <c r="N308" s="70">
        <f>AVERAGE(K308:M308)</f>
        <v>149993.20539697175</v>
      </c>
      <c r="O308" s="54">
        <v>15</v>
      </c>
      <c r="P308" s="71">
        <f>D308/O308</f>
        <v>48.766666666666666</v>
      </c>
      <c r="Q308" s="55">
        <f>N308/O308</f>
        <v>9999.5470264647829</v>
      </c>
      <c r="R308" s="55">
        <f>STDEV(K308:M308)</f>
        <v>7051.3616322545349</v>
      </c>
      <c r="S308" s="55">
        <f>R308/N308</f>
        <v>4.7011207031627956E-2</v>
      </c>
      <c r="T308" s="55"/>
      <c r="U308" s="241">
        <v>308</v>
      </c>
      <c r="W308" s="273"/>
      <c r="X308" s="273"/>
    </row>
    <row r="309" spans="1:24" ht="15">
      <c r="A309" s="42">
        <v>44172</v>
      </c>
      <c r="B309" s="53" t="s">
        <v>11</v>
      </c>
      <c r="C309" s="253">
        <v>44183</v>
      </c>
      <c r="D309" s="53">
        <v>402.5</v>
      </c>
      <c r="E309" s="53">
        <v>1.3855999999999999</v>
      </c>
      <c r="F309" s="53">
        <v>1.3237000000000001</v>
      </c>
      <c r="G309" s="53">
        <v>1.3044</v>
      </c>
      <c r="H309" s="53">
        <v>294</v>
      </c>
      <c r="I309" s="53">
        <v>294</v>
      </c>
      <c r="J309" s="53">
        <v>247</v>
      </c>
      <c r="K309" s="55">
        <f>$D309/E309*H309</f>
        <v>85403.435334872978</v>
      </c>
      <c r="L309" s="55">
        <f>$D309/F309*I309</f>
        <v>89397.14436805922</v>
      </c>
      <c r="M309" s="55">
        <f>$D309/G309*J309</f>
        <v>76217.034651947251</v>
      </c>
      <c r="N309" s="70">
        <f>AVERAGE(K309:M309)</f>
        <v>83672.53811829316</v>
      </c>
      <c r="O309" s="54">
        <f>IF(ROUNDDOWN(N309/10000,0)=0,1,ROUNDDOWN(N309/10000,0))</f>
        <v>8</v>
      </c>
      <c r="P309" s="71">
        <f>D309/O309</f>
        <v>50.3125</v>
      </c>
      <c r="Q309" s="55">
        <f>N309/O309</f>
        <v>10459.067264786645</v>
      </c>
      <c r="R309" s="55">
        <f>STDEV(K309:M309)</f>
        <v>6758.389372695252</v>
      </c>
      <c r="S309" s="55">
        <f>R309/N309</f>
        <v>8.077189391745819E-2</v>
      </c>
      <c r="T309" s="55"/>
      <c r="U309" s="241">
        <v>309</v>
      </c>
      <c r="W309" s="273"/>
      <c r="X309" s="273"/>
    </row>
    <row r="310" spans="1:24" ht="15">
      <c r="A310" s="42" t="s">
        <v>207</v>
      </c>
      <c r="B310" s="53" t="s">
        <v>16</v>
      </c>
      <c r="C310" s="253">
        <v>44183</v>
      </c>
      <c r="D310" s="53">
        <v>348.5</v>
      </c>
      <c r="E310" s="53">
        <v>1.3465</v>
      </c>
      <c r="F310" s="53">
        <v>1.2170000000000001</v>
      </c>
      <c r="G310" s="53">
        <v>1.2392000000000001</v>
      </c>
      <c r="H310" s="53">
        <v>411</v>
      </c>
      <c r="I310" s="53">
        <v>390</v>
      </c>
      <c r="J310" s="53">
        <v>379</v>
      </c>
      <c r="K310" s="55">
        <f>$D310/E310*H310</f>
        <v>106374.67508354993</v>
      </c>
      <c r="L310" s="55">
        <f>$D310/F310*I310</f>
        <v>111680.36154478224</v>
      </c>
      <c r="M310" s="55">
        <f>$D310/G310*J310</f>
        <v>106586.10393802453</v>
      </c>
      <c r="N310" s="70">
        <f>AVERAGE(K310:M310)</f>
        <v>108213.71352211891</v>
      </c>
      <c r="O310" s="54">
        <f>IF(ROUNDDOWN(N310/10000,0)=0,1,ROUNDDOWN(N310/10000,0))</f>
        <v>10</v>
      </c>
      <c r="P310" s="71">
        <f>D310/O310</f>
        <v>34.85</v>
      </c>
      <c r="Q310" s="55">
        <f>N310/O310</f>
        <v>10821.371352211891</v>
      </c>
      <c r="R310" s="55">
        <f>STDEV(K310:M310)</f>
        <v>3004.0658988948353</v>
      </c>
      <c r="S310" s="55">
        <f>R310/N310</f>
        <v>2.7760491726224731E-2</v>
      </c>
      <c r="T310" s="55"/>
      <c r="U310" s="241">
        <v>310</v>
      </c>
      <c r="W310" s="273"/>
      <c r="X310" s="273"/>
    </row>
    <row r="311" spans="1:24" ht="15">
      <c r="A311" s="42">
        <v>44174</v>
      </c>
      <c r="B311" s="53" t="s">
        <v>208</v>
      </c>
      <c r="C311" s="253">
        <v>44186</v>
      </c>
      <c r="D311" s="53">
        <v>226</v>
      </c>
      <c r="E311" s="53">
        <v>1.3741000000000001</v>
      </c>
      <c r="F311" s="53">
        <v>1.407</v>
      </c>
      <c r="G311" s="53">
        <v>1.3152999999999999</v>
      </c>
      <c r="H311" s="53">
        <v>392</v>
      </c>
      <c r="I311" s="53">
        <v>492</v>
      </c>
      <c r="J311" s="53">
        <v>417</v>
      </c>
      <c r="K311" s="55">
        <f>$D311/E311*H311</f>
        <v>64472.745797249103</v>
      </c>
      <c r="L311" s="55">
        <f>$D311/F311*I311</f>
        <v>79027.718550106598</v>
      </c>
      <c r="M311" s="55">
        <f>$D311/G311*J311</f>
        <v>71650.574013533042</v>
      </c>
      <c r="N311" s="70">
        <f>AVERAGE(K311:M311)</f>
        <v>71717.012786962921</v>
      </c>
      <c r="O311" s="54">
        <f>IF(ROUNDDOWN(N311/10000,0)=0,1,ROUNDDOWN(N311/10000,0))</f>
        <v>7</v>
      </c>
      <c r="P311" s="71">
        <f>D311/O311</f>
        <v>32.285714285714285</v>
      </c>
      <c r="Q311" s="55">
        <f>N311/O311</f>
        <v>10245.287540994703</v>
      </c>
      <c r="R311" s="55">
        <f>STDEV(K311:M311)</f>
        <v>7277.7138266125285</v>
      </c>
      <c r="S311" s="55">
        <f>R311/N311</f>
        <v>0.1014782064087241</v>
      </c>
      <c r="T311" s="55">
        <v>2.3592</v>
      </c>
      <c r="U311" s="241">
        <v>311</v>
      </c>
      <c r="W311" s="273"/>
      <c r="X311" s="273"/>
    </row>
    <row r="312" spans="1:24" ht="15">
      <c r="A312" s="42">
        <v>44174</v>
      </c>
      <c r="B312" s="53" t="s">
        <v>11</v>
      </c>
      <c r="C312" s="253">
        <v>44186</v>
      </c>
      <c r="D312" s="53">
        <v>228.5</v>
      </c>
      <c r="E312" s="53">
        <v>1.2890999999999999</v>
      </c>
      <c r="F312" s="53">
        <v>1.3895</v>
      </c>
      <c r="G312" s="53">
        <v>1.4655</v>
      </c>
      <c r="H312" s="53">
        <v>470</v>
      </c>
      <c r="I312" s="53">
        <v>492</v>
      </c>
      <c r="J312" s="53">
        <v>494</v>
      </c>
      <c r="K312" s="55">
        <f>$D312/E312*H312</f>
        <v>83310.061283065719</v>
      </c>
      <c r="L312" s="55">
        <f>$D312/F312*I312</f>
        <v>80908.240374235334</v>
      </c>
      <c r="M312" s="55">
        <f>$D312/G312*J312</f>
        <v>77024.223814397817</v>
      </c>
      <c r="N312" s="70">
        <f>AVERAGE(K312:M312)</f>
        <v>80414.175157232952</v>
      </c>
      <c r="O312" s="54">
        <f>IF(ROUNDDOWN(N312/10000,0)=0,1,ROUNDDOWN(N312/10000,0))</f>
        <v>8</v>
      </c>
      <c r="P312" s="71">
        <f>D312/O312</f>
        <v>28.5625</v>
      </c>
      <c r="Q312" s="55">
        <f>N312/O312</f>
        <v>10051.771894654119</v>
      </c>
      <c r="R312" s="55">
        <f>STDEV(K312:M312)</f>
        <v>3171.9100711741539</v>
      </c>
      <c r="S312" s="55">
        <f>R312/N312</f>
        <v>3.9444663393887372E-2</v>
      </c>
      <c r="T312" s="55">
        <v>2.7056</v>
      </c>
      <c r="U312" s="241">
        <v>312</v>
      </c>
      <c r="W312" s="273"/>
      <c r="X312" s="273"/>
    </row>
    <row r="313" spans="1:24" ht="15">
      <c r="A313" s="42">
        <v>44177</v>
      </c>
      <c r="B313" s="53" t="s">
        <v>8</v>
      </c>
      <c r="C313" s="253">
        <v>44187</v>
      </c>
      <c r="K313" s="55" t="e">
        <f t="shared" ref="K313:K350" si="201">$D313/E313*H313</f>
        <v>#DIV/0!</v>
      </c>
      <c r="L313" s="55" t="e">
        <f t="shared" ref="L313:L350" si="202">$D313/F313*I313</f>
        <v>#DIV/0!</v>
      </c>
      <c r="M313" s="55" t="e">
        <f t="shared" ref="M313:M350" si="203">$D313/G313*J313</f>
        <v>#DIV/0!</v>
      </c>
      <c r="N313" s="70">
        <v>53228.63895</v>
      </c>
      <c r="O313" s="54">
        <v>5</v>
      </c>
      <c r="P313" s="71">
        <f t="shared" ref="P313:P350" si="204">D313/O313</f>
        <v>0</v>
      </c>
      <c r="Q313" s="55">
        <f t="shared" ref="Q313:Q350" si="205">N313/O313</f>
        <v>10645.727790000001</v>
      </c>
      <c r="R313" s="55" t="e">
        <f t="shared" ref="R313:R350" si="206">STDEV(K313:M313)</f>
        <v>#DIV/0!</v>
      </c>
      <c r="S313" s="55" t="e">
        <f t="shared" ref="S313:S350" si="207">R313/N313</f>
        <v>#DIV/0!</v>
      </c>
      <c r="T313" s="55">
        <v>1.5</v>
      </c>
      <c r="U313" s="241">
        <v>313</v>
      </c>
      <c r="V313" s="53" t="s">
        <v>209</v>
      </c>
      <c r="W313" s="273"/>
      <c r="X313" s="273"/>
    </row>
    <row r="314" spans="1:24" ht="15">
      <c r="A314" s="42">
        <v>44176</v>
      </c>
      <c r="B314" s="53" t="s">
        <v>24</v>
      </c>
      <c r="C314" s="253">
        <v>44187</v>
      </c>
      <c r="D314" s="53">
        <v>123.5</v>
      </c>
      <c r="E314" s="53">
        <v>1.6896</v>
      </c>
      <c r="H314" s="53">
        <v>275</v>
      </c>
      <c r="K314" s="55">
        <f t="shared" si="201"/>
        <v>20100.911458333332</v>
      </c>
      <c r="L314" s="55" t="e">
        <f t="shared" si="202"/>
        <v>#DIV/0!</v>
      </c>
      <c r="M314" s="55" t="e">
        <f t="shared" si="203"/>
        <v>#DIV/0!</v>
      </c>
      <c r="N314" s="70" t="e">
        <f t="shared" ref="N313:N350" si="208">AVERAGE(K314:M314)</f>
        <v>#DIV/0!</v>
      </c>
      <c r="O314" s="54">
        <v>2</v>
      </c>
      <c r="P314" s="71">
        <f t="shared" si="204"/>
        <v>61.75</v>
      </c>
      <c r="Q314" s="55" t="e">
        <f t="shared" si="205"/>
        <v>#DIV/0!</v>
      </c>
      <c r="R314" s="55" t="e">
        <f t="shared" si="206"/>
        <v>#DIV/0!</v>
      </c>
      <c r="S314" s="55" t="e">
        <f t="shared" si="207"/>
        <v>#DIV/0!</v>
      </c>
      <c r="T314" s="55"/>
      <c r="U314" s="241">
        <v>314</v>
      </c>
      <c r="W314" s="273"/>
      <c r="X314" s="273"/>
    </row>
    <row r="315" spans="1:24" ht="15">
      <c r="A315" s="42">
        <v>44176</v>
      </c>
      <c r="B315" s="53" t="s">
        <v>24</v>
      </c>
      <c r="C315" s="253">
        <v>44187</v>
      </c>
      <c r="D315" s="53">
        <v>216.5</v>
      </c>
      <c r="E315" s="53">
        <v>1.3937999999999999</v>
      </c>
      <c r="F315" s="53">
        <v>1.3379000000000001</v>
      </c>
      <c r="G315" s="53">
        <v>1.3816999999999999</v>
      </c>
      <c r="H315" s="53">
        <v>572</v>
      </c>
      <c r="I315" s="53">
        <v>588</v>
      </c>
      <c r="J315" s="53">
        <v>571</v>
      </c>
      <c r="K315" s="55">
        <f>$D315/E315*H315</f>
        <v>88849.189266752772</v>
      </c>
      <c r="L315" s="55">
        <f>$D315/F315*I315</f>
        <v>95150.609163614616</v>
      </c>
      <c r="M315" s="55">
        <f>$D315/G315*J315</f>
        <v>89470.579720634007</v>
      </c>
      <c r="N315" s="70">
        <f>AVERAGE(K315:M315)</f>
        <v>91156.79271700047</v>
      </c>
      <c r="O315" s="54">
        <f>IF(ROUNDDOWN(N315/10000,0)=0,1,ROUNDDOWN(N315/10000,0))</f>
        <v>9</v>
      </c>
      <c r="P315" s="71">
        <f>D315/O315</f>
        <v>24.055555555555557</v>
      </c>
      <c r="Q315" s="55">
        <f>N315/O315</f>
        <v>10128.532524111164</v>
      </c>
      <c r="R315" s="55">
        <f>STDEV(K315:M315)</f>
        <v>3472.6731606901826</v>
      </c>
      <c r="S315" s="55">
        <f>R315/N315</f>
        <v>3.8095604915271877E-2</v>
      </c>
      <c r="T315" s="55"/>
      <c r="U315" s="241">
        <v>315</v>
      </c>
      <c r="W315" s="273"/>
      <c r="X315" s="273"/>
    </row>
    <row r="316" spans="1:24" ht="15">
      <c r="A316" s="42">
        <v>44176</v>
      </c>
      <c r="B316" s="53" t="s">
        <v>8</v>
      </c>
      <c r="C316" s="253">
        <v>44187</v>
      </c>
      <c r="D316" s="53">
        <v>174</v>
      </c>
      <c r="E316" s="53">
        <v>1.2422</v>
      </c>
      <c r="F316" s="53">
        <v>1.224</v>
      </c>
      <c r="G316" s="53">
        <v>1.3227</v>
      </c>
      <c r="H316" s="53">
        <v>258</v>
      </c>
      <c r="I316" s="53">
        <v>219</v>
      </c>
      <c r="J316" s="53">
        <v>278</v>
      </c>
      <c r="K316" s="55">
        <f>$D316/E316*H316</f>
        <v>36139.108034132994</v>
      </c>
      <c r="L316" s="55">
        <f>$D316/F316*I316</f>
        <v>31132.352941176472</v>
      </c>
      <c r="M316" s="55">
        <f>$D316/G316*J316</f>
        <v>36570.650941256521</v>
      </c>
      <c r="N316" s="70">
        <f>AVERAGE(K316:M316)</f>
        <v>34614.037305521997</v>
      </c>
      <c r="O316" s="54">
        <f>IF(ROUNDDOWN(N316/10000,0)=0,1,ROUNDDOWN(N316/10000,0))</f>
        <v>3</v>
      </c>
      <c r="P316" s="71">
        <f>D316/O316</f>
        <v>58</v>
      </c>
      <c r="Q316" s="55">
        <f>N316/O316</f>
        <v>11538.012435174</v>
      </c>
      <c r="R316" s="55">
        <f>STDEV(K316:M316)</f>
        <v>3022.9376159405319</v>
      </c>
      <c r="S316" s="55">
        <f>R316/N316</f>
        <v>8.7332708093495956E-2</v>
      </c>
      <c r="T316" s="55"/>
      <c r="U316" s="241">
        <v>316</v>
      </c>
      <c r="W316" s="273"/>
      <c r="X316" s="273"/>
    </row>
    <row r="317" spans="1:24" ht="15">
      <c r="A317" s="53" t="s">
        <v>210</v>
      </c>
      <c r="B317" s="53" t="s">
        <v>24</v>
      </c>
      <c r="C317" s="53" t="s">
        <v>211</v>
      </c>
      <c r="D317" s="53">
        <v>384.5</v>
      </c>
      <c r="E317" s="53">
        <v>1.3688</v>
      </c>
      <c r="F317" s="53">
        <v>1.5128999999999999</v>
      </c>
      <c r="G317" s="53">
        <v>1.4815</v>
      </c>
      <c r="H317" s="53">
        <v>236</v>
      </c>
      <c r="I317" s="53">
        <v>245</v>
      </c>
      <c r="J317" s="53">
        <v>245</v>
      </c>
      <c r="K317" s="55">
        <f>$D317/E317*H317</f>
        <v>66293.103448275855</v>
      </c>
      <c r="L317" s="55">
        <f>$D317/F317*I317</f>
        <v>62266.177539824188</v>
      </c>
      <c r="M317" s="55">
        <f>$D317/G317*J317</f>
        <v>63585.892676341544</v>
      </c>
      <c r="N317" s="70">
        <f>AVERAGE(K317:M317)</f>
        <v>64048.391221480531</v>
      </c>
      <c r="O317" s="54">
        <f>IF(ROUNDDOWN(N317/10000,0)=0,1,ROUNDDOWN(N317/10000,0))</f>
        <v>6</v>
      </c>
      <c r="P317" s="71">
        <f>D317/O317</f>
        <v>64.083333333333329</v>
      </c>
      <c r="Q317" s="55">
        <f>N317/O317</f>
        <v>10674.731870246755</v>
      </c>
      <c r="R317" s="55">
        <f>STDEV(K317:M317)</f>
        <v>2052.9154259812017</v>
      </c>
      <c r="S317" s="55">
        <f>R317/N317</f>
        <v>3.2052568172745849E-2</v>
      </c>
      <c r="T317" s="55"/>
      <c r="U317" s="241">
        <v>317</v>
      </c>
      <c r="W317" s="273"/>
      <c r="X317" s="273"/>
    </row>
    <row r="318" spans="1:24" ht="15">
      <c r="A318" s="42" t="s">
        <v>210</v>
      </c>
      <c r="B318" s="53" t="s">
        <v>24</v>
      </c>
      <c r="C318" s="53" t="s">
        <v>211</v>
      </c>
      <c r="D318" s="53">
        <v>484.5</v>
      </c>
      <c r="E318" s="53">
        <v>1.5503</v>
      </c>
      <c r="F318" s="53">
        <v>1.5668</v>
      </c>
      <c r="G318" s="53">
        <v>1.5379</v>
      </c>
      <c r="H318" s="53">
        <v>400</v>
      </c>
      <c r="I318" s="53">
        <v>342</v>
      </c>
      <c r="J318" s="53">
        <v>356</v>
      </c>
      <c r="K318" s="55">
        <f>$D318/E318*H318</f>
        <v>125008.06295555699</v>
      </c>
      <c r="L318" s="55">
        <f>$D318/F318*I318</f>
        <v>105756.31861118204</v>
      </c>
      <c r="M318" s="55">
        <f>$D318/G318*J318</f>
        <v>112154.23629624813</v>
      </c>
      <c r="N318" s="70">
        <f>AVERAGE(K318:M318)</f>
        <v>114306.20595432905</v>
      </c>
      <c r="O318" s="54">
        <f>IF(ROUNDDOWN(N318/10000,0)=0,1,ROUNDDOWN(N318/10000,0))</f>
        <v>11</v>
      </c>
      <c r="P318" s="71">
        <f>D318/O318</f>
        <v>44.045454545454547</v>
      </c>
      <c r="Q318" s="55">
        <f>N318/O318</f>
        <v>10391.473268575368</v>
      </c>
      <c r="R318" s="55">
        <f>STDEV(K318:M318)</f>
        <v>9804.6236609198277</v>
      </c>
      <c r="S318" s="55">
        <f>R318/N318</f>
        <v>8.5775077381513798E-2</v>
      </c>
      <c r="T318" s="55"/>
      <c r="U318" s="241">
        <v>318</v>
      </c>
      <c r="W318" s="273"/>
      <c r="X318" s="273"/>
    </row>
    <row r="319" spans="1:24" ht="15">
      <c r="A319" s="42">
        <v>44181</v>
      </c>
      <c r="B319" s="53" t="s">
        <v>8</v>
      </c>
      <c r="C319" s="53" t="s">
        <v>211</v>
      </c>
      <c r="D319" s="53">
        <v>311.5</v>
      </c>
      <c r="E319" s="53">
        <v>1.5091000000000001</v>
      </c>
      <c r="F319" s="53">
        <v>1.5904</v>
      </c>
      <c r="G319" s="53">
        <v>1.4763999999999999</v>
      </c>
      <c r="H319" s="53">
        <v>271</v>
      </c>
      <c r="I319" s="53">
        <v>296</v>
      </c>
      <c r="J319" s="53">
        <v>270</v>
      </c>
      <c r="K319" s="55">
        <f>$D319/E319*H319</f>
        <v>55938.307600556625</v>
      </c>
      <c r="L319" s="55">
        <f>$D319/F319*I319</f>
        <v>57975.352112676053</v>
      </c>
      <c r="M319" s="55">
        <f>$D319/G319*J319</f>
        <v>56966.269303711735</v>
      </c>
      <c r="N319" s="70">
        <f>AVERAGE(K319:M319)</f>
        <v>56959.976338981476</v>
      </c>
      <c r="O319" s="54">
        <f>IF(ROUNDDOWN(N319/10000,0)=0,1,ROUNDDOWN(N319/10000,0))</f>
        <v>5</v>
      </c>
      <c r="P319" s="71">
        <f>D319/O319</f>
        <v>62.3</v>
      </c>
      <c r="Q319" s="55">
        <f>N319/O319</f>
        <v>11391.995267796296</v>
      </c>
      <c r="R319" s="55">
        <f>STDEV(K319:M319)</f>
        <v>1018.5368364191802</v>
      </c>
      <c r="S319" s="55">
        <f>R319/N319</f>
        <v>1.7881623235895344E-2</v>
      </c>
      <c r="T319" s="55"/>
      <c r="U319" s="241">
        <v>319</v>
      </c>
      <c r="W319" s="273"/>
      <c r="X319" s="273"/>
    </row>
    <row r="320" spans="1:24" ht="15">
      <c r="A320" s="42">
        <v>44181</v>
      </c>
      <c r="B320" s="53" t="s">
        <v>8</v>
      </c>
      <c r="C320" s="53" t="s">
        <v>211</v>
      </c>
      <c r="D320" s="53">
        <v>436.5</v>
      </c>
      <c r="E320" s="53">
        <v>1.4294</v>
      </c>
      <c r="F320" s="53">
        <v>1.4482999999999999</v>
      </c>
      <c r="G320" s="53">
        <v>1.2990999999999999</v>
      </c>
      <c r="H320" s="53">
        <v>408</v>
      </c>
      <c r="I320" s="53">
        <v>375</v>
      </c>
      <c r="J320" s="53">
        <v>340</v>
      </c>
      <c r="K320" s="55">
        <f>$D320/E320*H320</f>
        <v>124592.13656079474</v>
      </c>
      <c r="L320" s="55">
        <f>$D320/F320*I320</f>
        <v>113020.43775460885</v>
      </c>
      <c r="M320" s="55">
        <f>$D320/G320*J320</f>
        <v>114240.62812716496</v>
      </c>
      <c r="N320" s="70">
        <f>AVERAGE(K320:M320)</f>
        <v>117284.40081418952</v>
      </c>
      <c r="O320" s="54">
        <f>IF(ROUNDDOWN(N320/10000,0)=0,1,ROUNDDOWN(N320/10000,0))</f>
        <v>11</v>
      </c>
      <c r="P320" s="71">
        <f>D320/O320</f>
        <v>39.68181818181818</v>
      </c>
      <c r="Q320" s="55">
        <f>N320/O320</f>
        <v>10662.218255835411</v>
      </c>
      <c r="R320" s="55">
        <f>STDEV(K320:M320)</f>
        <v>6358.0238630394015</v>
      </c>
      <c r="S320" s="55">
        <f>R320/N320</f>
        <v>5.4210311165866339E-2</v>
      </c>
      <c r="T320" s="55"/>
      <c r="U320" s="241">
        <v>320</v>
      </c>
      <c r="W320" s="273"/>
      <c r="X320" s="273"/>
    </row>
    <row r="321" spans="1:24" ht="15">
      <c r="A321" s="42" t="s">
        <v>212</v>
      </c>
      <c r="B321" s="53" t="s">
        <v>11</v>
      </c>
      <c r="C321" s="53" t="s">
        <v>211</v>
      </c>
      <c r="D321" s="53">
        <v>187</v>
      </c>
      <c r="E321" s="53">
        <v>1.5422</v>
      </c>
      <c r="F321" s="53">
        <v>1.7092000000000001</v>
      </c>
      <c r="H321" s="53">
        <v>246</v>
      </c>
      <c r="I321" s="53">
        <v>253</v>
      </c>
      <c r="K321" s="55">
        <f t="shared" si="201"/>
        <v>29828.815977175462</v>
      </c>
      <c r="L321" s="55">
        <f t="shared" si="202"/>
        <v>27680.201263749121</v>
      </c>
      <c r="M321" s="55" t="e">
        <f t="shared" si="203"/>
        <v>#DIV/0!</v>
      </c>
      <c r="N321" s="70">
        <f>AVERAGE(K321:L321)</f>
        <v>28754.508620462293</v>
      </c>
      <c r="O321" s="54">
        <f t="shared" ref="O313:O350" si="209">IF(ROUNDDOWN(N321/10000,0)=0,1,ROUNDDOWN(N321/10000,0))</f>
        <v>2</v>
      </c>
      <c r="P321" s="71">
        <f t="shared" si="204"/>
        <v>93.5</v>
      </c>
      <c r="Q321" s="55">
        <f t="shared" si="205"/>
        <v>14377.254310231147</v>
      </c>
      <c r="R321" s="55" t="e">
        <f t="shared" si="206"/>
        <v>#DIV/0!</v>
      </c>
      <c r="S321" s="55" t="e">
        <f t="shared" si="207"/>
        <v>#DIV/0!</v>
      </c>
      <c r="T321" s="55"/>
      <c r="U321" s="241">
        <v>321</v>
      </c>
      <c r="W321" s="273"/>
      <c r="X321" s="273"/>
    </row>
    <row r="322" spans="1:24" ht="15">
      <c r="A322" s="42" t="s">
        <v>212</v>
      </c>
      <c r="B322" s="53" t="s">
        <v>11</v>
      </c>
      <c r="C322" s="53" t="s">
        <v>211</v>
      </c>
      <c r="D322" s="53">
        <v>350</v>
      </c>
      <c r="E322" s="53">
        <v>1.3226</v>
      </c>
      <c r="F322" s="53">
        <v>1.4011</v>
      </c>
      <c r="G322" s="53">
        <v>1.4369000000000001</v>
      </c>
      <c r="H322" s="53">
        <v>256</v>
      </c>
      <c r="I322" s="53">
        <v>325</v>
      </c>
      <c r="J322" s="53">
        <v>356</v>
      </c>
      <c r="K322" s="55">
        <f t="shared" si="201"/>
        <v>67745.350068047788</v>
      </c>
      <c r="L322" s="55">
        <f t="shared" si="202"/>
        <v>81186.210834344442</v>
      </c>
      <c r="M322" s="55">
        <f t="shared" si="203"/>
        <v>86714.45472893033</v>
      </c>
      <c r="N322" s="70">
        <f>AVERAGE(K322:M322)</f>
        <v>78548.671877107525</v>
      </c>
      <c r="O322" s="54">
        <f t="shared" si="209"/>
        <v>7</v>
      </c>
      <c r="P322" s="71">
        <f t="shared" si="204"/>
        <v>50</v>
      </c>
      <c r="Q322" s="55">
        <f t="shared" si="205"/>
        <v>11221.238839586789</v>
      </c>
      <c r="R322" s="55">
        <f t="shared" si="206"/>
        <v>9755.7260991729381</v>
      </c>
      <c r="S322" s="55">
        <f t="shared" si="207"/>
        <v>0.12419975877423051</v>
      </c>
      <c r="T322" s="55"/>
      <c r="U322" s="241">
        <v>322</v>
      </c>
      <c r="W322" s="273"/>
      <c r="X322" s="273"/>
    </row>
    <row r="323" spans="1:24" ht="15">
      <c r="A323" s="42">
        <v>44551</v>
      </c>
      <c r="B323" s="53" t="s">
        <v>8</v>
      </c>
      <c r="C323" s="253">
        <v>44409</v>
      </c>
      <c r="D323" s="53">
        <v>561.5</v>
      </c>
      <c r="E323" s="53">
        <v>1.4791000000000001</v>
      </c>
      <c r="F323" s="53">
        <v>1.4353</v>
      </c>
      <c r="G323" s="53">
        <v>1.5425</v>
      </c>
      <c r="H323" s="53">
        <v>281</v>
      </c>
      <c r="I323" s="53">
        <v>213</v>
      </c>
      <c r="J323" s="53">
        <v>266</v>
      </c>
      <c r="K323" s="55">
        <f t="shared" si="201"/>
        <v>106673.99094043675</v>
      </c>
      <c r="L323" s="55">
        <f t="shared" si="202"/>
        <v>83327.178986971368</v>
      </c>
      <c r="M323" s="55">
        <f t="shared" si="203"/>
        <v>96829.173419773098</v>
      </c>
      <c r="N323" s="70">
        <f t="shared" si="208"/>
        <v>95610.114449060406</v>
      </c>
      <c r="O323" s="54">
        <f>IF(ROUNDDOWN(N323/10000,0)=0,1,ROUNDDOWN(N323/10000,0))</f>
        <v>9</v>
      </c>
      <c r="P323" s="71">
        <f t="shared" si="204"/>
        <v>62.388888888888886</v>
      </c>
      <c r="Q323" s="55">
        <f t="shared" si="205"/>
        <v>10623.346049895601</v>
      </c>
      <c r="R323" s="55">
        <f t="shared" si="206"/>
        <v>11721.048830125008</v>
      </c>
      <c r="S323" s="55">
        <f t="shared" si="207"/>
        <v>0.12259214307676414</v>
      </c>
      <c r="T323" s="55"/>
      <c r="U323" s="241">
        <v>323</v>
      </c>
      <c r="W323" s="273"/>
      <c r="X323" s="273"/>
    </row>
    <row r="324" spans="1:24" ht="15">
      <c r="A324" s="42">
        <v>44548</v>
      </c>
      <c r="B324" s="53" t="s">
        <v>208</v>
      </c>
      <c r="C324" s="253">
        <v>44409</v>
      </c>
      <c r="D324" s="53">
        <v>315.5</v>
      </c>
      <c r="E324" s="53">
        <v>1.5553999999999999</v>
      </c>
      <c r="F324" s="53">
        <v>1.4846999999999999</v>
      </c>
      <c r="G324" s="53">
        <v>1.2861</v>
      </c>
      <c r="H324" s="53">
        <v>282</v>
      </c>
      <c r="I324" s="53">
        <v>300</v>
      </c>
      <c r="J324" s="53">
        <v>244</v>
      </c>
      <c r="K324" s="55">
        <f t="shared" si="201"/>
        <v>57201.362993442206</v>
      </c>
      <c r="L324" s="55">
        <f t="shared" si="202"/>
        <v>63750.252576278042</v>
      </c>
      <c r="M324" s="55">
        <f t="shared" si="203"/>
        <v>59856.931809346082</v>
      </c>
      <c r="N324" s="70">
        <f t="shared" si="208"/>
        <v>60269.51579302211</v>
      </c>
      <c r="O324" s="54">
        <f t="shared" si="209"/>
        <v>6</v>
      </c>
      <c r="P324" s="71">
        <f t="shared" si="204"/>
        <v>52.583333333333336</v>
      </c>
      <c r="Q324" s="55">
        <f t="shared" si="205"/>
        <v>10044.919298837018</v>
      </c>
      <c r="R324" s="55">
        <f t="shared" si="206"/>
        <v>3293.8818815697418</v>
      </c>
      <c r="S324" s="55">
        <f t="shared" si="207"/>
        <v>5.4652535999818022E-2</v>
      </c>
      <c r="T324" s="55"/>
      <c r="U324" s="241">
        <v>324</v>
      </c>
      <c r="W324" s="273"/>
      <c r="X324" s="273"/>
    </row>
    <row r="325" spans="1:24" ht="15.75" customHeight="1">
      <c r="A325" s="42">
        <v>44551</v>
      </c>
      <c r="B325" s="53" t="s">
        <v>11</v>
      </c>
      <c r="C325" s="253">
        <v>44409</v>
      </c>
      <c r="D325" s="53">
        <v>167</v>
      </c>
      <c r="E325" s="53">
        <v>1.7585</v>
      </c>
      <c r="H325" s="53">
        <v>212</v>
      </c>
      <c r="K325" s="55">
        <f t="shared" si="201"/>
        <v>20133.067955644015</v>
      </c>
      <c r="L325" s="55" t="e">
        <f t="shared" si="202"/>
        <v>#DIV/0!</v>
      </c>
      <c r="M325" s="55" t="e">
        <f t="shared" si="203"/>
        <v>#DIV/0!</v>
      </c>
      <c r="N325" s="70" t="e">
        <f t="shared" si="208"/>
        <v>#DIV/0!</v>
      </c>
      <c r="O325" s="54">
        <v>2</v>
      </c>
      <c r="P325" s="71">
        <f t="shared" si="204"/>
        <v>83.5</v>
      </c>
      <c r="Q325" s="55" t="e">
        <f t="shared" si="205"/>
        <v>#DIV/0!</v>
      </c>
      <c r="R325" s="55" t="e">
        <f t="shared" si="206"/>
        <v>#DIV/0!</v>
      </c>
      <c r="S325" s="55" t="e">
        <f t="shared" si="207"/>
        <v>#DIV/0!</v>
      </c>
      <c r="T325" s="55"/>
      <c r="U325" s="241">
        <v>325</v>
      </c>
      <c r="V325" s="53" t="s">
        <v>186</v>
      </c>
      <c r="W325" s="273"/>
      <c r="X325" s="273"/>
    </row>
    <row r="326" spans="1:24" ht="15">
      <c r="A326" s="42" t="s">
        <v>213</v>
      </c>
      <c r="B326" s="53" t="s">
        <v>11</v>
      </c>
      <c r="C326" s="253">
        <v>44409</v>
      </c>
      <c r="D326" s="53">
        <v>105.5</v>
      </c>
      <c r="E326" s="53">
        <v>1.2053</v>
      </c>
      <c r="F326" s="53">
        <v>1.3809</v>
      </c>
      <c r="G326" s="53">
        <v>1.3638999999999999</v>
      </c>
      <c r="H326" s="53">
        <v>218</v>
      </c>
      <c r="I326" s="53">
        <v>240</v>
      </c>
      <c r="J326" s="53">
        <v>258</v>
      </c>
      <c r="K326" s="55">
        <f t="shared" si="201"/>
        <v>19081.556458972871</v>
      </c>
      <c r="L326" s="55">
        <f t="shared" si="202"/>
        <v>18335.867912231155</v>
      </c>
      <c r="M326" s="55">
        <f t="shared" si="203"/>
        <v>19956.741696605324</v>
      </c>
      <c r="N326" s="70">
        <f t="shared" si="208"/>
        <v>19124.722022603117</v>
      </c>
      <c r="O326" s="54">
        <f t="shared" si="209"/>
        <v>1</v>
      </c>
      <c r="P326" s="71">
        <f t="shared" si="204"/>
        <v>105.5</v>
      </c>
      <c r="Q326" s="55">
        <f t="shared" si="205"/>
        <v>19124.722022603117</v>
      </c>
      <c r="R326" s="55">
        <f t="shared" si="206"/>
        <v>811.29859215365195</v>
      </c>
      <c r="S326" s="55">
        <f t="shared" si="207"/>
        <v>4.2421458005757931E-2</v>
      </c>
      <c r="T326" s="55"/>
      <c r="U326" s="241">
        <v>326</v>
      </c>
      <c r="V326" s="53" t="s">
        <v>187</v>
      </c>
      <c r="W326" s="273"/>
      <c r="X326" s="273"/>
    </row>
    <row r="327" spans="1:24" ht="15">
      <c r="A327" s="42" t="s">
        <v>214</v>
      </c>
      <c r="B327" s="53" t="s">
        <v>16</v>
      </c>
      <c r="C327" s="253">
        <v>44409</v>
      </c>
      <c r="D327" s="53">
        <v>426.5</v>
      </c>
      <c r="E327" s="53">
        <v>1.528</v>
      </c>
      <c r="F327" s="53">
        <v>1.3228</v>
      </c>
      <c r="G327" s="53">
        <v>1.4315</v>
      </c>
      <c r="H327" s="53">
        <v>289</v>
      </c>
      <c r="I327" s="53">
        <v>252</v>
      </c>
      <c r="J327" s="53">
        <v>279</v>
      </c>
      <c r="K327" s="55">
        <f t="shared" si="201"/>
        <v>80666.557591623045</v>
      </c>
      <c r="L327" s="55">
        <f t="shared" si="202"/>
        <v>81250.377986090112</v>
      </c>
      <c r="M327" s="55">
        <f t="shared" si="203"/>
        <v>83125.043660495983</v>
      </c>
      <c r="N327" s="70">
        <f t="shared" si="208"/>
        <v>81680.659746069708</v>
      </c>
      <c r="O327" s="54">
        <f t="shared" si="209"/>
        <v>8</v>
      </c>
      <c r="P327" s="71">
        <f t="shared" si="204"/>
        <v>53.3125</v>
      </c>
      <c r="Q327" s="55">
        <f t="shared" si="205"/>
        <v>10210.082468258714</v>
      </c>
      <c r="R327" s="55">
        <f t="shared" si="206"/>
        <v>1284.4824765013093</v>
      </c>
      <c r="S327" s="55">
        <f>R327/N327</f>
        <v>1.5725662359909083E-2</v>
      </c>
      <c r="T327" s="55"/>
      <c r="U327" s="241">
        <v>327</v>
      </c>
      <c r="W327" s="273"/>
      <c r="X327" s="273"/>
    </row>
    <row r="328" spans="1:24" ht="15">
      <c r="A328" s="42" t="s">
        <v>214</v>
      </c>
      <c r="B328" s="53" t="s">
        <v>16</v>
      </c>
      <c r="C328" s="253">
        <v>44409</v>
      </c>
      <c r="D328" s="53">
        <v>312.5</v>
      </c>
      <c r="E328" s="53">
        <v>1.4205000000000001</v>
      </c>
      <c r="F328" s="53">
        <v>1.3829</v>
      </c>
      <c r="G328" s="53">
        <v>1.5679000000000001</v>
      </c>
      <c r="H328" s="53">
        <v>321</v>
      </c>
      <c r="I328" s="53">
        <v>257</v>
      </c>
      <c r="J328" s="53">
        <v>340</v>
      </c>
      <c r="K328" s="55">
        <f t="shared" si="201"/>
        <v>70617.740232312557</v>
      </c>
      <c r="L328" s="55">
        <f t="shared" si="202"/>
        <v>58075.421216284623</v>
      </c>
      <c r="M328" s="55">
        <f t="shared" si="203"/>
        <v>67765.801390394787</v>
      </c>
      <c r="N328" s="70">
        <f t="shared" si="208"/>
        <v>65486.320946330648</v>
      </c>
      <c r="O328" s="54">
        <f t="shared" si="209"/>
        <v>6</v>
      </c>
      <c r="P328" s="71">
        <f t="shared" si="204"/>
        <v>52.083333333333336</v>
      </c>
      <c r="Q328" s="55">
        <f t="shared" si="205"/>
        <v>10914.386824388441</v>
      </c>
      <c r="R328" s="55">
        <f t="shared" si="206"/>
        <v>6574.5315343457805</v>
      </c>
      <c r="S328" s="55">
        <f t="shared" si="207"/>
        <v>0.10039549388847087</v>
      </c>
      <c r="T328" s="55"/>
      <c r="U328" s="241">
        <v>328</v>
      </c>
      <c r="W328" s="273"/>
      <c r="X328" s="273"/>
    </row>
    <row r="329" spans="1:24" ht="15">
      <c r="A329" s="42" t="s">
        <v>215</v>
      </c>
      <c r="B329" s="53" t="s">
        <v>24</v>
      </c>
      <c r="C329" s="253">
        <v>44409</v>
      </c>
      <c r="D329" s="53">
        <v>258</v>
      </c>
      <c r="E329" s="53">
        <v>1.2606999999999999</v>
      </c>
      <c r="F329" s="53">
        <v>1.4807999999999999</v>
      </c>
      <c r="G329" s="53">
        <v>1.3165</v>
      </c>
      <c r="H329" s="53">
        <v>159</v>
      </c>
      <c r="I329" s="53">
        <v>188</v>
      </c>
      <c r="J329" s="53">
        <v>177</v>
      </c>
      <c r="K329" s="55">
        <f t="shared" si="201"/>
        <v>32539.065598477038</v>
      </c>
      <c r="L329" s="55">
        <f t="shared" si="202"/>
        <v>32755.267423014589</v>
      </c>
      <c r="M329" s="55">
        <f t="shared" si="203"/>
        <v>34687.428788454235</v>
      </c>
      <c r="N329" s="70">
        <f t="shared" si="208"/>
        <v>33327.253936648623</v>
      </c>
      <c r="O329" s="54">
        <f t="shared" si="209"/>
        <v>3</v>
      </c>
      <c r="P329" s="71">
        <f t="shared" si="204"/>
        <v>86</v>
      </c>
      <c r="Q329" s="55">
        <f t="shared" si="205"/>
        <v>11109.084645549541</v>
      </c>
      <c r="R329" s="55">
        <f t="shared" si="206"/>
        <v>1182.8958229052382</v>
      </c>
      <c r="S329" s="55">
        <f t="shared" si="207"/>
        <v>3.5493348031427695E-2</v>
      </c>
      <c r="T329" s="55"/>
      <c r="U329" s="241">
        <v>329</v>
      </c>
      <c r="W329" s="273"/>
      <c r="X329" s="273"/>
    </row>
    <row r="330" spans="1:24" ht="15">
      <c r="A330" s="42">
        <v>44553</v>
      </c>
      <c r="B330" s="53" t="s">
        <v>16</v>
      </c>
      <c r="C330" s="253">
        <v>44209</v>
      </c>
      <c r="D330" s="53">
        <v>296</v>
      </c>
      <c r="E330" s="53">
        <v>1.5657000000000001</v>
      </c>
      <c r="F330" s="53">
        <v>1.7202999999999999</v>
      </c>
      <c r="G330" s="53">
        <v>1.5813999999999999</v>
      </c>
      <c r="H330" s="53">
        <v>197</v>
      </c>
      <c r="I330" s="53">
        <v>161</v>
      </c>
      <c r="J330" s="53">
        <v>198</v>
      </c>
      <c r="K330" s="55">
        <f t="shared" si="201"/>
        <v>37243.405505524679</v>
      </c>
      <c r="L330" s="55">
        <f t="shared" si="202"/>
        <v>27702.144974713716</v>
      </c>
      <c r="M330" s="55">
        <f t="shared" si="203"/>
        <v>37060.832174023024</v>
      </c>
      <c r="N330" s="70">
        <f t="shared" si="208"/>
        <v>34002.127551420475</v>
      </c>
      <c r="O330" s="54">
        <f t="shared" si="209"/>
        <v>3</v>
      </c>
      <c r="P330" s="71">
        <f t="shared" si="204"/>
        <v>98.666666666666671</v>
      </c>
      <c r="Q330" s="55">
        <f t="shared" si="205"/>
        <v>11334.042517140158</v>
      </c>
      <c r="R330" s="55">
        <f t="shared" si="206"/>
        <v>5456.7085871842337</v>
      </c>
      <c r="S330" s="55">
        <f t="shared" si="207"/>
        <v>0.16048138690534011</v>
      </c>
      <c r="T330" s="55"/>
      <c r="U330" s="241">
        <v>330</v>
      </c>
      <c r="W330" s="273"/>
      <c r="X330" s="273"/>
    </row>
    <row r="331" spans="1:24" ht="15">
      <c r="A331" s="42">
        <v>44558</v>
      </c>
      <c r="B331" s="53" t="s">
        <v>11</v>
      </c>
      <c r="C331" s="253">
        <v>44209</v>
      </c>
      <c r="D331" s="53">
        <v>158.5</v>
      </c>
      <c r="E331" s="53">
        <v>1.4661</v>
      </c>
      <c r="F331" s="53">
        <v>1.5307999999999999</v>
      </c>
      <c r="G331" s="53">
        <v>1.5111000000000001</v>
      </c>
      <c r="H331" s="53">
        <v>481</v>
      </c>
      <c r="I331" s="53">
        <v>412</v>
      </c>
      <c r="J331" s="53">
        <v>405</v>
      </c>
      <c r="K331" s="55">
        <f t="shared" si="201"/>
        <v>52000.886706227408</v>
      </c>
      <c r="L331" s="55">
        <f t="shared" si="202"/>
        <v>42658.740527828588</v>
      </c>
      <c r="M331" s="55">
        <f t="shared" si="203"/>
        <v>42480.643240023819</v>
      </c>
      <c r="N331" s="70">
        <f t="shared" si="208"/>
        <v>45713.423491359943</v>
      </c>
      <c r="O331" s="54">
        <f t="shared" si="209"/>
        <v>4</v>
      </c>
      <c r="P331" s="71">
        <f t="shared" si="204"/>
        <v>39.625</v>
      </c>
      <c r="Q331" s="55">
        <f t="shared" si="205"/>
        <v>11428.355872839986</v>
      </c>
      <c r="R331" s="55">
        <f t="shared" si="206"/>
        <v>5445.8309668694765</v>
      </c>
      <c r="S331" s="55">
        <f t="shared" si="207"/>
        <v>0.11912979932248488</v>
      </c>
      <c r="T331" s="55"/>
      <c r="U331" s="241">
        <v>331</v>
      </c>
      <c r="W331" s="273"/>
      <c r="X331" s="273"/>
    </row>
    <row r="332" spans="1:24" ht="15">
      <c r="A332" s="42">
        <v>44558</v>
      </c>
      <c r="B332" s="53" t="s">
        <v>8</v>
      </c>
      <c r="C332" s="253">
        <v>44209</v>
      </c>
      <c r="D332" s="53">
        <v>402</v>
      </c>
      <c r="E332" s="53">
        <v>1.5246</v>
      </c>
      <c r="F332" s="53">
        <v>1.5094000000000001</v>
      </c>
      <c r="G332" s="53">
        <v>1.7654000000000001</v>
      </c>
      <c r="H332" s="53">
        <v>153</v>
      </c>
      <c r="I332" s="53">
        <v>177</v>
      </c>
      <c r="J332" s="53">
        <v>182</v>
      </c>
      <c r="K332" s="55">
        <f t="shared" si="201"/>
        <v>40342.384887839435</v>
      </c>
      <c r="L332" s="55">
        <f t="shared" si="202"/>
        <v>47140.585663177422</v>
      </c>
      <c r="M332" s="55">
        <f t="shared" si="203"/>
        <v>41443.298969072166</v>
      </c>
      <c r="N332" s="70">
        <f t="shared" si="208"/>
        <v>42975.423173363008</v>
      </c>
      <c r="O332" s="54">
        <f t="shared" si="209"/>
        <v>4</v>
      </c>
      <c r="P332" s="71">
        <f t="shared" si="204"/>
        <v>100.5</v>
      </c>
      <c r="Q332" s="55">
        <f t="shared" si="205"/>
        <v>10743.855793340752</v>
      </c>
      <c r="R332" s="55">
        <f t="shared" si="206"/>
        <v>3648.8952956315266</v>
      </c>
      <c r="S332" s="55">
        <f t="shared" si="207"/>
        <v>8.4906558823443584E-2</v>
      </c>
      <c r="T332" s="55"/>
      <c r="U332" s="241">
        <v>332</v>
      </c>
      <c r="W332" s="273"/>
      <c r="X332" s="273"/>
    </row>
    <row r="333" spans="1:24" ht="15">
      <c r="A333" s="42">
        <v>44558</v>
      </c>
      <c r="B333" s="53" t="s">
        <v>8</v>
      </c>
      <c r="C333" s="253">
        <v>44211</v>
      </c>
      <c r="D333" s="53">
        <v>420</v>
      </c>
      <c r="E333" s="53">
        <v>1.3704000000000001</v>
      </c>
      <c r="F333" s="53">
        <v>1.3465</v>
      </c>
      <c r="G333" s="53">
        <v>1.3613999999999999</v>
      </c>
      <c r="H333" s="53">
        <v>130</v>
      </c>
      <c r="I333" s="53">
        <v>137</v>
      </c>
      <c r="J333" s="53">
        <v>129</v>
      </c>
      <c r="K333" s="55">
        <f t="shared" si="201"/>
        <v>39842.381786339749</v>
      </c>
      <c r="L333" s="55">
        <f t="shared" si="202"/>
        <v>42733.011511325654</v>
      </c>
      <c r="M333" s="55">
        <f t="shared" si="203"/>
        <v>39797.267518730718</v>
      </c>
      <c r="N333" s="70">
        <f t="shared" si="208"/>
        <v>40790.886938798707</v>
      </c>
      <c r="O333" s="54">
        <v>4</v>
      </c>
      <c r="P333" s="71">
        <f t="shared" si="204"/>
        <v>105</v>
      </c>
      <c r="Q333" s="55">
        <f t="shared" si="205"/>
        <v>10197.721734699677</v>
      </c>
      <c r="R333" s="55">
        <f t="shared" si="206"/>
        <v>1682.0804724195593</v>
      </c>
      <c r="S333" s="55">
        <f t="shared" si="207"/>
        <v>4.1236673155533414E-2</v>
      </c>
      <c r="T333" s="55"/>
      <c r="U333" s="241">
        <v>333</v>
      </c>
      <c r="W333" s="273"/>
      <c r="X333" s="273"/>
    </row>
    <row r="334" spans="1:24" ht="15">
      <c r="A334" s="42">
        <v>44558</v>
      </c>
      <c r="B334" s="53" t="s">
        <v>24</v>
      </c>
      <c r="C334" s="253">
        <v>44211</v>
      </c>
      <c r="D334" s="53">
        <v>376</v>
      </c>
      <c r="E334" s="53">
        <v>1.4603999999999999</v>
      </c>
      <c r="F334" s="53">
        <v>1.3303</v>
      </c>
      <c r="G334" s="53">
        <v>1.3916999999999999</v>
      </c>
      <c r="H334" s="53">
        <v>212</v>
      </c>
      <c r="I334" s="53">
        <v>186</v>
      </c>
      <c r="J334" s="53">
        <v>190</v>
      </c>
      <c r="K334" s="55">
        <f t="shared" si="201"/>
        <v>54582.306217474666</v>
      </c>
      <c r="L334" s="55">
        <f t="shared" si="202"/>
        <v>52571.600390889274</v>
      </c>
      <c r="M334" s="55">
        <f t="shared" si="203"/>
        <v>51332.902205935185</v>
      </c>
      <c r="N334" s="70">
        <f t="shared" si="208"/>
        <v>52828.936271433042</v>
      </c>
      <c r="O334" s="54">
        <f t="shared" si="209"/>
        <v>5</v>
      </c>
      <c r="P334" s="71">
        <f t="shared" si="204"/>
        <v>75.2</v>
      </c>
      <c r="Q334" s="55">
        <f t="shared" si="205"/>
        <v>10565.787254286608</v>
      </c>
      <c r="R334" s="55">
        <f t="shared" si="206"/>
        <v>1639.9155234687078</v>
      </c>
      <c r="S334" s="55">
        <f t="shared" si="207"/>
        <v>3.1041994013335513E-2</v>
      </c>
      <c r="T334" s="55"/>
      <c r="U334" s="241">
        <v>334</v>
      </c>
      <c r="W334" s="273"/>
      <c r="X334" s="273"/>
    </row>
    <row r="335" spans="1:24" ht="15">
      <c r="A335" s="42">
        <v>44558</v>
      </c>
      <c r="B335" s="53" t="s">
        <v>8</v>
      </c>
      <c r="C335" s="253">
        <v>44211</v>
      </c>
      <c r="D335" s="53">
        <v>474.5</v>
      </c>
      <c r="E335" s="53">
        <v>1.3231999999999999</v>
      </c>
      <c r="F335" s="53">
        <v>1.306</v>
      </c>
      <c r="G335" s="53">
        <v>1.3012999999999999</v>
      </c>
      <c r="H335" s="53">
        <v>105</v>
      </c>
      <c r="I335" s="53">
        <v>111</v>
      </c>
      <c r="J335" s="53">
        <v>102</v>
      </c>
      <c r="K335" s="55">
        <f t="shared" si="201"/>
        <v>37653.038089480047</v>
      </c>
      <c r="L335" s="55">
        <f t="shared" si="202"/>
        <v>40328.866768759566</v>
      </c>
      <c r="M335" s="55">
        <f t="shared" si="203"/>
        <v>37192.807192807195</v>
      </c>
      <c r="N335" s="70">
        <f t="shared" si="208"/>
        <v>38391.570683682272</v>
      </c>
      <c r="O335" s="54">
        <f t="shared" si="209"/>
        <v>3</v>
      </c>
      <c r="P335" s="71">
        <f t="shared" si="204"/>
        <v>158.16666666666666</v>
      </c>
      <c r="Q335" s="55">
        <f t="shared" si="205"/>
        <v>12797.190227894091</v>
      </c>
      <c r="R335" s="55">
        <f t="shared" si="206"/>
        <v>1693.4551102715832</v>
      </c>
      <c r="S335" s="55">
        <f t="shared" si="207"/>
        <v>4.4110076251487135E-2</v>
      </c>
      <c r="T335" s="55"/>
      <c r="U335" s="241">
        <v>335</v>
      </c>
      <c r="W335" s="273"/>
      <c r="X335" s="273"/>
    </row>
    <row r="336" spans="1:24" ht="15">
      <c r="A336" s="42">
        <v>44558</v>
      </c>
      <c r="B336" s="53" t="s">
        <v>24</v>
      </c>
      <c r="C336" s="253">
        <v>44211</v>
      </c>
      <c r="D336" s="53">
        <v>417</v>
      </c>
      <c r="E336" s="53">
        <v>1.3420000000000001</v>
      </c>
      <c r="F336" s="53">
        <v>1.3531</v>
      </c>
      <c r="G336" s="53">
        <v>1.3185</v>
      </c>
      <c r="H336" s="53">
        <v>254</v>
      </c>
      <c r="I336" s="53">
        <v>258</v>
      </c>
      <c r="J336" s="53">
        <v>260</v>
      </c>
      <c r="K336" s="55">
        <f t="shared" si="201"/>
        <v>78925.484351713851</v>
      </c>
      <c r="L336" s="55">
        <f t="shared" si="202"/>
        <v>79510.753085507356</v>
      </c>
      <c r="M336" s="55">
        <f t="shared" si="203"/>
        <v>82229.806598407275</v>
      </c>
      <c r="N336" s="70">
        <f t="shared" si="208"/>
        <v>80222.014678542837</v>
      </c>
      <c r="O336" s="54">
        <f t="shared" si="209"/>
        <v>8</v>
      </c>
      <c r="P336" s="71">
        <f t="shared" si="204"/>
        <v>52.125</v>
      </c>
      <c r="Q336" s="55">
        <f t="shared" si="205"/>
        <v>10027.751834817855</v>
      </c>
      <c r="R336" s="55">
        <f t="shared" si="206"/>
        <v>1763.2515894771757</v>
      </c>
      <c r="S336" s="55">
        <f t="shared" si="207"/>
        <v>2.1979647314302575E-2</v>
      </c>
      <c r="T336" s="55"/>
      <c r="U336" s="241">
        <v>336</v>
      </c>
      <c r="W336" s="273"/>
      <c r="X336" s="273"/>
    </row>
    <row r="337" spans="1:24" ht="15">
      <c r="A337" s="42">
        <v>44558</v>
      </c>
      <c r="B337" s="53" t="s">
        <v>16</v>
      </c>
      <c r="D337" s="53">
        <v>695</v>
      </c>
      <c r="E337" s="53">
        <v>1.6835</v>
      </c>
      <c r="F337" s="53">
        <v>1.458</v>
      </c>
      <c r="G337" s="53">
        <v>1.5027999999999999</v>
      </c>
      <c r="H337" s="53">
        <v>284</v>
      </c>
      <c r="I337" s="53">
        <v>255</v>
      </c>
      <c r="J337" s="53">
        <v>259</v>
      </c>
      <c r="K337" s="55">
        <f t="shared" si="201"/>
        <v>117243.83724383725</v>
      </c>
      <c r="L337" s="55">
        <f t="shared" si="202"/>
        <v>121553.49794238682</v>
      </c>
      <c r="M337" s="55">
        <f t="shared" si="203"/>
        <v>119779.74447697632</v>
      </c>
      <c r="N337" s="70">
        <f t="shared" si="208"/>
        <v>119525.6932210668</v>
      </c>
      <c r="O337" s="54">
        <f t="shared" si="209"/>
        <v>11</v>
      </c>
      <c r="P337" s="71">
        <f t="shared" si="204"/>
        <v>63.18181818181818</v>
      </c>
      <c r="Q337" s="55">
        <f t="shared" si="205"/>
        <v>10865.972111006073</v>
      </c>
      <c r="R337" s="55">
        <f t="shared" si="206"/>
        <v>2166.0333249116015</v>
      </c>
      <c r="S337" s="55">
        <f t="shared" si="207"/>
        <v>1.8121905563061241E-2</v>
      </c>
      <c r="T337" s="55"/>
      <c r="U337" s="241">
        <v>337</v>
      </c>
      <c r="W337" s="273"/>
      <c r="X337" s="273"/>
    </row>
    <row r="338" spans="1:24" ht="15">
      <c r="A338" s="42">
        <v>44201</v>
      </c>
      <c r="B338" s="53" t="s">
        <v>8</v>
      </c>
      <c r="D338" s="53">
        <v>143</v>
      </c>
      <c r="E338" s="53">
        <v>1.5849</v>
      </c>
      <c r="F338" s="53">
        <v>1.7644</v>
      </c>
      <c r="G338" s="53">
        <v>1.3431999999999999</v>
      </c>
      <c r="H338" s="53">
        <v>280</v>
      </c>
      <c r="I338" s="53">
        <v>370</v>
      </c>
      <c r="J338" s="53">
        <v>256</v>
      </c>
      <c r="K338" s="55">
        <f t="shared" si="201"/>
        <v>25263.423559846047</v>
      </c>
      <c r="L338" s="55">
        <f t="shared" si="202"/>
        <v>29987.531172069823</v>
      </c>
      <c r="M338" s="55">
        <f t="shared" si="203"/>
        <v>27254.318046456225</v>
      </c>
      <c r="N338" s="70">
        <f t="shared" si="208"/>
        <v>27501.757592790702</v>
      </c>
      <c r="O338" s="54">
        <f t="shared" si="209"/>
        <v>2</v>
      </c>
      <c r="P338" s="71">
        <f t="shared" si="204"/>
        <v>71.5</v>
      </c>
      <c r="Q338" s="55">
        <f t="shared" si="205"/>
        <v>13750.878796395351</v>
      </c>
      <c r="R338" s="55">
        <f t="shared" si="206"/>
        <v>2371.7541883140657</v>
      </c>
      <c r="S338" s="55">
        <f t="shared" si="207"/>
        <v>8.6240095030718916E-2</v>
      </c>
      <c r="T338" s="55"/>
      <c r="U338" s="241">
        <v>338</v>
      </c>
      <c r="W338" s="273"/>
      <c r="X338" s="273"/>
    </row>
    <row r="339" spans="1:24" ht="15">
      <c r="A339" s="42">
        <v>44217</v>
      </c>
      <c r="B339" s="53" t="s">
        <v>24</v>
      </c>
      <c r="D339" s="53">
        <v>140.5</v>
      </c>
      <c r="E339" s="53">
        <v>1.0109999999999999</v>
      </c>
      <c r="F339" s="53">
        <v>1.3792</v>
      </c>
      <c r="G339" s="53">
        <v>1.1371</v>
      </c>
      <c r="H339" s="53">
        <v>195</v>
      </c>
      <c r="I339" s="53">
        <v>338</v>
      </c>
      <c r="J339" s="53">
        <v>268</v>
      </c>
      <c r="K339" s="55">
        <f t="shared" si="201"/>
        <v>27099.406528189913</v>
      </c>
      <c r="L339" s="55">
        <f t="shared" si="202"/>
        <v>34432.279582366587</v>
      </c>
      <c r="M339" s="55">
        <f t="shared" si="203"/>
        <v>33114.062087767124</v>
      </c>
      <c r="N339" s="70">
        <f t="shared" si="208"/>
        <v>31548.582732774539</v>
      </c>
      <c r="O339" s="54">
        <f t="shared" si="209"/>
        <v>3</v>
      </c>
      <c r="P339" s="71">
        <f t="shared" si="204"/>
        <v>46.833333333333336</v>
      </c>
      <c r="Q339" s="55">
        <f t="shared" si="205"/>
        <v>10516.19424425818</v>
      </c>
      <c r="R339" s="55">
        <f t="shared" si="206"/>
        <v>3909.0665145720754</v>
      </c>
      <c r="S339" s="55">
        <f t="shared" si="207"/>
        <v>0.12390624795043821</v>
      </c>
      <c r="T339" s="55"/>
      <c r="U339" s="241">
        <v>339</v>
      </c>
      <c r="W339" s="273"/>
      <c r="X339" s="273"/>
    </row>
    <row r="340" spans="1:24" ht="15">
      <c r="A340" s="42">
        <v>44209</v>
      </c>
      <c r="B340" s="53" t="s">
        <v>8</v>
      </c>
      <c r="D340" s="53">
        <v>256</v>
      </c>
      <c r="K340" s="55">
        <v>33619.773786053636</v>
      </c>
      <c r="L340" s="55">
        <v>33619.773786053636</v>
      </c>
      <c r="M340" s="55">
        <v>33619.773786053636</v>
      </c>
      <c r="N340" s="70">
        <f t="shared" si="208"/>
        <v>33619.773786053636</v>
      </c>
      <c r="O340" s="54">
        <f t="shared" si="209"/>
        <v>3</v>
      </c>
      <c r="P340" s="71">
        <f t="shared" si="204"/>
        <v>85.333333333333329</v>
      </c>
      <c r="Q340" s="55">
        <f t="shared" si="205"/>
        <v>11206.591262017879</v>
      </c>
      <c r="R340" s="55">
        <f t="shared" si="206"/>
        <v>0</v>
      </c>
      <c r="S340" s="55">
        <f t="shared" si="207"/>
        <v>0</v>
      </c>
      <c r="T340" s="55"/>
      <c r="U340" s="241">
        <v>340</v>
      </c>
      <c r="V340" s="53" t="s">
        <v>28</v>
      </c>
      <c r="W340" s="273"/>
      <c r="X340" s="273"/>
    </row>
    <row r="341" spans="1:24" ht="15">
      <c r="A341" s="42"/>
      <c r="K341" s="55" t="e">
        <f t="shared" si="201"/>
        <v>#DIV/0!</v>
      </c>
      <c r="L341" s="55" t="e">
        <f t="shared" si="202"/>
        <v>#DIV/0!</v>
      </c>
      <c r="M341" s="55" t="e">
        <f t="shared" si="203"/>
        <v>#DIV/0!</v>
      </c>
      <c r="N341" s="70" t="e">
        <f t="shared" si="208"/>
        <v>#DIV/0!</v>
      </c>
      <c r="O341" s="54" t="e">
        <f t="shared" si="209"/>
        <v>#DIV/0!</v>
      </c>
      <c r="P341" s="71" t="e">
        <f t="shared" si="204"/>
        <v>#DIV/0!</v>
      </c>
      <c r="Q341" s="55" t="e">
        <f t="shared" si="205"/>
        <v>#DIV/0!</v>
      </c>
      <c r="R341" s="55" t="e">
        <f t="shared" si="206"/>
        <v>#DIV/0!</v>
      </c>
      <c r="S341" s="55" t="e">
        <f t="shared" si="207"/>
        <v>#DIV/0!</v>
      </c>
      <c r="T341" s="55"/>
      <c r="U341" s="241">
        <v>341</v>
      </c>
      <c r="W341" s="273"/>
      <c r="X341" s="273"/>
    </row>
    <row r="342" spans="1:24" ht="15">
      <c r="A342" s="42"/>
      <c r="K342" s="55" t="e">
        <f t="shared" si="201"/>
        <v>#DIV/0!</v>
      </c>
      <c r="L342" s="55" t="e">
        <f t="shared" si="202"/>
        <v>#DIV/0!</v>
      </c>
      <c r="M342" s="55" t="e">
        <f t="shared" si="203"/>
        <v>#DIV/0!</v>
      </c>
      <c r="N342" s="70" t="e">
        <f t="shared" si="208"/>
        <v>#DIV/0!</v>
      </c>
      <c r="O342" s="54" t="e">
        <f t="shared" si="209"/>
        <v>#DIV/0!</v>
      </c>
      <c r="P342" s="71" t="e">
        <f t="shared" si="204"/>
        <v>#DIV/0!</v>
      </c>
      <c r="Q342" s="55" t="e">
        <f t="shared" si="205"/>
        <v>#DIV/0!</v>
      </c>
      <c r="R342" s="55" t="e">
        <f t="shared" si="206"/>
        <v>#DIV/0!</v>
      </c>
      <c r="S342" s="55" t="e">
        <f t="shared" si="207"/>
        <v>#DIV/0!</v>
      </c>
      <c r="T342" s="55"/>
      <c r="U342" s="241">
        <v>342</v>
      </c>
      <c r="W342" s="273"/>
      <c r="X342" s="273"/>
    </row>
    <row r="343" spans="1:24" ht="15">
      <c r="A343" s="42"/>
      <c r="K343" s="55" t="e">
        <f t="shared" si="201"/>
        <v>#DIV/0!</v>
      </c>
      <c r="L343" s="55" t="e">
        <f t="shared" si="202"/>
        <v>#DIV/0!</v>
      </c>
      <c r="M343" s="55" t="e">
        <f t="shared" si="203"/>
        <v>#DIV/0!</v>
      </c>
      <c r="N343" s="70" t="e">
        <f t="shared" si="208"/>
        <v>#DIV/0!</v>
      </c>
      <c r="O343" s="54" t="e">
        <f t="shared" si="209"/>
        <v>#DIV/0!</v>
      </c>
      <c r="P343" s="71" t="e">
        <f t="shared" si="204"/>
        <v>#DIV/0!</v>
      </c>
      <c r="Q343" s="55" t="e">
        <f t="shared" si="205"/>
        <v>#DIV/0!</v>
      </c>
      <c r="R343" s="55" t="e">
        <f t="shared" si="206"/>
        <v>#DIV/0!</v>
      </c>
      <c r="S343" s="55" t="e">
        <f t="shared" si="207"/>
        <v>#DIV/0!</v>
      </c>
      <c r="T343" s="55"/>
      <c r="U343" s="241">
        <v>343</v>
      </c>
      <c r="W343" s="273"/>
      <c r="X343" s="273"/>
    </row>
    <row r="344" spans="1:24" ht="15">
      <c r="A344" s="42"/>
      <c r="K344" s="55" t="e">
        <f t="shared" si="201"/>
        <v>#DIV/0!</v>
      </c>
      <c r="L344" s="55" t="e">
        <f t="shared" si="202"/>
        <v>#DIV/0!</v>
      </c>
      <c r="M344" s="55" t="e">
        <f t="shared" si="203"/>
        <v>#DIV/0!</v>
      </c>
      <c r="N344" s="70" t="e">
        <f t="shared" si="208"/>
        <v>#DIV/0!</v>
      </c>
      <c r="O344" s="54" t="e">
        <f t="shared" si="209"/>
        <v>#DIV/0!</v>
      </c>
      <c r="P344" s="71" t="e">
        <f t="shared" si="204"/>
        <v>#DIV/0!</v>
      </c>
      <c r="Q344" s="55" t="e">
        <f t="shared" si="205"/>
        <v>#DIV/0!</v>
      </c>
      <c r="R344" s="55" t="e">
        <f t="shared" si="206"/>
        <v>#DIV/0!</v>
      </c>
      <c r="S344" s="55" t="e">
        <f t="shared" si="207"/>
        <v>#DIV/0!</v>
      </c>
      <c r="T344" s="55"/>
      <c r="U344" s="241">
        <v>344</v>
      </c>
      <c r="W344" s="273"/>
      <c r="X344" s="273"/>
    </row>
    <row r="345" spans="1:24" ht="15">
      <c r="A345" s="42"/>
      <c r="K345" s="55" t="e">
        <f t="shared" si="201"/>
        <v>#DIV/0!</v>
      </c>
      <c r="L345" s="55" t="e">
        <f t="shared" si="202"/>
        <v>#DIV/0!</v>
      </c>
      <c r="M345" s="55" t="e">
        <f t="shared" si="203"/>
        <v>#DIV/0!</v>
      </c>
      <c r="N345" s="70" t="e">
        <f t="shared" si="208"/>
        <v>#DIV/0!</v>
      </c>
      <c r="O345" s="54" t="e">
        <f t="shared" si="209"/>
        <v>#DIV/0!</v>
      </c>
      <c r="P345" s="71" t="e">
        <f t="shared" si="204"/>
        <v>#DIV/0!</v>
      </c>
      <c r="Q345" s="55" t="e">
        <f t="shared" si="205"/>
        <v>#DIV/0!</v>
      </c>
      <c r="R345" s="55" t="e">
        <f t="shared" si="206"/>
        <v>#DIV/0!</v>
      </c>
      <c r="S345" s="55" t="e">
        <f t="shared" si="207"/>
        <v>#DIV/0!</v>
      </c>
      <c r="T345" s="55"/>
      <c r="U345" s="241">
        <v>345</v>
      </c>
      <c r="W345" s="273"/>
      <c r="X345" s="273"/>
    </row>
    <row r="346" spans="1:24" ht="15">
      <c r="A346" s="42"/>
      <c r="K346" s="55" t="e">
        <f t="shared" si="201"/>
        <v>#DIV/0!</v>
      </c>
      <c r="L346" s="55" t="e">
        <f t="shared" si="202"/>
        <v>#DIV/0!</v>
      </c>
      <c r="M346" s="55" t="e">
        <f t="shared" si="203"/>
        <v>#DIV/0!</v>
      </c>
      <c r="N346" s="70" t="e">
        <f t="shared" si="208"/>
        <v>#DIV/0!</v>
      </c>
      <c r="O346" s="54" t="e">
        <f t="shared" si="209"/>
        <v>#DIV/0!</v>
      </c>
      <c r="P346" s="71" t="e">
        <f t="shared" si="204"/>
        <v>#DIV/0!</v>
      </c>
      <c r="Q346" s="55" t="e">
        <f t="shared" si="205"/>
        <v>#DIV/0!</v>
      </c>
      <c r="R346" s="55" t="e">
        <f t="shared" si="206"/>
        <v>#DIV/0!</v>
      </c>
      <c r="S346" s="55" t="e">
        <f t="shared" si="207"/>
        <v>#DIV/0!</v>
      </c>
      <c r="T346" s="55"/>
      <c r="U346" s="241">
        <v>346</v>
      </c>
      <c r="W346" s="273"/>
      <c r="X346" s="273"/>
    </row>
    <row r="347" spans="1:24" ht="15">
      <c r="A347" s="42"/>
      <c r="K347" s="55" t="e">
        <f t="shared" si="201"/>
        <v>#DIV/0!</v>
      </c>
      <c r="L347" s="55" t="e">
        <f t="shared" si="202"/>
        <v>#DIV/0!</v>
      </c>
      <c r="M347" s="55" t="e">
        <f t="shared" si="203"/>
        <v>#DIV/0!</v>
      </c>
      <c r="N347" s="70" t="e">
        <f t="shared" si="208"/>
        <v>#DIV/0!</v>
      </c>
      <c r="O347" s="54" t="e">
        <f t="shared" si="209"/>
        <v>#DIV/0!</v>
      </c>
      <c r="P347" s="71" t="e">
        <f t="shared" si="204"/>
        <v>#DIV/0!</v>
      </c>
      <c r="Q347" s="55" t="e">
        <f t="shared" si="205"/>
        <v>#DIV/0!</v>
      </c>
      <c r="R347" s="55" t="e">
        <f t="shared" si="206"/>
        <v>#DIV/0!</v>
      </c>
      <c r="S347" s="55" t="e">
        <f t="shared" si="207"/>
        <v>#DIV/0!</v>
      </c>
      <c r="T347" s="55"/>
      <c r="U347" s="241">
        <v>347</v>
      </c>
      <c r="W347" s="273"/>
      <c r="X347" s="273"/>
    </row>
    <row r="348" spans="1:24" ht="15">
      <c r="A348" s="42"/>
      <c r="K348" s="55" t="e">
        <f t="shared" si="201"/>
        <v>#DIV/0!</v>
      </c>
      <c r="L348" s="55" t="e">
        <f t="shared" si="202"/>
        <v>#DIV/0!</v>
      </c>
      <c r="M348" s="55" t="e">
        <f t="shared" si="203"/>
        <v>#DIV/0!</v>
      </c>
      <c r="N348" s="70" t="e">
        <f t="shared" si="208"/>
        <v>#DIV/0!</v>
      </c>
      <c r="O348" s="54" t="e">
        <f t="shared" si="209"/>
        <v>#DIV/0!</v>
      </c>
      <c r="P348" s="71" t="e">
        <f t="shared" si="204"/>
        <v>#DIV/0!</v>
      </c>
      <c r="Q348" s="55" t="e">
        <f t="shared" si="205"/>
        <v>#DIV/0!</v>
      </c>
      <c r="R348" s="55" t="e">
        <f t="shared" si="206"/>
        <v>#DIV/0!</v>
      </c>
      <c r="S348" s="55" t="e">
        <f t="shared" si="207"/>
        <v>#DIV/0!</v>
      </c>
      <c r="T348" s="55"/>
      <c r="U348" s="241">
        <v>348</v>
      </c>
      <c r="W348" s="273"/>
      <c r="X348" s="273"/>
    </row>
    <row r="349" spans="1:24" ht="15">
      <c r="A349" s="42"/>
      <c r="K349" s="55" t="e">
        <f t="shared" si="201"/>
        <v>#DIV/0!</v>
      </c>
      <c r="L349" s="55" t="e">
        <f t="shared" si="202"/>
        <v>#DIV/0!</v>
      </c>
      <c r="M349" s="55" t="e">
        <f t="shared" si="203"/>
        <v>#DIV/0!</v>
      </c>
      <c r="N349" s="70" t="e">
        <f t="shared" si="208"/>
        <v>#DIV/0!</v>
      </c>
      <c r="O349" s="54" t="e">
        <f t="shared" si="209"/>
        <v>#DIV/0!</v>
      </c>
      <c r="P349" s="71" t="e">
        <f t="shared" si="204"/>
        <v>#DIV/0!</v>
      </c>
      <c r="Q349" s="55" t="e">
        <f t="shared" si="205"/>
        <v>#DIV/0!</v>
      </c>
      <c r="R349" s="55" t="e">
        <f t="shared" si="206"/>
        <v>#DIV/0!</v>
      </c>
      <c r="S349" s="55" t="e">
        <f t="shared" si="207"/>
        <v>#DIV/0!</v>
      </c>
      <c r="T349" s="55"/>
      <c r="U349" s="241">
        <v>349</v>
      </c>
      <c r="W349" s="273"/>
      <c r="X349" s="273"/>
    </row>
    <row r="350" spans="1:24" ht="15">
      <c r="A350" s="42"/>
      <c r="K350" s="55" t="e">
        <f t="shared" si="201"/>
        <v>#DIV/0!</v>
      </c>
      <c r="L350" s="55" t="e">
        <f t="shared" si="202"/>
        <v>#DIV/0!</v>
      </c>
      <c r="M350" s="55" t="e">
        <f t="shared" si="203"/>
        <v>#DIV/0!</v>
      </c>
      <c r="N350" s="70" t="e">
        <f t="shared" si="208"/>
        <v>#DIV/0!</v>
      </c>
      <c r="O350" s="54" t="e">
        <f t="shared" si="209"/>
        <v>#DIV/0!</v>
      </c>
      <c r="P350" s="71" t="e">
        <f t="shared" si="204"/>
        <v>#DIV/0!</v>
      </c>
      <c r="Q350" s="55" t="e">
        <f t="shared" si="205"/>
        <v>#DIV/0!</v>
      </c>
      <c r="R350" s="55" t="e">
        <f t="shared" si="206"/>
        <v>#DIV/0!</v>
      </c>
      <c r="S350" s="55" t="e">
        <f t="shared" si="207"/>
        <v>#DIV/0!</v>
      </c>
      <c r="T350" s="55"/>
      <c r="U350" s="241">
        <v>350</v>
      </c>
      <c r="W350" s="273"/>
      <c r="X350" s="273"/>
    </row>
    <row r="351" spans="1:24" ht="12.75">
      <c r="A351" s="42"/>
      <c r="N351" s="54"/>
      <c r="O351" s="54"/>
      <c r="P351" s="54"/>
      <c r="Q351" s="92"/>
      <c r="R351" s="55"/>
      <c r="S351" s="55"/>
      <c r="T351" s="55"/>
      <c r="U351" s="55"/>
      <c r="W351" s="273"/>
      <c r="X351" s="273"/>
    </row>
    <row r="352" spans="1:24" ht="12.75">
      <c r="A352" s="42"/>
      <c r="N352" s="54"/>
      <c r="O352" s="54"/>
      <c r="P352" s="54"/>
      <c r="Q352" s="92"/>
      <c r="R352" s="55"/>
      <c r="S352" s="55"/>
      <c r="T352" s="55"/>
      <c r="U352" s="55"/>
      <c r="W352" s="273"/>
      <c r="X352" s="273"/>
    </row>
    <row r="353" spans="1:24" ht="12.75">
      <c r="A353" s="42"/>
      <c r="N353" s="54"/>
      <c r="O353" s="54"/>
      <c r="P353" s="54"/>
      <c r="Q353" s="92"/>
      <c r="R353" s="55"/>
      <c r="S353" s="55"/>
      <c r="T353" s="55"/>
      <c r="U353" s="55"/>
      <c r="W353" s="273"/>
      <c r="X353" s="273"/>
    </row>
    <row r="354" spans="1:24" s="267" customFormat="1" ht="12.75">
      <c r="S354" s="268"/>
      <c r="T354" s="269"/>
    </row>
    <row r="355" spans="1:24" s="267" customFormat="1" ht="12.75">
      <c r="S355" s="268"/>
      <c r="T355" s="269"/>
    </row>
    <row r="356" spans="1:24" ht="12.75">
      <c r="A356" s="42"/>
      <c r="N356" s="54"/>
      <c r="O356" s="54"/>
      <c r="P356" s="54"/>
      <c r="Q356" s="92"/>
      <c r="R356" s="55"/>
      <c r="S356" s="55"/>
      <c r="T356" s="55"/>
      <c r="U356" s="55"/>
      <c r="W356" s="273"/>
      <c r="X356" s="273"/>
    </row>
    <row r="357" spans="1:24" ht="12.75">
      <c r="A357" s="42"/>
      <c r="N357" s="54"/>
      <c r="O357" s="54"/>
      <c r="P357" s="54"/>
      <c r="Q357" s="92"/>
      <c r="R357" s="55"/>
      <c r="S357" s="55"/>
      <c r="T357" s="55"/>
      <c r="U357" s="55"/>
      <c r="W357" s="273"/>
      <c r="X357" s="273"/>
    </row>
    <row r="358" spans="1:24" ht="12.75">
      <c r="A358" s="42"/>
      <c r="N358" s="54"/>
      <c r="O358" s="54"/>
      <c r="P358" s="54"/>
      <c r="Q358" s="92"/>
      <c r="R358" s="55"/>
      <c r="S358" s="55"/>
      <c r="T358" s="55"/>
      <c r="U358" s="55"/>
      <c r="W358" s="273"/>
      <c r="X358" s="273"/>
    </row>
    <row r="359" spans="1:24" ht="12.75">
      <c r="A359" s="42"/>
      <c r="N359" s="54"/>
      <c r="O359" s="54"/>
      <c r="P359" s="54"/>
      <c r="Q359" s="92"/>
      <c r="R359" s="55"/>
      <c r="S359" s="55"/>
      <c r="T359" s="55"/>
      <c r="U359" s="55"/>
      <c r="W359" s="273"/>
      <c r="X359" s="273"/>
    </row>
    <row r="360" spans="1:24" ht="12.75">
      <c r="A360" s="44"/>
      <c r="N360" s="54"/>
      <c r="O360" s="54"/>
      <c r="P360" s="54"/>
      <c r="Q360" s="92"/>
      <c r="R360" s="55"/>
      <c r="S360" s="55"/>
      <c r="T360" s="55"/>
      <c r="U360" s="55"/>
      <c r="W360" s="273"/>
      <c r="X360" s="273"/>
    </row>
    <row r="361" spans="1:24" ht="12.75">
      <c r="A361" s="44"/>
      <c r="N361" s="54"/>
      <c r="O361" s="54"/>
      <c r="P361" s="54"/>
      <c r="Q361" s="92"/>
      <c r="R361" s="55"/>
      <c r="S361" s="55"/>
      <c r="T361" s="55"/>
      <c r="U361" s="55"/>
      <c r="W361" s="273"/>
      <c r="X361" s="273"/>
    </row>
    <row r="362" spans="1:24" ht="12.75">
      <c r="A362" s="44"/>
      <c r="N362" s="54"/>
      <c r="O362" s="54"/>
      <c r="P362" s="54"/>
      <c r="Q362" s="92"/>
      <c r="R362" s="55"/>
      <c r="S362" s="55"/>
      <c r="T362" s="55"/>
      <c r="U362" s="55"/>
      <c r="W362" s="273"/>
      <c r="X362" s="273"/>
    </row>
    <row r="363" spans="1:24" ht="12.75">
      <c r="A363" s="44"/>
      <c r="N363" s="54"/>
      <c r="O363" s="54"/>
      <c r="P363" s="54"/>
      <c r="Q363" s="92"/>
      <c r="R363" s="55"/>
      <c r="S363" s="55"/>
      <c r="T363" s="55"/>
      <c r="U363" s="55"/>
      <c r="W363" s="273"/>
      <c r="X363" s="273"/>
    </row>
    <row r="364" spans="1:24" ht="12.75">
      <c r="A364" s="44"/>
      <c r="N364" s="54"/>
      <c r="O364" s="54"/>
      <c r="P364" s="54"/>
      <c r="Q364" s="92"/>
      <c r="R364" s="55"/>
      <c r="S364" s="55"/>
      <c r="T364" s="55"/>
      <c r="U364" s="55"/>
      <c r="W364" s="273"/>
      <c r="X364" s="273"/>
    </row>
    <row r="365" spans="1:24" ht="12.75">
      <c r="A365" s="44"/>
      <c r="N365" s="54"/>
      <c r="O365" s="54"/>
      <c r="P365" s="54"/>
      <c r="Q365" s="92"/>
      <c r="R365" s="55"/>
      <c r="S365" s="55"/>
      <c r="T365" s="55"/>
      <c r="U365" s="55"/>
      <c r="W365" s="273"/>
      <c r="X365" s="273"/>
    </row>
    <row r="366" spans="1:24" ht="12.75">
      <c r="A366" s="44"/>
      <c r="N366" s="54"/>
      <c r="O366" s="54"/>
      <c r="P366" s="54"/>
      <c r="Q366" s="92"/>
      <c r="R366" s="55"/>
      <c r="S366" s="55"/>
      <c r="T366" s="55"/>
      <c r="U366" s="55"/>
      <c r="W366" s="273"/>
      <c r="X366" s="273"/>
    </row>
    <row r="367" spans="1:24" ht="12.75">
      <c r="A367" s="44"/>
      <c r="N367" s="54"/>
      <c r="O367" s="54"/>
      <c r="P367" s="54"/>
      <c r="Q367" s="92"/>
      <c r="R367" s="55"/>
      <c r="S367" s="55"/>
      <c r="T367" s="55"/>
      <c r="U367" s="55"/>
      <c r="W367" s="273"/>
      <c r="X367" s="273"/>
    </row>
    <row r="368" spans="1:24" ht="12.75">
      <c r="A368" s="44"/>
      <c r="N368" s="54"/>
      <c r="O368" s="54"/>
      <c r="P368" s="54"/>
      <c r="Q368" s="92"/>
      <c r="R368" s="55"/>
      <c r="S368" s="55"/>
      <c r="T368" s="55"/>
      <c r="U368" s="55"/>
      <c r="W368" s="273"/>
      <c r="X368" s="273"/>
    </row>
    <row r="369" spans="1:24" ht="12.75">
      <c r="A369" s="44"/>
      <c r="N369" s="54"/>
      <c r="O369" s="54"/>
      <c r="P369" s="54"/>
      <c r="Q369" s="92"/>
      <c r="R369" s="55"/>
      <c r="S369" s="55"/>
      <c r="T369" s="55"/>
      <c r="U369" s="55"/>
      <c r="W369" s="273"/>
      <c r="X369" s="273"/>
    </row>
    <row r="370" spans="1:24" ht="12.75">
      <c r="A370" s="44"/>
      <c r="N370" s="54"/>
      <c r="O370" s="54"/>
      <c r="P370" s="54"/>
      <c r="Q370" s="92"/>
      <c r="R370" s="55"/>
      <c r="S370" s="55"/>
      <c r="T370" s="55"/>
      <c r="U370" s="55"/>
      <c r="W370" s="273"/>
      <c r="X370" s="273"/>
    </row>
    <row r="371" spans="1:24" ht="12.75">
      <c r="A371" s="44"/>
      <c r="N371" s="54"/>
      <c r="O371" s="54"/>
      <c r="P371" s="54"/>
      <c r="Q371" s="92"/>
      <c r="R371" s="55"/>
      <c r="S371" s="55"/>
      <c r="T371" s="55"/>
      <c r="U371" s="55"/>
      <c r="W371" s="273"/>
      <c r="X371" s="273"/>
    </row>
    <row r="372" spans="1:24" ht="12.75">
      <c r="A372" s="44"/>
      <c r="N372" s="54"/>
      <c r="O372" s="54"/>
      <c r="P372" s="54"/>
      <c r="Q372" s="92"/>
      <c r="R372" s="55"/>
      <c r="S372" s="55"/>
      <c r="T372" s="55"/>
      <c r="U372" s="55"/>
      <c r="W372" s="273"/>
      <c r="X372" s="273"/>
    </row>
    <row r="373" spans="1:24" ht="12.75">
      <c r="A373" s="44"/>
      <c r="N373" s="54"/>
      <c r="O373" s="54"/>
      <c r="P373" s="54"/>
      <c r="Q373" s="92"/>
      <c r="R373" s="55"/>
      <c r="S373" s="55"/>
      <c r="T373" s="55"/>
      <c r="U373" s="55"/>
      <c r="W373" s="273"/>
      <c r="X373" s="273"/>
    </row>
    <row r="374" spans="1:24" ht="12.75">
      <c r="A374" s="44"/>
      <c r="N374" s="54"/>
      <c r="O374" s="54"/>
      <c r="P374" s="54"/>
      <c r="Q374" s="92"/>
      <c r="R374" s="55"/>
      <c r="S374" s="55"/>
      <c r="T374" s="55"/>
      <c r="U374" s="55"/>
      <c r="W374" s="273"/>
      <c r="X374" s="273"/>
    </row>
    <row r="375" spans="1:24" ht="12.75">
      <c r="A375" s="44"/>
      <c r="N375" s="54"/>
      <c r="O375" s="54"/>
      <c r="P375" s="54"/>
      <c r="Q375" s="92"/>
      <c r="R375" s="55"/>
      <c r="S375" s="55"/>
      <c r="T375" s="55"/>
      <c r="U375" s="55"/>
      <c r="W375" s="273"/>
      <c r="X375" s="273"/>
    </row>
    <row r="376" spans="1:24" ht="12.75">
      <c r="A376" s="44"/>
      <c r="N376" s="54"/>
      <c r="O376" s="54"/>
      <c r="P376" s="54"/>
      <c r="Q376" s="92"/>
      <c r="R376" s="55"/>
      <c r="S376" s="55"/>
      <c r="T376" s="55"/>
      <c r="U376" s="55"/>
      <c r="W376" s="273"/>
      <c r="X376" s="273"/>
    </row>
    <row r="377" spans="1:24" ht="12.75">
      <c r="A377" s="44"/>
      <c r="N377" s="54"/>
      <c r="O377" s="54"/>
      <c r="P377" s="54"/>
      <c r="Q377" s="92"/>
      <c r="R377" s="55"/>
      <c r="S377" s="55"/>
      <c r="T377" s="55"/>
      <c r="U377" s="55"/>
      <c r="W377" s="273"/>
      <c r="X377" s="273"/>
    </row>
    <row r="378" spans="1:24" ht="12.75">
      <c r="A378" s="44"/>
      <c r="N378" s="54"/>
      <c r="O378" s="54"/>
      <c r="P378" s="54"/>
      <c r="Q378" s="92"/>
      <c r="R378" s="55"/>
      <c r="S378" s="55"/>
      <c r="T378" s="55"/>
      <c r="U378" s="55"/>
      <c r="W378" s="273"/>
      <c r="X378" s="273"/>
    </row>
    <row r="379" spans="1:24" ht="12.75">
      <c r="A379" s="44"/>
      <c r="N379" s="54"/>
      <c r="O379" s="54"/>
      <c r="P379" s="54"/>
      <c r="Q379" s="92"/>
      <c r="R379" s="55"/>
      <c r="S379" s="55"/>
      <c r="T379" s="55"/>
      <c r="U379" s="55"/>
      <c r="W379" s="273"/>
      <c r="X379" s="273"/>
    </row>
    <row r="380" spans="1:24" ht="12.75">
      <c r="A380" s="44"/>
      <c r="N380" s="54"/>
      <c r="O380" s="54"/>
      <c r="P380" s="54"/>
      <c r="Q380" s="92"/>
      <c r="R380" s="55"/>
      <c r="S380" s="55"/>
      <c r="T380" s="55"/>
      <c r="U380" s="55"/>
      <c r="W380" s="273"/>
      <c r="X380" s="273"/>
    </row>
    <row r="381" spans="1:24" ht="12.75">
      <c r="A381" s="44"/>
      <c r="N381" s="54"/>
      <c r="O381" s="54"/>
      <c r="P381" s="54"/>
      <c r="Q381" s="92"/>
      <c r="R381" s="55"/>
      <c r="S381" s="55"/>
      <c r="T381" s="55"/>
      <c r="U381" s="55"/>
      <c r="W381" s="273"/>
      <c r="X381" s="273"/>
    </row>
    <row r="382" spans="1:24" ht="12.75">
      <c r="A382" s="44"/>
      <c r="N382" s="54"/>
      <c r="O382" s="54"/>
      <c r="P382" s="54"/>
      <c r="Q382" s="92"/>
      <c r="R382" s="55"/>
      <c r="S382" s="55"/>
      <c r="T382" s="55"/>
      <c r="U382" s="55"/>
      <c r="W382" s="273"/>
      <c r="X382" s="273"/>
    </row>
    <row r="383" spans="1:24" ht="12.75">
      <c r="A383" s="44"/>
      <c r="N383" s="54"/>
      <c r="O383" s="54"/>
      <c r="P383" s="54"/>
      <c r="Q383" s="92"/>
      <c r="R383" s="55"/>
      <c r="S383" s="55"/>
      <c r="T383" s="55"/>
      <c r="U383" s="55"/>
      <c r="W383" s="273"/>
      <c r="X383" s="273"/>
    </row>
    <row r="384" spans="1:24" ht="12.75">
      <c r="A384" s="44"/>
      <c r="N384" s="54"/>
      <c r="O384" s="54"/>
      <c r="P384" s="54"/>
      <c r="Q384" s="92"/>
      <c r="R384" s="55"/>
      <c r="S384" s="55"/>
      <c r="T384" s="55"/>
      <c r="U384" s="55"/>
      <c r="W384" s="273"/>
      <c r="X384" s="273"/>
    </row>
    <row r="385" spans="1:24" ht="12.75">
      <c r="A385" s="44"/>
      <c r="N385" s="54"/>
      <c r="O385" s="54"/>
      <c r="P385" s="54"/>
      <c r="Q385" s="92"/>
      <c r="R385" s="55"/>
      <c r="S385" s="55"/>
      <c r="T385" s="55"/>
      <c r="U385" s="55"/>
      <c r="W385" s="273"/>
      <c r="X385" s="273"/>
    </row>
    <row r="386" spans="1:24" ht="12.75">
      <c r="A386" s="44"/>
      <c r="N386" s="54"/>
      <c r="O386" s="54"/>
      <c r="P386" s="54"/>
      <c r="Q386" s="92"/>
      <c r="R386" s="55"/>
      <c r="S386" s="55"/>
      <c r="T386" s="55"/>
      <c r="U386" s="55"/>
      <c r="W386" s="273"/>
      <c r="X386" s="273"/>
    </row>
    <row r="387" spans="1:24" ht="12.75">
      <c r="A387" s="44"/>
      <c r="N387" s="54"/>
      <c r="O387" s="54"/>
      <c r="P387" s="54"/>
      <c r="Q387" s="92"/>
      <c r="R387" s="55"/>
      <c r="S387" s="55"/>
      <c r="T387" s="55"/>
      <c r="U387" s="55"/>
      <c r="W387" s="273"/>
      <c r="X387" s="273"/>
    </row>
    <row r="388" spans="1:24" ht="12.75">
      <c r="A388" s="44"/>
      <c r="N388" s="54"/>
      <c r="O388" s="54"/>
      <c r="P388" s="54"/>
      <c r="Q388" s="92"/>
      <c r="R388" s="55"/>
      <c r="S388" s="55"/>
      <c r="T388" s="55"/>
      <c r="U388" s="55"/>
      <c r="W388" s="273"/>
      <c r="X388" s="273"/>
    </row>
    <row r="389" spans="1:24" ht="12.75">
      <c r="A389" s="44"/>
      <c r="N389" s="54"/>
      <c r="O389" s="54"/>
      <c r="P389" s="54"/>
      <c r="Q389" s="92"/>
      <c r="R389" s="55"/>
      <c r="S389" s="55"/>
      <c r="T389" s="55"/>
      <c r="U389" s="55"/>
      <c r="W389" s="273"/>
      <c r="X389" s="273"/>
    </row>
    <row r="390" spans="1:24" ht="12.75">
      <c r="A390" s="44"/>
      <c r="N390" s="54"/>
      <c r="O390" s="54"/>
      <c r="P390" s="54"/>
      <c r="Q390" s="92"/>
      <c r="R390" s="55"/>
      <c r="S390" s="55"/>
      <c r="T390" s="55"/>
      <c r="U390" s="55"/>
      <c r="W390" s="273"/>
      <c r="X390" s="273"/>
    </row>
    <row r="391" spans="1:24" ht="12.75">
      <c r="A391" s="44"/>
      <c r="N391" s="54"/>
      <c r="O391" s="54"/>
      <c r="P391" s="54"/>
      <c r="Q391" s="92"/>
      <c r="R391" s="55"/>
      <c r="S391" s="55"/>
      <c r="T391" s="55"/>
      <c r="U391" s="55"/>
      <c r="W391" s="273"/>
      <c r="X391" s="273"/>
    </row>
    <row r="392" spans="1:24" ht="12.75">
      <c r="A392" s="44"/>
      <c r="N392" s="54"/>
      <c r="O392" s="54"/>
      <c r="P392" s="54"/>
      <c r="Q392" s="92"/>
      <c r="R392" s="55"/>
      <c r="S392" s="55"/>
      <c r="T392" s="55"/>
      <c r="U392" s="55"/>
      <c r="W392" s="273"/>
      <c r="X392" s="273"/>
    </row>
    <row r="393" spans="1:24" ht="12.75">
      <c r="A393" s="44"/>
      <c r="N393" s="54"/>
      <c r="O393" s="54"/>
      <c r="P393" s="54"/>
      <c r="Q393" s="92"/>
      <c r="R393" s="55"/>
      <c r="S393" s="55"/>
      <c r="T393" s="55"/>
      <c r="U393" s="55"/>
      <c r="W393" s="273"/>
      <c r="X393" s="273"/>
    </row>
    <row r="394" spans="1:24" ht="12.75">
      <c r="A394" s="44"/>
      <c r="N394" s="54"/>
      <c r="O394" s="54"/>
      <c r="P394" s="54"/>
      <c r="Q394" s="92"/>
      <c r="R394" s="55"/>
      <c r="S394" s="55"/>
      <c r="T394" s="55"/>
      <c r="U394" s="55"/>
      <c r="W394" s="273"/>
      <c r="X394" s="273"/>
    </row>
    <row r="395" spans="1:24" ht="12.75">
      <c r="A395" s="44"/>
      <c r="N395" s="54"/>
      <c r="O395" s="54"/>
      <c r="P395" s="54"/>
      <c r="Q395" s="92"/>
      <c r="R395" s="55"/>
      <c r="S395" s="55"/>
      <c r="T395" s="55"/>
      <c r="U395" s="55"/>
      <c r="W395" s="273"/>
      <c r="X395" s="273"/>
    </row>
    <row r="396" spans="1:24" ht="12.75">
      <c r="A396" s="44"/>
      <c r="N396" s="54"/>
      <c r="O396" s="54"/>
      <c r="P396" s="54"/>
      <c r="Q396" s="92"/>
      <c r="R396" s="55"/>
      <c r="S396" s="55"/>
      <c r="T396" s="55"/>
      <c r="U396" s="55"/>
      <c r="W396" s="273"/>
      <c r="X396" s="273"/>
    </row>
    <row r="397" spans="1:24" ht="12.75">
      <c r="A397" s="44"/>
      <c r="N397" s="54"/>
      <c r="O397" s="54"/>
      <c r="P397" s="54"/>
      <c r="Q397" s="92"/>
      <c r="R397" s="55"/>
      <c r="S397" s="55"/>
      <c r="T397" s="55"/>
      <c r="U397" s="55"/>
      <c r="W397" s="273"/>
      <c r="X397" s="273"/>
    </row>
    <row r="398" spans="1:24" ht="12.75">
      <c r="A398" s="44"/>
      <c r="N398" s="54"/>
      <c r="O398" s="54"/>
      <c r="P398" s="54"/>
      <c r="Q398" s="92"/>
      <c r="R398" s="55"/>
      <c r="S398" s="55"/>
      <c r="T398" s="55"/>
      <c r="U398" s="55"/>
      <c r="W398" s="273"/>
      <c r="X398" s="273"/>
    </row>
    <row r="399" spans="1:24" ht="12.75">
      <c r="A399" s="44"/>
      <c r="N399" s="54"/>
      <c r="O399" s="54"/>
      <c r="P399" s="54"/>
      <c r="Q399" s="92"/>
      <c r="R399" s="55"/>
      <c r="S399" s="55"/>
      <c r="T399" s="55"/>
      <c r="U399" s="55"/>
      <c r="W399" s="273"/>
      <c r="X399" s="273"/>
    </row>
    <row r="400" spans="1:24" ht="12.75">
      <c r="A400" s="44"/>
      <c r="N400" s="54"/>
      <c r="O400" s="54"/>
      <c r="P400" s="54"/>
      <c r="Q400" s="92"/>
      <c r="R400" s="55"/>
      <c r="S400" s="55"/>
      <c r="T400" s="55"/>
      <c r="U400" s="55"/>
      <c r="W400" s="273"/>
      <c r="X400" s="273"/>
    </row>
    <row r="401" spans="1:24" ht="12.75">
      <c r="A401" s="44"/>
      <c r="N401" s="54"/>
      <c r="O401" s="54"/>
      <c r="P401" s="54"/>
      <c r="Q401" s="92"/>
      <c r="R401" s="55"/>
      <c r="S401" s="55"/>
      <c r="T401" s="55"/>
      <c r="U401" s="55"/>
      <c r="W401" s="273"/>
      <c r="X401" s="273"/>
    </row>
    <row r="402" spans="1:24" ht="12.75">
      <c r="A402" s="44"/>
      <c r="N402" s="54"/>
      <c r="O402" s="54"/>
      <c r="P402" s="54"/>
      <c r="Q402" s="92"/>
      <c r="R402" s="55"/>
      <c r="S402" s="55"/>
      <c r="T402" s="55"/>
      <c r="U402" s="55"/>
      <c r="W402" s="273"/>
      <c r="X402" s="273"/>
    </row>
    <row r="403" spans="1:24" ht="12.75">
      <c r="A403" s="44"/>
      <c r="N403" s="54"/>
      <c r="O403" s="54"/>
      <c r="P403" s="54"/>
      <c r="Q403" s="92"/>
      <c r="R403" s="55"/>
      <c r="S403" s="55"/>
      <c r="T403" s="55"/>
      <c r="U403" s="55"/>
      <c r="W403" s="273"/>
      <c r="X403" s="273"/>
    </row>
    <row r="404" spans="1:24" ht="12.75">
      <c r="A404" s="44"/>
      <c r="N404" s="54"/>
      <c r="O404" s="54"/>
      <c r="P404" s="54"/>
      <c r="Q404" s="92"/>
      <c r="R404" s="55"/>
      <c r="S404" s="55"/>
      <c r="T404" s="55"/>
      <c r="U404" s="55"/>
      <c r="W404" s="273"/>
      <c r="X404" s="273"/>
    </row>
    <row r="405" spans="1:24" ht="12.75">
      <c r="A405" s="44"/>
      <c r="N405" s="54"/>
      <c r="O405" s="54"/>
      <c r="P405" s="54"/>
      <c r="Q405" s="92"/>
      <c r="R405" s="55"/>
      <c r="S405" s="55"/>
      <c r="T405" s="55"/>
      <c r="U405" s="55"/>
      <c r="W405" s="273"/>
      <c r="X405" s="273"/>
    </row>
    <row r="406" spans="1:24" ht="12.75">
      <c r="A406" s="44"/>
      <c r="N406" s="54"/>
      <c r="O406" s="54"/>
      <c r="P406" s="54"/>
      <c r="Q406" s="92"/>
      <c r="R406" s="55"/>
      <c r="S406" s="55"/>
      <c r="T406" s="55"/>
      <c r="U406" s="55"/>
      <c r="W406" s="273"/>
      <c r="X406" s="273"/>
    </row>
    <row r="407" spans="1:24" ht="12.75">
      <c r="A407" s="44"/>
      <c r="N407" s="54"/>
      <c r="O407" s="54"/>
      <c r="P407" s="54"/>
      <c r="Q407" s="92"/>
      <c r="R407" s="55"/>
      <c r="S407" s="55"/>
      <c r="T407" s="55"/>
      <c r="U407" s="55"/>
      <c r="W407" s="273"/>
      <c r="X407" s="273"/>
    </row>
    <row r="408" spans="1:24" ht="12.75">
      <c r="A408" s="44"/>
      <c r="N408" s="54"/>
      <c r="O408" s="54"/>
      <c r="P408" s="54"/>
      <c r="Q408" s="92"/>
      <c r="R408" s="55"/>
      <c r="S408" s="55"/>
      <c r="T408" s="55"/>
      <c r="U408" s="55"/>
      <c r="W408" s="273"/>
      <c r="X408" s="273"/>
    </row>
    <row r="409" spans="1:24" ht="12.75">
      <c r="A409" s="44"/>
      <c r="N409" s="54"/>
      <c r="O409" s="54"/>
      <c r="P409" s="54"/>
      <c r="Q409" s="92"/>
      <c r="R409" s="55"/>
      <c r="S409" s="55"/>
      <c r="T409" s="55"/>
      <c r="U409" s="55"/>
      <c r="W409" s="273"/>
      <c r="X409" s="273"/>
    </row>
    <row r="410" spans="1:24" ht="12.75">
      <c r="A410" s="44"/>
      <c r="N410" s="54"/>
      <c r="O410" s="54"/>
      <c r="P410" s="54"/>
      <c r="Q410" s="92"/>
      <c r="R410" s="55"/>
      <c r="S410" s="55"/>
      <c r="T410" s="55"/>
      <c r="U410" s="55"/>
      <c r="W410" s="273"/>
      <c r="X410" s="273"/>
    </row>
    <row r="411" spans="1:24" ht="12.75">
      <c r="A411" s="44"/>
      <c r="N411" s="54"/>
      <c r="O411" s="54"/>
      <c r="P411" s="54"/>
      <c r="Q411" s="92"/>
      <c r="R411" s="55"/>
      <c r="S411" s="55"/>
      <c r="T411" s="55"/>
      <c r="U411" s="55"/>
      <c r="W411" s="273"/>
      <c r="X411" s="273"/>
    </row>
    <row r="412" spans="1:24" ht="12.75">
      <c r="A412" s="44"/>
      <c r="N412" s="54"/>
      <c r="O412" s="54"/>
      <c r="P412" s="54"/>
      <c r="Q412" s="92"/>
      <c r="R412" s="55"/>
      <c r="S412" s="55"/>
      <c r="T412" s="55"/>
      <c r="U412" s="55"/>
      <c r="W412" s="273"/>
      <c r="X412" s="273"/>
    </row>
    <row r="413" spans="1:24" ht="12.75">
      <c r="A413" s="44"/>
      <c r="N413" s="54"/>
      <c r="O413" s="54"/>
      <c r="P413" s="54"/>
      <c r="Q413" s="92"/>
      <c r="R413" s="55"/>
      <c r="S413" s="55"/>
      <c r="T413" s="55"/>
      <c r="U413" s="55"/>
      <c r="W413" s="273"/>
      <c r="X413" s="273"/>
    </row>
    <row r="414" spans="1:24" ht="12.75">
      <c r="A414" s="44"/>
      <c r="N414" s="54"/>
      <c r="O414" s="54"/>
      <c r="P414" s="54"/>
      <c r="Q414" s="92"/>
      <c r="R414" s="55"/>
      <c r="S414" s="55"/>
      <c r="T414" s="55"/>
      <c r="U414" s="55"/>
      <c r="W414" s="273"/>
      <c r="X414" s="273"/>
    </row>
    <row r="415" spans="1:24" ht="12.75">
      <c r="A415" s="44"/>
      <c r="N415" s="54"/>
      <c r="O415" s="54"/>
      <c r="P415" s="54"/>
      <c r="Q415" s="92"/>
      <c r="R415" s="55"/>
      <c r="S415" s="55"/>
      <c r="T415" s="55"/>
      <c r="U415" s="55"/>
      <c r="W415" s="273"/>
      <c r="X415" s="273"/>
    </row>
    <row r="416" spans="1:24" ht="12.75">
      <c r="A416" s="44"/>
      <c r="N416" s="54"/>
      <c r="O416" s="54"/>
      <c r="P416" s="54"/>
      <c r="Q416" s="92"/>
      <c r="R416" s="55"/>
      <c r="S416" s="55"/>
      <c r="T416" s="55"/>
      <c r="U416" s="55"/>
      <c r="W416" s="273"/>
      <c r="X416" s="273"/>
    </row>
    <row r="417" spans="1:24" ht="12.75">
      <c r="A417" s="44"/>
      <c r="N417" s="54"/>
      <c r="O417" s="54"/>
      <c r="P417" s="54"/>
      <c r="Q417" s="92"/>
      <c r="R417" s="55"/>
      <c r="S417" s="55"/>
      <c r="T417" s="55"/>
      <c r="U417" s="55"/>
      <c r="W417" s="273"/>
      <c r="X417" s="273"/>
    </row>
    <row r="418" spans="1:24" ht="12.75">
      <c r="A418" s="44"/>
      <c r="N418" s="54"/>
      <c r="O418" s="54"/>
      <c r="P418" s="54"/>
      <c r="Q418" s="92"/>
      <c r="R418" s="55"/>
      <c r="S418" s="55"/>
      <c r="T418" s="55"/>
      <c r="U418" s="55"/>
      <c r="W418" s="273"/>
      <c r="X418" s="273"/>
    </row>
    <row r="419" spans="1:24" ht="12.75">
      <c r="A419" s="44"/>
      <c r="N419" s="54"/>
      <c r="O419" s="54"/>
      <c r="P419" s="54"/>
      <c r="Q419" s="92"/>
      <c r="R419" s="55"/>
      <c r="S419" s="55"/>
      <c r="T419" s="55"/>
      <c r="U419" s="55"/>
      <c r="W419" s="273"/>
      <c r="X419" s="273"/>
    </row>
    <row r="420" spans="1:24" ht="12.75">
      <c r="A420" s="44"/>
      <c r="N420" s="54"/>
      <c r="O420" s="54"/>
      <c r="P420" s="54"/>
      <c r="Q420" s="92"/>
      <c r="R420" s="55"/>
      <c r="S420" s="55"/>
      <c r="T420" s="55"/>
      <c r="U420" s="55"/>
      <c r="W420" s="273"/>
      <c r="X420" s="273"/>
    </row>
    <row r="421" spans="1:24" ht="12.75">
      <c r="A421" s="44"/>
      <c r="N421" s="54"/>
      <c r="O421" s="54"/>
      <c r="P421" s="54"/>
      <c r="Q421" s="92"/>
      <c r="R421" s="55"/>
      <c r="S421" s="55"/>
      <c r="T421" s="55"/>
      <c r="U421" s="55"/>
      <c r="W421" s="273"/>
      <c r="X421" s="273"/>
    </row>
    <row r="422" spans="1:24" ht="12.75">
      <c r="A422" s="44"/>
      <c r="N422" s="54"/>
      <c r="O422" s="54"/>
      <c r="P422" s="54"/>
      <c r="Q422" s="92"/>
      <c r="R422" s="55"/>
      <c r="S422" s="55"/>
      <c r="T422" s="55"/>
      <c r="U422" s="55"/>
      <c r="W422" s="273"/>
      <c r="X422" s="273"/>
    </row>
    <row r="423" spans="1:24" ht="12.75">
      <c r="A423" s="44"/>
      <c r="N423" s="54"/>
      <c r="O423" s="54"/>
      <c r="P423" s="54"/>
      <c r="Q423" s="92"/>
      <c r="R423" s="55"/>
      <c r="S423" s="55"/>
      <c r="T423" s="55"/>
      <c r="U423" s="55"/>
      <c r="W423" s="273"/>
      <c r="X423" s="273"/>
    </row>
    <row r="424" spans="1:24" ht="12.75">
      <c r="A424" s="44"/>
      <c r="N424" s="54"/>
      <c r="O424" s="54"/>
      <c r="P424" s="54"/>
      <c r="Q424" s="92"/>
      <c r="R424" s="55"/>
      <c r="S424" s="55"/>
      <c r="T424" s="55"/>
      <c r="U424" s="55"/>
      <c r="W424" s="273"/>
      <c r="X424" s="273"/>
    </row>
    <row r="425" spans="1:24" ht="12.75">
      <c r="A425" s="44"/>
      <c r="N425" s="54"/>
      <c r="O425" s="54"/>
      <c r="P425" s="54"/>
      <c r="Q425" s="92"/>
      <c r="R425" s="55"/>
      <c r="S425" s="55"/>
      <c r="T425" s="55"/>
      <c r="U425" s="55"/>
      <c r="W425" s="273"/>
      <c r="X425" s="273"/>
    </row>
    <row r="426" spans="1:24" ht="12.75">
      <c r="A426" s="44"/>
      <c r="N426" s="54"/>
      <c r="O426" s="54"/>
      <c r="P426" s="54"/>
      <c r="Q426" s="92"/>
      <c r="R426" s="55"/>
      <c r="S426" s="55"/>
      <c r="T426" s="55"/>
      <c r="U426" s="55"/>
      <c r="W426" s="273"/>
      <c r="X426" s="273"/>
    </row>
    <row r="427" spans="1:24" ht="12.75">
      <c r="A427" s="44"/>
      <c r="N427" s="54"/>
      <c r="O427" s="54"/>
      <c r="P427" s="54"/>
      <c r="Q427" s="92"/>
      <c r="R427" s="55"/>
      <c r="S427" s="55"/>
      <c r="T427" s="55"/>
      <c r="U427" s="55"/>
      <c r="W427" s="273"/>
      <c r="X427" s="273"/>
    </row>
    <row r="428" spans="1:24" ht="12.75">
      <c r="A428" s="44"/>
      <c r="N428" s="54"/>
      <c r="O428" s="54"/>
      <c r="P428" s="54"/>
      <c r="Q428" s="92"/>
      <c r="R428" s="55"/>
      <c r="S428" s="55"/>
      <c r="T428" s="55"/>
      <c r="U428" s="55"/>
      <c r="W428" s="273"/>
      <c r="X428" s="273"/>
    </row>
    <row r="429" spans="1:24" ht="12.75">
      <c r="A429" s="44"/>
      <c r="N429" s="54"/>
      <c r="O429" s="54"/>
      <c r="P429" s="54"/>
      <c r="Q429" s="92"/>
      <c r="R429" s="55"/>
      <c r="S429" s="55"/>
      <c r="T429" s="55"/>
      <c r="U429" s="55"/>
      <c r="W429" s="273"/>
      <c r="X429" s="273"/>
    </row>
    <row r="430" spans="1:24" ht="12.75">
      <c r="A430" s="44"/>
      <c r="N430" s="54"/>
      <c r="O430" s="54"/>
      <c r="P430" s="54"/>
      <c r="Q430" s="92"/>
      <c r="R430" s="55"/>
      <c r="S430" s="55"/>
      <c r="T430" s="55"/>
      <c r="U430" s="55"/>
      <c r="W430" s="273"/>
      <c r="X430" s="273"/>
    </row>
    <row r="431" spans="1:24" ht="12.75">
      <c r="A431" s="44"/>
      <c r="N431" s="54"/>
      <c r="O431" s="54"/>
      <c r="P431" s="54"/>
      <c r="Q431" s="92"/>
      <c r="R431" s="55"/>
      <c r="S431" s="55"/>
      <c r="T431" s="55"/>
      <c r="U431" s="55"/>
      <c r="W431" s="273"/>
      <c r="X431" s="273"/>
    </row>
    <row r="432" spans="1:24" ht="12.75">
      <c r="A432" s="44"/>
      <c r="N432" s="54"/>
      <c r="O432" s="54"/>
      <c r="P432" s="54"/>
      <c r="Q432" s="92"/>
      <c r="R432" s="55"/>
      <c r="S432" s="55"/>
      <c r="T432" s="55"/>
      <c r="U432" s="55"/>
      <c r="W432" s="273"/>
      <c r="X432" s="273"/>
    </row>
    <row r="433" spans="1:24" ht="12.75">
      <c r="A433" s="44"/>
      <c r="N433" s="54"/>
      <c r="O433" s="54"/>
      <c r="P433" s="54"/>
      <c r="Q433" s="92"/>
      <c r="R433" s="55"/>
      <c r="S433" s="55"/>
      <c r="T433" s="55"/>
      <c r="U433" s="55"/>
      <c r="W433" s="273"/>
      <c r="X433" s="273"/>
    </row>
    <row r="434" spans="1:24" ht="12.75">
      <c r="A434" s="44"/>
      <c r="N434" s="54"/>
      <c r="O434" s="54"/>
      <c r="P434" s="54"/>
      <c r="Q434" s="92"/>
      <c r="R434" s="55"/>
      <c r="S434" s="55"/>
      <c r="T434" s="55"/>
      <c r="U434" s="55"/>
      <c r="W434" s="273"/>
      <c r="X434" s="273"/>
    </row>
    <row r="435" spans="1:24" ht="12.75">
      <c r="A435" s="44"/>
      <c r="N435" s="54"/>
      <c r="O435" s="54"/>
      <c r="P435" s="54"/>
      <c r="Q435" s="92"/>
      <c r="R435" s="55"/>
      <c r="S435" s="55"/>
      <c r="T435" s="55"/>
      <c r="U435" s="55"/>
      <c r="W435" s="273"/>
      <c r="X435" s="273"/>
    </row>
    <row r="436" spans="1:24" ht="12.75">
      <c r="A436" s="44"/>
      <c r="N436" s="54"/>
      <c r="O436" s="54"/>
      <c r="P436" s="54"/>
      <c r="Q436" s="92"/>
      <c r="R436" s="55"/>
      <c r="S436" s="55"/>
      <c r="T436" s="55"/>
      <c r="U436" s="55"/>
      <c r="W436" s="273"/>
      <c r="X436" s="273"/>
    </row>
    <row r="437" spans="1:24" ht="12.75">
      <c r="A437" s="44"/>
      <c r="N437" s="54"/>
      <c r="O437" s="54"/>
      <c r="P437" s="54"/>
      <c r="Q437" s="92"/>
      <c r="R437" s="55"/>
      <c r="S437" s="55"/>
      <c r="T437" s="55"/>
      <c r="U437" s="55"/>
      <c r="W437" s="273"/>
      <c r="X437" s="273"/>
    </row>
    <row r="438" spans="1:24" ht="12.75">
      <c r="A438" s="44"/>
      <c r="N438" s="54"/>
      <c r="O438" s="54"/>
      <c r="P438" s="54"/>
      <c r="Q438" s="92"/>
      <c r="R438" s="55"/>
      <c r="S438" s="55"/>
      <c r="T438" s="55"/>
      <c r="U438" s="55"/>
      <c r="W438" s="273"/>
      <c r="X438" s="273"/>
    </row>
    <row r="439" spans="1:24" ht="12.75">
      <c r="A439" s="44"/>
      <c r="N439" s="54"/>
      <c r="O439" s="54"/>
      <c r="P439" s="54"/>
      <c r="Q439" s="92"/>
      <c r="R439" s="55"/>
      <c r="S439" s="55"/>
      <c r="T439" s="55"/>
      <c r="U439" s="55"/>
      <c r="W439" s="273"/>
      <c r="X439" s="273"/>
    </row>
    <row r="440" spans="1:24" ht="12.75">
      <c r="A440" s="44"/>
      <c r="N440" s="54"/>
      <c r="O440" s="54"/>
      <c r="P440" s="54"/>
      <c r="Q440" s="92"/>
      <c r="R440" s="55"/>
      <c r="S440" s="55"/>
      <c r="T440" s="55"/>
      <c r="U440" s="55"/>
      <c r="W440" s="273"/>
      <c r="X440" s="273"/>
    </row>
    <row r="441" spans="1:24" ht="12.75">
      <c r="A441" s="44"/>
      <c r="N441" s="54"/>
      <c r="O441" s="54"/>
      <c r="P441" s="54"/>
      <c r="Q441" s="92"/>
      <c r="R441" s="55"/>
      <c r="S441" s="55"/>
      <c r="T441" s="55"/>
      <c r="U441" s="55"/>
      <c r="W441" s="273"/>
      <c r="X441" s="273"/>
    </row>
    <row r="442" spans="1:24" ht="12.75">
      <c r="A442" s="44"/>
      <c r="N442" s="54"/>
      <c r="O442" s="54"/>
      <c r="P442" s="54"/>
      <c r="Q442" s="92"/>
      <c r="R442" s="55"/>
      <c r="S442" s="55"/>
      <c r="T442" s="55"/>
      <c r="U442" s="55"/>
      <c r="W442" s="273"/>
      <c r="X442" s="273"/>
    </row>
    <row r="443" spans="1:24" ht="12.75">
      <c r="A443" s="44"/>
      <c r="N443" s="54"/>
      <c r="O443" s="54"/>
      <c r="P443" s="54"/>
      <c r="Q443" s="92"/>
      <c r="R443" s="55"/>
      <c r="S443" s="55"/>
      <c r="T443" s="55"/>
      <c r="U443" s="55"/>
      <c r="W443" s="273"/>
      <c r="X443" s="273"/>
    </row>
    <row r="444" spans="1:24" ht="12.75">
      <c r="A444" s="44"/>
      <c r="N444" s="54"/>
      <c r="O444" s="54"/>
      <c r="P444" s="54"/>
      <c r="Q444" s="92"/>
      <c r="R444" s="55"/>
      <c r="S444" s="55"/>
      <c r="T444" s="55"/>
      <c r="U444" s="55"/>
      <c r="W444" s="273"/>
      <c r="X444" s="273"/>
    </row>
    <row r="445" spans="1:24" ht="12.75">
      <c r="A445" s="44"/>
      <c r="N445" s="54"/>
      <c r="O445" s="54"/>
      <c r="P445" s="54"/>
      <c r="Q445" s="92"/>
      <c r="R445" s="55"/>
      <c r="S445" s="55"/>
      <c r="T445" s="55"/>
      <c r="U445" s="55"/>
      <c r="W445" s="273"/>
      <c r="X445" s="273"/>
    </row>
    <row r="446" spans="1:24" ht="12.75">
      <c r="A446" s="44"/>
      <c r="N446" s="54"/>
      <c r="O446" s="54"/>
      <c r="P446" s="54"/>
      <c r="Q446" s="92"/>
      <c r="R446" s="55"/>
      <c r="S446" s="55"/>
      <c r="T446" s="55"/>
      <c r="U446" s="55"/>
      <c r="W446" s="273"/>
      <c r="X446" s="273"/>
    </row>
    <row r="447" spans="1:24" ht="12.75">
      <c r="A447" s="44"/>
      <c r="N447" s="54"/>
      <c r="O447" s="54"/>
      <c r="P447" s="54"/>
      <c r="Q447" s="92"/>
      <c r="R447" s="55"/>
      <c r="S447" s="55"/>
      <c r="T447" s="55"/>
      <c r="U447" s="55"/>
      <c r="W447" s="273"/>
      <c r="X447" s="273"/>
    </row>
    <row r="448" spans="1:24" ht="12.75">
      <c r="A448" s="44"/>
      <c r="N448" s="54"/>
      <c r="O448" s="54"/>
      <c r="P448" s="54"/>
      <c r="Q448" s="92"/>
      <c r="R448" s="55"/>
      <c r="S448" s="55"/>
      <c r="T448" s="55"/>
      <c r="U448" s="55"/>
      <c r="W448" s="273"/>
      <c r="X448" s="273"/>
    </row>
    <row r="449" spans="1:24" ht="12.75">
      <c r="A449" s="44"/>
      <c r="N449" s="54"/>
      <c r="O449" s="54"/>
      <c r="P449" s="54"/>
      <c r="Q449" s="92"/>
      <c r="R449" s="55"/>
      <c r="S449" s="55"/>
      <c r="T449" s="55"/>
      <c r="U449" s="55"/>
      <c r="W449" s="273"/>
      <c r="X449" s="273"/>
    </row>
    <row r="450" spans="1:24" ht="12.75">
      <c r="A450" s="44"/>
      <c r="N450" s="54"/>
      <c r="O450" s="54"/>
      <c r="P450" s="54"/>
      <c r="Q450" s="92"/>
      <c r="R450" s="55"/>
      <c r="S450" s="55"/>
      <c r="T450" s="55"/>
      <c r="U450" s="55"/>
      <c r="W450" s="273"/>
      <c r="X450" s="273"/>
    </row>
    <row r="451" spans="1:24" ht="12.75">
      <c r="A451" s="44"/>
      <c r="N451" s="54"/>
      <c r="O451" s="54"/>
      <c r="P451" s="54"/>
      <c r="Q451" s="92"/>
      <c r="R451" s="55"/>
      <c r="S451" s="55"/>
      <c r="T451" s="55"/>
      <c r="U451" s="55"/>
      <c r="W451" s="273"/>
      <c r="X451" s="273"/>
    </row>
    <row r="452" spans="1:24" ht="12.75">
      <c r="A452" s="44"/>
      <c r="N452" s="54"/>
      <c r="O452" s="54"/>
      <c r="P452" s="54"/>
      <c r="Q452" s="92"/>
      <c r="R452" s="55"/>
      <c r="S452" s="55"/>
      <c r="T452" s="55"/>
      <c r="U452" s="55"/>
      <c r="W452" s="273"/>
      <c r="X452" s="273"/>
    </row>
    <row r="453" spans="1:24" ht="12.75">
      <c r="A453" s="44"/>
      <c r="N453" s="54"/>
      <c r="O453" s="54"/>
      <c r="P453" s="54"/>
      <c r="Q453" s="92"/>
      <c r="R453" s="55"/>
      <c r="S453" s="55"/>
      <c r="T453" s="55"/>
      <c r="U453" s="55"/>
      <c r="W453" s="273"/>
      <c r="X453" s="273"/>
    </row>
    <row r="454" spans="1:24" ht="12.75">
      <c r="A454" s="44"/>
      <c r="N454" s="54"/>
      <c r="O454" s="54"/>
      <c r="P454" s="54"/>
      <c r="Q454" s="92"/>
      <c r="R454" s="55"/>
      <c r="S454" s="55"/>
      <c r="T454" s="55"/>
      <c r="U454" s="55"/>
      <c r="W454" s="273"/>
      <c r="X454" s="273"/>
    </row>
    <row r="455" spans="1:24" ht="12.75">
      <c r="A455" s="44"/>
      <c r="N455" s="54"/>
      <c r="O455" s="54"/>
      <c r="P455" s="54"/>
      <c r="Q455" s="92"/>
      <c r="R455" s="55"/>
      <c r="S455" s="55"/>
      <c r="T455" s="55"/>
      <c r="U455" s="55"/>
      <c r="W455" s="273"/>
      <c r="X455" s="273"/>
    </row>
    <row r="456" spans="1:24" ht="12.75">
      <c r="A456" s="44"/>
      <c r="N456" s="54"/>
      <c r="O456" s="54"/>
      <c r="P456" s="54"/>
      <c r="Q456" s="92"/>
      <c r="R456" s="55"/>
      <c r="S456" s="55"/>
      <c r="T456" s="55"/>
      <c r="U456" s="55"/>
      <c r="W456" s="273"/>
      <c r="X456" s="273"/>
    </row>
    <row r="457" spans="1:24" ht="12.75">
      <c r="A457" s="44"/>
      <c r="N457" s="54"/>
      <c r="O457" s="54"/>
      <c r="P457" s="54"/>
      <c r="Q457" s="92"/>
      <c r="R457" s="55"/>
      <c r="S457" s="55"/>
      <c r="T457" s="55"/>
      <c r="U457" s="55"/>
      <c r="W457" s="273"/>
      <c r="X457" s="273"/>
    </row>
    <row r="458" spans="1:24" ht="12.75">
      <c r="A458" s="44"/>
      <c r="N458" s="54"/>
      <c r="O458" s="54"/>
      <c r="P458" s="54"/>
      <c r="Q458" s="92"/>
      <c r="R458" s="55"/>
      <c r="S458" s="55"/>
      <c r="T458" s="55"/>
      <c r="U458" s="55"/>
      <c r="W458" s="273"/>
      <c r="X458" s="273"/>
    </row>
    <row r="459" spans="1:24" ht="12.75">
      <c r="A459" s="44"/>
      <c r="N459" s="54"/>
      <c r="O459" s="54"/>
      <c r="P459" s="54"/>
      <c r="Q459" s="92"/>
      <c r="R459" s="55"/>
      <c r="S459" s="55"/>
      <c r="T459" s="55"/>
      <c r="U459" s="55"/>
      <c r="W459" s="273"/>
      <c r="X459" s="273"/>
    </row>
    <row r="460" spans="1:24" ht="12.75">
      <c r="A460" s="44"/>
      <c r="N460" s="54"/>
      <c r="O460" s="54"/>
      <c r="P460" s="54"/>
      <c r="Q460" s="92"/>
      <c r="R460" s="55"/>
      <c r="S460" s="55"/>
      <c r="T460" s="55"/>
      <c r="U460" s="55"/>
      <c r="W460" s="273"/>
      <c r="X460" s="273"/>
    </row>
    <row r="461" spans="1:24" ht="12.75">
      <c r="A461" s="44"/>
      <c r="N461" s="54"/>
      <c r="O461" s="54"/>
      <c r="P461" s="54"/>
      <c r="Q461" s="92"/>
      <c r="R461" s="55"/>
      <c r="S461" s="55"/>
      <c r="T461" s="55"/>
      <c r="U461" s="55"/>
      <c r="W461" s="273"/>
      <c r="X461" s="273"/>
    </row>
    <row r="462" spans="1:24" ht="12.75">
      <c r="A462" s="44"/>
      <c r="N462" s="54"/>
      <c r="O462" s="54"/>
      <c r="P462" s="54"/>
      <c r="Q462" s="92"/>
      <c r="R462" s="55"/>
      <c r="S462" s="55"/>
      <c r="T462" s="55"/>
      <c r="U462" s="55"/>
      <c r="W462" s="273"/>
      <c r="X462" s="273"/>
    </row>
    <row r="463" spans="1:24" ht="12.75">
      <c r="A463" s="44"/>
      <c r="N463" s="54"/>
      <c r="O463" s="54"/>
      <c r="P463" s="54"/>
      <c r="Q463" s="92"/>
      <c r="R463" s="55"/>
      <c r="S463" s="55"/>
      <c r="T463" s="55"/>
      <c r="U463" s="55"/>
      <c r="W463" s="273"/>
      <c r="X463" s="273"/>
    </row>
    <row r="464" spans="1:24" ht="12.75">
      <c r="A464" s="44"/>
      <c r="N464" s="54"/>
      <c r="O464" s="54"/>
      <c r="P464" s="54"/>
      <c r="Q464" s="92"/>
      <c r="R464" s="55"/>
      <c r="S464" s="55"/>
      <c r="T464" s="55"/>
      <c r="U464" s="55"/>
      <c r="W464" s="273"/>
      <c r="X464" s="273"/>
    </row>
    <row r="465" spans="1:24" ht="12.75">
      <c r="A465" s="44"/>
      <c r="N465" s="54"/>
      <c r="O465" s="54"/>
      <c r="P465" s="54"/>
      <c r="Q465" s="92"/>
      <c r="R465" s="55"/>
      <c r="S465" s="55"/>
      <c r="T465" s="55"/>
      <c r="U465" s="55"/>
      <c r="W465" s="273"/>
      <c r="X465" s="273"/>
    </row>
    <row r="466" spans="1:24" ht="12.75">
      <c r="A466" s="44"/>
      <c r="N466" s="54"/>
      <c r="O466" s="54"/>
      <c r="P466" s="54"/>
      <c r="Q466" s="92"/>
      <c r="R466" s="55"/>
      <c r="S466" s="55"/>
      <c r="T466" s="55"/>
      <c r="U466" s="55"/>
      <c r="W466" s="273"/>
      <c r="X466" s="273"/>
    </row>
    <row r="467" spans="1:24" ht="12.75">
      <c r="A467" s="44"/>
      <c r="N467" s="54"/>
      <c r="O467" s="54"/>
      <c r="P467" s="54"/>
      <c r="Q467" s="92"/>
      <c r="R467" s="55"/>
      <c r="S467" s="55"/>
      <c r="T467" s="55"/>
      <c r="U467" s="55"/>
      <c r="W467" s="273"/>
      <c r="X467" s="273"/>
    </row>
    <row r="468" spans="1:24" ht="12.75">
      <c r="A468" s="44"/>
      <c r="N468" s="54"/>
      <c r="O468" s="54"/>
      <c r="P468" s="54"/>
      <c r="Q468" s="92"/>
      <c r="R468" s="55"/>
      <c r="S468" s="55"/>
      <c r="T468" s="55"/>
      <c r="U468" s="55"/>
      <c r="W468" s="273"/>
      <c r="X468" s="273"/>
    </row>
    <row r="469" spans="1:24" ht="12.75">
      <c r="A469" s="44"/>
      <c r="N469" s="54"/>
      <c r="O469" s="54"/>
      <c r="P469" s="54"/>
      <c r="Q469" s="92"/>
      <c r="R469" s="55"/>
      <c r="S469" s="55"/>
      <c r="T469" s="55"/>
      <c r="U469" s="55"/>
      <c r="W469" s="273"/>
      <c r="X469" s="273"/>
    </row>
    <row r="470" spans="1:24" ht="12.75">
      <c r="A470" s="44"/>
      <c r="N470" s="54"/>
      <c r="O470" s="54"/>
      <c r="P470" s="54"/>
      <c r="Q470" s="92"/>
      <c r="R470" s="55"/>
      <c r="S470" s="55"/>
      <c r="T470" s="55"/>
      <c r="U470" s="55"/>
      <c r="W470" s="273"/>
      <c r="X470" s="273"/>
    </row>
    <row r="471" spans="1:24" ht="12.75">
      <c r="A471" s="44"/>
      <c r="N471" s="54"/>
      <c r="O471" s="54"/>
      <c r="P471" s="54"/>
      <c r="Q471" s="92"/>
      <c r="R471" s="55"/>
      <c r="S471" s="55"/>
      <c r="T471" s="55"/>
      <c r="U471" s="55"/>
      <c r="W471" s="273"/>
      <c r="X471" s="273"/>
    </row>
    <row r="472" spans="1:24" ht="12.75">
      <c r="A472" s="44"/>
      <c r="N472" s="54"/>
      <c r="O472" s="54"/>
      <c r="P472" s="54"/>
      <c r="Q472" s="92"/>
      <c r="R472" s="55"/>
      <c r="S472" s="55"/>
      <c r="T472" s="55"/>
      <c r="U472" s="55"/>
      <c r="W472" s="273"/>
      <c r="X472" s="273"/>
    </row>
    <row r="473" spans="1:24" ht="12.75">
      <c r="A473" s="44"/>
      <c r="N473" s="54"/>
      <c r="O473" s="54"/>
      <c r="P473" s="54"/>
      <c r="Q473" s="92"/>
      <c r="R473" s="55"/>
      <c r="S473" s="55"/>
      <c r="T473" s="55"/>
      <c r="U473" s="55"/>
      <c r="W473" s="273"/>
      <c r="X473" s="273"/>
    </row>
    <row r="474" spans="1:24" ht="12.75">
      <c r="A474" s="44"/>
      <c r="N474" s="54"/>
      <c r="O474" s="54"/>
      <c r="P474" s="54"/>
      <c r="Q474" s="92"/>
      <c r="R474" s="55"/>
      <c r="S474" s="55"/>
      <c r="T474" s="55"/>
      <c r="U474" s="55"/>
      <c r="W474" s="273"/>
      <c r="X474" s="273"/>
    </row>
    <row r="475" spans="1:24" ht="12.75">
      <c r="A475" s="44"/>
      <c r="N475" s="54"/>
      <c r="O475" s="54"/>
      <c r="P475" s="54"/>
      <c r="Q475" s="92"/>
      <c r="R475" s="55"/>
      <c r="S475" s="55"/>
      <c r="T475" s="55"/>
      <c r="U475" s="55"/>
      <c r="W475" s="273"/>
      <c r="X475" s="273"/>
    </row>
    <row r="476" spans="1:24" ht="12.75">
      <c r="A476" s="44"/>
      <c r="N476" s="54"/>
      <c r="O476" s="54"/>
      <c r="P476" s="54"/>
      <c r="Q476" s="92"/>
      <c r="R476" s="55"/>
      <c r="S476" s="55"/>
      <c r="T476" s="55"/>
      <c r="U476" s="55"/>
      <c r="W476" s="273"/>
      <c r="X476" s="273"/>
    </row>
    <row r="477" spans="1:24" ht="12.75">
      <c r="A477" s="44"/>
      <c r="N477" s="54"/>
      <c r="O477" s="54"/>
      <c r="P477" s="54"/>
      <c r="Q477" s="92"/>
      <c r="R477" s="55"/>
      <c r="S477" s="55"/>
      <c r="T477" s="55"/>
      <c r="U477" s="55"/>
      <c r="W477" s="273"/>
      <c r="X477" s="273"/>
    </row>
    <row r="478" spans="1:24" ht="12.75">
      <c r="A478" s="44"/>
      <c r="N478" s="54"/>
      <c r="O478" s="54"/>
      <c r="P478" s="54"/>
      <c r="Q478" s="92"/>
      <c r="R478" s="55"/>
      <c r="S478" s="55"/>
      <c r="T478" s="55"/>
      <c r="U478" s="55"/>
      <c r="W478" s="273"/>
      <c r="X478" s="273"/>
    </row>
    <row r="479" spans="1:24" ht="12.75">
      <c r="A479" s="44"/>
      <c r="N479" s="54"/>
      <c r="O479" s="54"/>
      <c r="P479" s="54"/>
      <c r="Q479" s="92"/>
      <c r="R479" s="55"/>
      <c r="S479" s="55"/>
      <c r="T479" s="55"/>
      <c r="U479" s="55"/>
      <c r="W479" s="273"/>
      <c r="X479" s="273"/>
    </row>
    <row r="480" spans="1:24" ht="12.75">
      <c r="A480" s="44"/>
      <c r="N480" s="54"/>
      <c r="O480" s="54"/>
      <c r="P480" s="54"/>
      <c r="Q480" s="92"/>
      <c r="R480" s="55"/>
      <c r="S480" s="55"/>
      <c r="T480" s="55"/>
      <c r="U480" s="55"/>
      <c r="W480" s="273"/>
      <c r="X480" s="273"/>
    </row>
    <row r="481" spans="1:24" ht="12.75">
      <c r="A481" s="44"/>
      <c r="N481" s="54"/>
      <c r="O481" s="54"/>
      <c r="P481" s="54"/>
      <c r="Q481" s="92"/>
      <c r="R481" s="55"/>
      <c r="S481" s="55"/>
      <c r="T481" s="55"/>
      <c r="U481" s="55"/>
      <c r="W481" s="273"/>
      <c r="X481" s="273"/>
    </row>
    <row r="482" spans="1:24" ht="12.75">
      <c r="A482" s="44"/>
      <c r="N482" s="54"/>
      <c r="O482" s="54"/>
      <c r="P482" s="54"/>
      <c r="Q482" s="92"/>
      <c r="R482" s="55"/>
      <c r="S482" s="55"/>
      <c r="T482" s="55"/>
      <c r="U482" s="55"/>
      <c r="W482" s="273"/>
      <c r="X482" s="273"/>
    </row>
    <row r="483" spans="1:24" ht="12.75">
      <c r="A483" s="44"/>
      <c r="N483" s="54"/>
      <c r="O483" s="54"/>
      <c r="P483" s="54"/>
      <c r="Q483" s="92"/>
      <c r="R483" s="55"/>
      <c r="S483" s="55"/>
      <c r="T483" s="55"/>
      <c r="U483" s="55"/>
      <c r="W483" s="273"/>
      <c r="X483" s="273"/>
    </row>
    <row r="484" spans="1:24" ht="12.75">
      <c r="A484" s="44"/>
      <c r="N484" s="54"/>
      <c r="O484" s="54"/>
      <c r="P484" s="54"/>
      <c r="Q484" s="92"/>
      <c r="R484" s="55"/>
      <c r="S484" s="55"/>
      <c r="T484" s="55"/>
      <c r="U484" s="55"/>
      <c r="W484" s="273"/>
      <c r="X484" s="273"/>
    </row>
    <row r="485" spans="1:24" ht="12.75">
      <c r="A485" s="44"/>
      <c r="N485" s="54"/>
      <c r="O485" s="54"/>
      <c r="P485" s="54"/>
      <c r="Q485" s="92"/>
      <c r="R485" s="55"/>
      <c r="S485" s="55"/>
      <c r="T485" s="55"/>
      <c r="U485" s="55"/>
      <c r="W485" s="273"/>
      <c r="X485" s="273"/>
    </row>
    <row r="486" spans="1:24" ht="12.75">
      <c r="A486" s="44"/>
      <c r="N486" s="54"/>
      <c r="O486" s="54"/>
      <c r="P486" s="54"/>
      <c r="Q486" s="92"/>
      <c r="R486" s="55"/>
      <c r="S486" s="55"/>
      <c r="T486" s="55"/>
      <c r="U486" s="55"/>
      <c r="W486" s="273"/>
      <c r="X486" s="273"/>
    </row>
    <row r="487" spans="1:24" ht="12.75">
      <c r="A487" s="44"/>
      <c r="N487" s="54"/>
      <c r="O487" s="54"/>
      <c r="P487" s="54"/>
      <c r="Q487" s="92"/>
      <c r="R487" s="55"/>
      <c r="S487" s="55"/>
      <c r="T487" s="55"/>
      <c r="U487" s="55"/>
      <c r="W487" s="273"/>
      <c r="X487" s="273"/>
    </row>
    <row r="488" spans="1:24" ht="12.75">
      <c r="A488" s="44"/>
      <c r="N488" s="54"/>
      <c r="O488" s="54"/>
      <c r="P488" s="54"/>
      <c r="Q488" s="92"/>
      <c r="R488" s="55"/>
      <c r="S488" s="55"/>
      <c r="T488" s="55"/>
      <c r="U488" s="55"/>
      <c r="W488" s="273"/>
      <c r="X488" s="273"/>
    </row>
    <row r="489" spans="1:24" ht="12.75">
      <c r="A489" s="44"/>
      <c r="N489" s="54"/>
      <c r="O489" s="54"/>
      <c r="P489" s="54"/>
      <c r="Q489" s="92"/>
      <c r="R489" s="55"/>
      <c r="S489" s="55"/>
      <c r="T489" s="55"/>
      <c r="U489" s="55"/>
      <c r="W489" s="273"/>
      <c r="X489" s="273"/>
    </row>
    <row r="490" spans="1:24" ht="12.75">
      <c r="A490" s="44"/>
      <c r="N490" s="54"/>
      <c r="O490" s="54"/>
      <c r="P490" s="54"/>
      <c r="Q490" s="92"/>
      <c r="R490" s="55"/>
      <c r="S490" s="55"/>
      <c r="T490" s="55"/>
      <c r="U490" s="55"/>
      <c r="W490" s="273"/>
      <c r="X490" s="273"/>
    </row>
    <row r="491" spans="1:24" ht="12.75">
      <c r="A491" s="44"/>
      <c r="N491" s="54"/>
      <c r="O491" s="54"/>
      <c r="P491" s="54"/>
      <c r="Q491" s="92"/>
      <c r="R491" s="55"/>
      <c r="S491" s="55"/>
      <c r="T491" s="55"/>
      <c r="U491" s="55"/>
      <c r="W491" s="273"/>
      <c r="X491" s="273"/>
    </row>
    <row r="492" spans="1:24" ht="12.75">
      <c r="A492" s="44"/>
      <c r="N492" s="54"/>
      <c r="O492" s="54"/>
      <c r="P492" s="54"/>
      <c r="Q492" s="92"/>
      <c r="R492" s="55"/>
      <c r="S492" s="55"/>
      <c r="T492" s="55"/>
      <c r="U492" s="55"/>
      <c r="W492" s="273"/>
      <c r="X492" s="273"/>
    </row>
    <row r="493" spans="1:24" ht="12.75">
      <c r="A493" s="44"/>
      <c r="N493" s="54"/>
      <c r="O493" s="54"/>
      <c r="P493" s="54"/>
      <c r="Q493" s="92"/>
      <c r="R493" s="55"/>
      <c r="S493" s="55"/>
      <c r="T493" s="55"/>
      <c r="U493" s="55"/>
      <c r="W493" s="273"/>
      <c r="X493" s="273"/>
    </row>
    <row r="494" spans="1:24" ht="12.75">
      <c r="A494" s="44"/>
      <c r="N494" s="54"/>
      <c r="O494" s="54"/>
      <c r="P494" s="54"/>
      <c r="Q494" s="92"/>
      <c r="R494" s="55"/>
      <c r="S494" s="55"/>
      <c r="T494" s="55"/>
      <c r="U494" s="55"/>
      <c r="W494" s="273"/>
      <c r="X494" s="273"/>
    </row>
    <row r="495" spans="1:24" ht="12.75">
      <c r="A495" s="44"/>
      <c r="N495" s="54"/>
      <c r="O495" s="54"/>
      <c r="P495" s="54"/>
      <c r="Q495" s="92"/>
      <c r="R495" s="55"/>
      <c r="S495" s="55"/>
      <c r="T495" s="55"/>
      <c r="U495" s="55"/>
      <c r="W495" s="273"/>
      <c r="X495" s="273"/>
    </row>
    <row r="496" spans="1:24" ht="12.75">
      <c r="A496" s="44"/>
      <c r="N496" s="54"/>
      <c r="O496" s="54"/>
      <c r="P496" s="54"/>
      <c r="Q496" s="92"/>
      <c r="R496" s="55"/>
      <c r="S496" s="55"/>
      <c r="T496" s="55"/>
      <c r="U496" s="55"/>
      <c r="W496" s="273"/>
      <c r="X496" s="273"/>
    </row>
    <row r="497" spans="1:24" ht="12.75">
      <c r="A497" s="44"/>
      <c r="N497" s="54"/>
      <c r="O497" s="54"/>
      <c r="P497" s="54"/>
      <c r="Q497" s="92"/>
      <c r="R497" s="55"/>
      <c r="S497" s="55"/>
      <c r="T497" s="55"/>
      <c r="U497" s="55"/>
      <c r="W497" s="273"/>
      <c r="X497" s="273"/>
    </row>
    <row r="498" spans="1:24" ht="12.75">
      <c r="A498" s="44"/>
      <c r="N498" s="54"/>
      <c r="O498" s="54"/>
      <c r="P498" s="54"/>
      <c r="Q498" s="92"/>
      <c r="R498" s="55"/>
      <c r="S498" s="55"/>
      <c r="T498" s="55"/>
      <c r="U498" s="55"/>
      <c r="W498" s="273"/>
      <c r="X498" s="273"/>
    </row>
    <row r="499" spans="1:24" ht="12.75">
      <c r="A499" s="44"/>
      <c r="N499" s="54"/>
      <c r="O499" s="54"/>
      <c r="P499" s="54"/>
      <c r="Q499" s="92"/>
      <c r="R499" s="55"/>
      <c r="S499" s="55"/>
      <c r="T499" s="55"/>
      <c r="U499" s="55"/>
      <c r="W499" s="273"/>
      <c r="X499" s="273"/>
    </row>
    <row r="500" spans="1:24" ht="12.75">
      <c r="A500" s="44"/>
      <c r="N500" s="54"/>
      <c r="O500" s="54"/>
      <c r="P500" s="54"/>
      <c r="Q500" s="92"/>
      <c r="R500" s="55"/>
      <c r="S500" s="55"/>
      <c r="T500" s="55"/>
      <c r="U500" s="55"/>
      <c r="W500" s="273"/>
      <c r="X500" s="273"/>
    </row>
    <row r="501" spans="1:24" ht="12.75">
      <c r="A501" s="44"/>
      <c r="N501" s="54"/>
      <c r="O501" s="54"/>
      <c r="P501" s="54"/>
      <c r="Q501" s="92"/>
      <c r="R501" s="55"/>
      <c r="S501" s="55"/>
      <c r="T501" s="55"/>
      <c r="U501" s="55"/>
      <c r="W501" s="273"/>
      <c r="X501" s="273"/>
    </row>
    <row r="502" spans="1:24" ht="12.75">
      <c r="A502" s="44"/>
      <c r="N502" s="54"/>
      <c r="O502" s="54"/>
      <c r="P502" s="54"/>
      <c r="Q502" s="92"/>
      <c r="R502" s="55"/>
      <c r="S502" s="55"/>
      <c r="T502" s="55"/>
      <c r="U502" s="55"/>
      <c r="W502" s="273"/>
      <c r="X502" s="273"/>
    </row>
    <row r="503" spans="1:24" ht="12.75">
      <c r="A503" s="44"/>
      <c r="N503" s="54"/>
      <c r="O503" s="54"/>
      <c r="P503" s="54"/>
      <c r="Q503" s="92"/>
      <c r="R503" s="55"/>
      <c r="S503" s="55"/>
      <c r="T503" s="55"/>
      <c r="U503" s="55"/>
      <c r="W503" s="273"/>
      <c r="X503" s="273"/>
    </row>
    <row r="504" spans="1:24" ht="12.75">
      <c r="A504" s="44"/>
      <c r="N504" s="54"/>
      <c r="O504" s="54"/>
      <c r="P504" s="54"/>
      <c r="Q504" s="92"/>
      <c r="R504" s="55"/>
      <c r="S504" s="55"/>
      <c r="T504" s="55"/>
      <c r="U504" s="55"/>
      <c r="W504" s="273"/>
      <c r="X504" s="273"/>
    </row>
    <row r="505" spans="1:24" ht="12.75">
      <c r="A505" s="44"/>
      <c r="N505" s="54"/>
      <c r="O505" s="54"/>
      <c r="P505" s="54"/>
      <c r="Q505" s="92"/>
      <c r="R505" s="55"/>
      <c r="S505" s="55"/>
      <c r="T505" s="55"/>
      <c r="U505" s="55"/>
      <c r="W505" s="273"/>
      <c r="X505" s="273"/>
    </row>
    <row r="506" spans="1:24" ht="12.75">
      <c r="A506" s="44"/>
      <c r="N506" s="54"/>
      <c r="O506" s="54"/>
      <c r="P506" s="54"/>
      <c r="Q506" s="92"/>
      <c r="R506" s="55"/>
      <c r="S506" s="55"/>
      <c r="T506" s="55"/>
      <c r="U506" s="55"/>
      <c r="W506" s="273"/>
      <c r="X506" s="273"/>
    </row>
    <row r="507" spans="1:24" ht="12.75">
      <c r="A507" s="44"/>
      <c r="N507" s="54"/>
      <c r="O507" s="54"/>
      <c r="P507" s="54"/>
      <c r="Q507" s="92"/>
      <c r="R507" s="55"/>
      <c r="S507" s="55"/>
      <c r="T507" s="55"/>
      <c r="U507" s="55"/>
      <c r="W507" s="273"/>
      <c r="X507" s="273"/>
    </row>
    <row r="508" spans="1:24" ht="12.75">
      <c r="A508" s="44"/>
      <c r="N508" s="54"/>
      <c r="O508" s="54"/>
      <c r="P508" s="54"/>
      <c r="Q508" s="92"/>
      <c r="R508" s="55"/>
      <c r="S508" s="55"/>
      <c r="T508" s="55"/>
      <c r="U508" s="55"/>
      <c r="W508" s="273"/>
      <c r="X508" s="273"/>
    </row>
    <row r="509" spans="1:24" ht="12.75">
      <c r="A509" s="44"/>
      <c r="N509" s="54"/>
      <c r="O509" s="54"/>
      <c r="P509" s="54"/>
      <c r="Q509" s="92"/>
      <c r="R509" s="55"/>
      <c r="S509" s="55"/>
      <c r="T509" s="55"/>
      <c r="U509" s="55"/>
      <c r="W509" s="273"/>
      <c r="X509" s="273"/>
    </row>
    <row r="510" spans="1:24" ht="12.75">
      <c r="A510" s="44"/>
      <c r="N510" s="54"/>
      <c r="O510" s="54"/>
      <c r="P510" s="54"/>
      <c r="Q510" s="92"/>
      <c r="R510" s="55"/>
      <c r="S510" s="55"/>
      <c r="T510" s="55"/>
      <c r="U510" s="55"/>
      <c r="W510" s="273"/>
      <c r="X510" s="273"/>
    </row>
    <row r="511" spans="1:24" ht="12.75">
      <c r="A511" s="44"/>
      <c r="N511" s="54"/>
      <c r="O511" s="54"/>
      <c r="P511" s="54"/>
      <c r="Q511" s="92"/>
      <c r="R511" s="55"/>
      <c r="S511" s="55"/>
      <c r="T511" s="55"/>
      <c r="U511" s="55"/>
      <c r="W511" s="273"/>
      <c r="X511" s="273"/>
    </row>
    <row r="512" spans="1:24" ht="12.75">
      <c r="A512" s="44"/>
      <c r="N512" s="54"/>
      <c r="O512" s="54"/>
      <c r="P512" s="54"/>
      <c r="Q512" s="92"/>
      <c r="R512" s="55"/>
      <c r="S512" s="55"/>
      <c r="T512" s="55"/>
      <c r="U512" s="55"/>
      <c r="W512" s="273"/>
      <c r="X512" s="273"/>
    </row>
    <row r="513" spans="1:24" ht="12.75">
      <c r="A513" s="44"/>
      <c r="N513" s="54"/>
      <c r="O513" s="54"/>
      <c r="P513" s="54"/>
      <c r="Q513" s="92"/>
      <c r="R513" s="55"/>
      <c r="S513" s="55"/>
      <c r="T513" s="55"/>
      <c r="U513" s="55"/>
      <c r="W513" s="273"/>
      <c r="X513" s="273"/>
    </row>
    <row r="514" spans="1:24" ht="12.75">
      <c r="A514" s="44"/>
      <c r="N514" s="54"/>
      <c r="O514" s="54"/>
      <c r="P514" s="54"/>
      <c r="Q514" s="92"/>
      <c r="R514" s="55"/>
      <c r="S514" s="55"/>
      <c r="T514" s="55"/>
      <c r="U514" s="55"/>
      <c r="W514" s="273"/>
      <c r="X514" s="273"/>
    </row>
    <row r="515" spans="1:24" ht="12.75">
      <c r="A515" s="44"/>
      <c r="N515" s="54"/>
      <c r="O515" s="54"/>
      <c r="P515" s="54"/>
      <c r="Q515" s="92"/>
      <c r="R515" s="55"/>
      <c r="S515" s="55"/>
      <c r="T515" s="55"/>
      <c r="U515" s="55"/>
      <c r="W515" s="273"/>
      <c r="X515" s="273"/>
    </row>
    <row r="516" spans="1:24" ht="12.75">
      <c r="A516" s="44"/>
      <c r="N516" s="54"/>
      <c r="O516" s="54"/>
      <c r="P516" s="54"/>
      <c r="Q516" s="92"/>
      <c r="R516" s="55"/>
      <c r="S516" s="55"/>
      <c r="T516" s="55"/>
      <c r="U516" s="55"/>
      <c r="W516" s="273"/>
      <c r="X516" s="273"/>
    </row>
    <row r="517" spans="1:24" ht="12.75">
      <c r="A517" s="44"/>
      <c r="N517" s="54"/>
      <c r="O517" s="54"/>
      <c r="P517" s="54"/>
      <c r="Q517" s="92"/>
      <c r="R517" s="55"/>
      <c r="S517" s="55"/>
      <c r="T517" s="55"/>
      <c r="U517" s="55"/>
      <c r="W517" s="273"/>
      <c r="X517" s="273"/>
    </row>
    <row r="518" spans="1:24" ht="12.75">
      <c r="A518" s="44"/>
      <c r="N518" s="54"/>
      <c r="O518" s="54"/>
      <c r="P518" s="54"/>
      <c r="Q518" s="92"/>
      <c r="R518" s="55"/>
      <c r="S518" s="55"/>
      <c r="T518" s="55"/>
      <c r="U518" s="55"/>
      <c r="W518" s="273"/>
      <c r="X518" s="273"/>
    </row>
    <row r="519" spans="1:24" ht="12.75">
      <c r="A519" s="44"/>
      <c r="N519" s="54"/>
      <c r="O519" s="54"/>
      <c r="P519" s="54"/>
      <c r="Q519" s="92"/>
      <c r="R519" s="55"/>
      <c r="S519" s="55"/>
      <c r="T519" s="55"/>
      <c r="U519" s="55"/>
      <c r="W519" s="273"/>
      <c r="X519" s="273"/>
    </row>
    <row r="520" spans="1:24" ht="12.75">
      <c r="A520" s="44"/>
      <c r="N520" s="54"/>
      <c r="O520" s="54"/>
      <c r="P520" s="54"/>
      <c r="Q520" s="92"/>
      <c r="R520" s="55"/>
      <c r="S520" s="55"/>
      <c r="T520" s="55"/>
      <c r="U520" s="55"/>
      <c r="W520" s="273"/>
      <c r="X520" s="273"/>
    </row>
    <row r="521" spans="1:24" ht="12.75">
      <c r="A521" s="44"/>
      <c r="N521" s="54"/>
      <c r="O521" s="54"/>
      <c r="P521" s="54"/>
      <c r="Q521" s="92"/>
      <c r="R521" s="55"/>
      <c r="S521" s="55"/>
      <c r="T521" s="55"/>
      <c r="U521" s="55"/>
      <c r="W521" s="273"/>
      <c r="X521" s="273"/>
    </row>
    <row r="522" spans="1:24" ht="12.75">
      <c r="A522" s="44"/>
      <c r="N522" s="54"/>
      <c r="O522" s="54"/>
      <c r="P522" s="54"/>
      <c r="Q522" s="92"/>
      <c r="R522" s="55"/>
      <c r="S522" s="55"/>
      <c r="T522" s="55"/>
      <c r="U522" s="55"/>
      <c r="W522" s="273"/>
      <c r="X522" s="273"/>
    </row>
    <row r="523" spans="1:24" ht="12.75">
      <c r="A523" s="44"/>
      <c r="N523" s="54"/>
      <c r="O523" s="54"/>
      <c r="P523" s="54"/>
      <c r="Q523" s="92"/>
      <c r="R523" s="55"/>
      <c r="S523" s="55"/>
      <c r="T523" s="55"/>
      <c r="U523" s="55"/>
      <c r="W523" s="273"/>
      <c r="X523" s="273"/>
    </row>
    <row r="524" spans="1:24" ht="12.75">
      <c r="A524" s="44"/>
      <c r="N524" s="54"/>
      <c r="O524" s="54"/>
      <c r="P524" s="54"/>
      <c r="Q524" s="92"/>
      <c r="R524" s="55"/>
      <c r="S524" s="55"/>
      <c r="T524" s="55"/>
      <c r="U524" s="55"/>
      <c r="W524" s="273"/>
      <c r="X524" s="273"/>
    </row>
    <row r="525" spans="1:24" ht="12.75">
      <c r="A525" s="44"/>
      <c r="N525" s="54"/>
      <c r="O525" s="54"/>
      <c r="P525" s="54"/>
      <c r="Q525" s="92"/>
      <c r="R525" s="55"/>
      <c r="S525" s="55"/>
      <c r="T525" s="55"/>
      <c r="U525" s="55"/>
      <c r="W525" s="273"/>
      <c r="X525" s="273"/>
    </row>
    <row r="526" spans="1:24" ht="12.75">
      <c r="A526" s="44"/>
      <c r="N526" s="54"/>
      <c r="O526" s="54"/>
      <c r="P526" s="54"/>
      <c r="Q526" s="92"/>
      <c r="R526" s="55"/>
      <c r="S526" s="55"/>
      <c r="T526" s="55"/>
      <c r="U526" s="55"/>
      <c r="W526" s="273"/>
      <c r="X526" s="273"/>
    </row>
    <row r="527" spans="1:24" ht="12.75">
      <c r="A527" s="44"/>
      <c r="N527" s="54"/>
      <c r="O527" s="54"/>
      <c r="P527" s="54"/>
      <c r="Q527" s="92"/>
      <c r="R527" s="55"/>
      <c r="S527" s="55"/>
      <c r="T527" s="55"/>
      <c r="U527" s="55"/>
      <c r="W527" s="273"/>
      <c r="X527" s="273"/>
    </row>
    <row r="528" spans="1:24" ht="12.75">
      <c r="A528" s="44"/>
      <c r="N528" s="54"/>
      <c r="O528" s="54"/>
      <c r="P528" s="54"/>
      <c r="Q528" s="92"/>
      <c r="R528" s="55"/>
      <c r="S528" s="55"/>
      <c r="T528" s="55"/>
      <c r="U528" s="55"/>
      <c r="W528" s="273"/>
      <c r="X528" s="273"/>
    </row>
    <row r="529" spans="1:24" ht="12.75">
      <c r="A529" s="44"/>
      <c r="N529" s="54"/>
      <c r="O529" s="54"/>
      <c r="P529" s="54"/>
      <c r="Q529" s="92"/>
      <c r="R529" s="55"/>
      <c r="S529" s="55"/>
      <c r="T529" s="55"/>
      <c r="U529" s="55"/>
      <c r="W529" s="273"/>
      <c r="X529" s="273"/>
    </row>
    <row r="530" spans="1:24" ht="12.75">
      <c r="A530" s="44"/>
      <c r="N530" s="54"/>
      <c r="O530" s="54"/>
      <c r="P530" s="54"/>
      <c r="Q530" s="92"/>
      <c r="R530" s="55"/>
      <c r="S530" s="55"/>
      <c r="T530" s="55"/>
      <c r="U530" s="55"/>
      <c r="W530" s="273"/>
      <c r="X530" s="273"/>
    </row>
    <row r="531" spans="1:24" ht="12.75">
      <c r="A531" s="44"/>
      <c r="N531" s="54"/>
      <c r="O531" s="54"/>
      <c r="P531" s="54"/>
      <c r="Q531" s="92"/>
      <c r="R531" s="55"/>
      <c r="S531" s="55"/>
      <c r="T531" s="55"/>
      <c r="U531" s="55"/>
      <c r="W531" s="273"/>
      <c r="X531" s="273"/>
    </row>
    <row r="532" spans="1:24" ht="12.75">
      <c r="A532" s="44"/>
      <c r="N532" s="54"/>
      <c r="O532" s="54"/>
      <c r="P532" s="54"/>
      <c r="Q532" s="92"/>
      <c r="R532" s="55"/>
      <c r="S532" s="55"/>
      <c r="T532" s="55"/>
      <c r="U532" s="55"/>
      <c r="W532" s="273"/>
      <c r="X532" s="273"/>
    </row>
    <row r="533" spans="1:24" ht="12.75">
      <c r="A533" s="44"/>
      <c r="N533" s="54"/>
      <c r="O533" s="54"/>
      <c r="P533" s="54"/>
      <c r="Q533" s="92"/>
      <c r="R533" s="55"/>
      <c r="S533" s="55"/>
      <c r="T533" s="55"/>
      <c r="U533" s="55"/>
      <c r="W533" s="273"/>
      <c r="X533" s="273"/>
    </row>
    <row r="534" spans="1:24" ht="12.75">
      <c r="A534" s="44"/>
      <c r="N534" s="54"/>
      <c r="O534" s="54"/>
      <c r="P534" s="54"/>
      <c r="Q534" s="92"/>
      <c r="R534" s="55"/>
      <c r="S534" s="55"/>
      <c r="T534" s="55"/>
      <c r="U534" s="55"/>
      <c r="W534" s="273"/>
      <c r="X534" s="273"/>
    </row>
    <row r="535" spans="1:24" ht="12.75">
      <c r="A535" s="44"/>
      <c r="N535" s="54"/>
      <c r="O535" s="54"/>
      <c r="P535" s="54"/>
      <c r="Q535" s="92"/>
      <c r="R535" s="55"/>
      <c r="S535" s="55"/>
      <c r="T535" s="55"/>
      <c r="U535" s="55"/>
      <c r="W535" s="273"/>
      <c r="X535" s="273"/>
    </row>
    <row r="536" spans="1:24" ht="12.75">
      <c r="A536" s="44"/>
      <c r="N536" s="54"/>
      <c r="O536" s="54"/>
      <c r="P536" s="54"/>
      <c r="Q536" s="92"/>
      <c r="R536" s="55"/>
      <c r="S536" s="55"/>
      <c r="T536" s="55"/>
      <c r="U536" s="55"/>
      <c r="W536" s="273"/>
      <c r="X536" s="273"/>
    </row>
    <row r="537" spans="1:24" ht="12.75">
      <c r="A537" s="44"/>
      <c r="N537" s="54"/>
      <c r="O537" s="54"/>
      <c r="P537" s="54"/>
      <c r="Q537" s="92"/>
      <c r="R537" s="55"/>
      <c r="S537" s="55"/>
      <c r="T537" s="55"/>
      <c r="U537" s="55"/>
      <c r="W537" s="273"/>
      <c r="X537" s="273"/>
    </row>
    <row r="538" spans="1:24" ht="12.75">
      <c r="A538" s="44"/>
      <c r="N538" s="54"/>
      <c r="O538" s="54"/>
      <c r="P538" s="54"/>
      <c r="Q538" s="92"/>
      <c r="R538" s="55"/>
      <c r="S538" s="55"/>
      <c r="T538" s="55"/>
      <c r="U538" s="55"/>
      <c r="W538" s="273"/>
      <c r="X538" s="273"/>
    </row>
    <row r="539" spans="1:24" ht="12.75">
      <c r="A539" s="44"/>
      <c r="N539" s="54"/>
      <c r="O539" s="54"/>
      <c r="P539" s="54"/>
      <c r="Q539" s="92"/>
      <c r="R539" s="55"/>
      <c r="S539" s="55"/>
      <c r="T539" s="55"/>
      <c r="U539" s="55"/>
      <c r="W539" s="273"/>
      <c r="X539" s="273"/>
    </row>
    <row r="540" spans="1:24" ht="12.75">
      <c r="A540" s="44"/>
      <c r="N540" s="54"/>
      <c r="O540" s="54"/>
      <c r="P540" s="54"/>
      <c r="Q540" s="92"/>
      <c r="R540" s="55"/>
      <c r="S540" s="55"/>
      <c r="T540" s="55"/>
      <c r="U540" s="55"/>
      <c r="W540" s="273"/>
      <c r="X540" s="273"/>
    </row>
    <row r="541" spans="1:24" ht="12.75">
      <c r="A541" s="44"/>
      <c r="N541" s="54"/>
      <c r="O541" s="54"/>
      <c r="P541" s="54"/>
      <c r="Q541" s="92"/>
      <c r="R541" s="55"/>
      <c r="S541" s="55"/>
      <c r="T541" s="55"/>
      <c r="U541" s="55"/>
      <c r="W541" s="273"/>
      <c r="X541" s="273"/>
    </row>
    <row r="542" spans="1:24" ht="12.75">
      <c r="A542" s="44"/>
      <c r="N542" s="54"/>
      <c r="O542" s="54"/>
      <c r="P542" s="54"/>
      <c r="Q542" s="92"/>
      <c r="R542" s="55"/>
      <c r="S542" s="55"/>
      <c r="T542" s="55"/>
      <c r="U542" s="55"/>
      <c r="W542" s="273"/>
      <c r="X542" s="273"/>
    </row>
    <row r="543" spans="1:24" ht="12.75">
      <c r="A543" s="44"/>
      <c r="N543" s="54"/>
      <c r="O543" s="54"/>
      <c r="P543" s="54"/>
      <c r="Q543" s="92"/>
      <c r="R543" s="55"/>
      <c r="S543" s="55"/>
      <c r="T543" s="55"/>
      <c r="U543" s="55"/>
      <c r="W543" s="273"/>
      <c r="X543" s="273"/>
    </row>
    <row r="544" spans="1:24" ht="12.75">
      <c r="A544" s="44"/>
      <c r="N544" s="54"/>
      <c r="O544" s="54"/>
      <c r="P544" s="54"/>
      <c r="Q544" s="92"/>
      <c r="R544" s="55"/>
      <c r="S544" s="55"/>
      <c r="T544" s="55"/>
      <c r="U544" s="55"/>
      <c r="W544" s="273"/>
      <c r="X544" s="273"/>
    </row>
    <row r="545" spans="1:24" ht="12.75">
      <c r="A545" s="44"/>
      <c r="N545" s="54"/>
      <c r="O545" s="54"/>
      <c r="P545" s="54"/>
      <c r="Q545" s="92"/>
      <c r="R545" s="55"/>
      <c r="S545" s="55"/>
      <c r="T545" s="55"/>
      <c r="U545" s="55"/>
      <c r="W545" s="273"/>
      <c r="X545" s="273"/>
    </row>
    <row r="546" spans="1:24" ht="12.75">
      <c r="A546" s="44"/>
      <c r="N546" s="54"/>
      <c r="O546" s="54"/>
      <c r="P546" s="54"/>
      <c r="Q546" s="92"/>
      <c r="R546" s="55"/>
      <c r="S546" s="55"/>
      <c r="T546" s="55"/>
      <c r="U546" s="55"/>
      <c r="W546" s="273"/>
      <c r="X546" s="273"/>
    </row>
    <row r="547" spans="1:24" ht="12.75">
      <c r="A547" s="44"/>
      <c r="N547" s="54"/>
      <c r="O547" s="54"/>
      <c r="P547" s="54"/>
      <c r="Q547" s="92"/>
      <c r="R547" s="55"/>
      <c r="S547" s="55"/>
      <c r="T547" s="55"/>
      <c r="U547" s="55"/>
      <c r="W547" s="273"/>
      <c r="X547" s="273"/>
    </row>
    <row r="548" spans="1:24" ht="12.75">
      <c r="A548" s="44"/>
      <c r="N548" s="54"/>
      <c r="O548" s="54"/>
      <c r="P548" s="54"/>
      <c r="Q548" s="92"/>
      <c r="R548" s="55"/>
      <c r="S548" s="55"/>
      <c r="T548" s="55"/>
      <c r="U548" s="55"/>
      <c r="W548" s="273"/>
      <c r="X548" s="273"/>
    </row>
    <row r="549" spans="1:24" ht="12.75">
      <c r="A549" s="44"/>
      <c r="N549" s="54"/>
      <c r="O549" s="54"/>
      <c r="P549" s="54"/>
      <c r="Q549" s="92"/>
      <c r="R549" s="55"/>
      <c r="S549" s="55"/>
      <c r="T549" s="55"/>
      <c r="U549" s="55"/>
      <c r="W549" s="273"/>
      <c r="X549" s="273"/>
    </row>
    <row r="550" spans="1:24" ht="12.75">
      <c r="A550" s="44"/>
      <c r="N550" s="54"/>
      <c r="O550" s="54"/>
      <c r="P550" s="54"/>
      <c r="Q550" s="92"/>
      <c r="R550" s="55"/>
      <c r="S550" s="55"/>
      <c r="T550" s="55"/>
      <c r="U550" s="55"/>
      <c r="W550" s="273"/>
      <c r="X550" s="273"/>
    </row>
    <row r="551" spans="1:24" ht="12.75">
      <c r="A551" s="44"/>
      <c r="N551" s="54"/>
      <c r="O551" s="54"/>
      <c r="P551" s="54"/>
      <c r="Q551" s="92"/>
      <c r="R551" s="55"/>
      <c r="S551" s="55"/>
      <c r="T551" s="55"/>
      <c r="U551" s="55"/>
      <c r="W551" s="273"/>
      <c r="X551" s="273"/>
    </row>
    <row r="552" spans="1:24" ht="12.75">
      <c r="A552" s="44"/>
      <c r="N552" s="54"/>
      <c r="O552" s="54"/>
      <c r="P552" s="54"/>
      <c r="Q552" s="92"/>
      <c r="R552" s="55"/>
      <c r="S552" s="55"/>
      <c r="T552" s="55"/>
      <c r="U552" s="55"/>
      <c r="W552" s="273"/>
      <c r="X552" s="273"/>
    </row>
    <row r="553" spans="1:24" ht="12.75">
      <c r="A553" s="44"/>
      <c r="N553" s="54"/>
      <c r="O553" s="54"/>
      <c r="P553" s="54"/>
      <c r="Q553" s="92"/>
      <c r="R553" s="55"/>
      <c r="S553" s="55"/>
      <c r="T553" s="55"/>
      <c r="U553" s="55"/>
      <c r="W553" s="273"/>
      <c r="X553" s="273"/>
    </row>
    <row r="554" spans="1:24" ht="12.75">
      <c r="A554" s="44"/>
      <c r="N554" s="54"/>
      <c r="O554" s="54"/>
      <c r="P554" s="54"/>
      <c r="Q554" s="92"/>
      <c r="R554" s="55"/>
      <c r="S554" s="55"/>
      <c r="T554" s="55"/>
      <c r="U554" s="55"/>
      <c r="W554" s="273"/>
      <c r="X554" s="273"/>
    </row>
    <row r="555" spans="1:24" ht="12.75">
      <c r="A555" s="44"/>
      <c r="N555" s="54"/>
      <c r="O555" s="54"/>
      <c r="P555" s="54"/>
      <c r="Q555" s="92"/>
      <c r="R555" s="55"/>
      <c r="S555" s="55"/>
      <c r="T555" s="55"/>
      <c r="U555" s="55"/>
      <c r="W555" s="273"/>
      <c r="X555" s="273"/>
    </row>
    <row r="556" spans="1:24" ht="12.75">
      <c r="A556" s="44"/>
      <c r="N556" s="54"/>
      <c r="O556" s="54"/>
      <c r="P556" s="54"/>
      <c r="Q556" s="92"/>
      <c r="R556" s="55"/>
      <c r="S556" s="55"/>
      <c r="T556" s="55"/>
      <c r="U556" s="55"/>
      <c r="W556" s="273"/>
      <c r="X556" s="273"/>
    </row>
    <row r="557" spans="1:24" ht="12.75">
      <c r="A557" s="44"/>
      <c r="N557" s="54"/>
      <c r="O557" s="54"/>
      <c r="P557" s="54"/>
      <c r="Q557" s="92"/>
      <c r="R557" s="55"/>
      <c r="S557" s="55"/>
      <c r="T557" s="55"/>
      <c r="U557" s="55"/>
      <c r="W557" s="273"/>
      <c r="X557" s="273"/>
    </row>
    <row r="558" spans="1:24" ht="12.75">
      <c r="A558" s="44"/>
      <c r="N558" s="54"/>
      <c r="O558" s="54"/>
      <c r="P558" s="54"/>
      <c r="Q558" s="92"/>
      <c r="R558" s="55"/>
      <c r="S558" s="55"/>
      <c r="T558" s="55"/>
      <c r="U558" s="55"/>
      <c r="W558" s="273"/>
      <c r="X558" s="273"/>
    </row>
    <row r="559" spans="1:24" ht="12.75">
      <c r="A559" s="44"/>
      <c r="N559" s="54"/>
      <c r="O559" s="54"/>
      <c r="P559" s="54"/>
      <c r="Q559" s="92"/>
      <c r="R559" s="55"/>
      <c r="S559" s="55"/>
      <c r="T559" s="55"/>
      <c r="U559" s="55"/>
      <c r="W559" s="273"/>
      <c r="X559" s="273"/>
    </row>
    <row r="560" spans="1:24" ht="12.75">
      <c r="A560" s="44"/>
      <c r="N560" s="54"/>
      <c r="O560" s="54"/>
      <c r="P560" s="54"/>
      <c r="Q560" s="92"/>
      <c r="R560" s="55"/>
      <c r="S560" s="55"/>
      <c r="T560" s="55"/>
      <c r="U560" s="55"/>
      <c r="W560" s="273"/>
      <c r="X560" s="273"/>
    </row>
    <row r="561" spans="1:24" ht="12.75">
      <c r="A561" s="44"/>
      <c r="N561" s="54"/>
      <c r="O561" s="54"/>
      <c r="P561" s="54"/>
      <c r="Q561" s="92"/>
      <c r="R561" s="55"/>
      <c r="S561" s="55"/>
      <c r="T561" s="55"/>
      <c r="U561" s="55"/>
      <c r="W561" s="273"/>
      <c r="X561" s="273"/>
    </row>
    <row r="562" spans="1:24" ht="12.75">
      <c r="A562" s="44"/>
      <c r="N562" s="54"/>
      <c r="O562" s="54"/>
      <c r="P562" s="54"/>
      <c r="Q562" s="92"/>
      <c r="R562" s="55"/>
      <c r="S562" s="55"/>
      <c r="T562" s="55"/>
      <c r="U562" s="55"/>
      <c r="W562" s="273"/>
      <c r="X562" s="273"/>
    </row>
    <row r="563" spans="1:24" ht="12.75">
      <c r="A563" s="44"/>
      <c r="N563" s="54"/>
      <c r="O563" s="54"/>
      <c r="P563" s="54"/>
      <c r="Q563" s="92"/>
      <c r="R563" s="55"/>
      <c r="S563" s="55"/>
      <c r="T563" s="55"/>
      <c r="U563" s="55"/>
      <c r="W563" s="273"/>
      <c r="X563" s="273"/>
    </row>
    <row r="564" spans="1:24" ht="12.75">
      <c r="A564" s="44"/>
      <c r="N564" s="54"/>
      <c r="O564" s="54"/>
      <c r="P564" s="54"/>
      <c r="Q564" s="92"/>
      <c r="R564" s="55"/>
      <c r="S564" s="55"/>
      <c r="T564" s="55"/>
      <c r="U564" s="55"/>
      <c r="W564" s="273"/>
      <c r="X564" s="273"/>
    </row>
    <row r="565" spans="1:24" ht="12.75">
      <c r="A565" s="44"/>
      <c r="N565" s="54"/>
      <c r="O565" s="54"/>
      <c r="P565" s="54"/>
      <c r="Q565" s="92"/>
      <c r="R565" s="55"/>
      <c r="S565" s="55"/>
      <c r="T565" s="55"/>
      <c r="U565" s="55"/>
      <c r="W565" s="273"/>
      <c r="X565" s="273"/>
    </row>
    <row r="566" spans="1:24" ht="12.75">
      <c r="A566" s="44"/>
      <c r="N566" s="54"/>
      <c r="O566" s="54"/>
      <c r="P566" s="54"/>
      <c r="Q566" s="92"/>
      <c r="R566" s="55"/>
      <c r="S566" s="55"/>
      <c r="T566" s="55"/>
      <c r="U566" s="55"/>
      <c r="W566" s="273"/>
      <c r="X566" s="273"/>
    </row>
    <row r="567" spans="1:24" ht="12.75">
      <c r="A567" s="44"/>
      <c r="N567" s="54"/>
      <c r="O567" s="54"/>
      <c r="P567" s="54"/>
      <c r="Q567" s="92"/>
      <c r="R567" s="55"/>
      <c r="S567" s="55"/>
      <c r="T567" s="55"/>
      <c r="U567" s="55"/>
      <c r="W567" s="273"/>
      <c r="X567" s="273"/>
    </row>
    <row r="568" spans="1:24" ht="12.75">
      <c r="A568" s="44"/>
      <c r="N568" s="54"/>
      <c r="O568" s="54"/>
      <c r="P568" s="54"/>
      <c r="Q568" s="92"/>
      <c r="R568" s="55"/>
      <c r="S568" s="55"/>
      <c r="T568" s="55"/>
      <c r="U568" s="55"/>
      <c r="W568" s="273"/>
      <c r="X568" s="273"/>
    </row>
    <row r="569" spans="1:24" ht="12.75">
      <c r="A569" s="44"/>
      <c r="N569" s="54"/>
      <c r="O569" s="54"/>
      <c r="P569" s="54"/>
      <c r="Q569" s="92"/>
      <c r="R569" s="55"/>
      <c r="S569" s="55"/>
      <c r="T569" s="55"/>
      <c r="U569" s="55"/>
      <c r="W569" s="273"/>
      <c r="X569" s="273"/>
    </row>
    <row r="570" spans="1:24" ht="12.75">
      <c r="A570" s="44"/>
      <c r="N570" s="54"/>
      <c r="O570" s="54"/>
      <c r="P570" s="54"/>
      <c r="Q570" s="92"/>
      <c r="R570" s="55"/>
      <c r="S570" s="55"/>
      <c r="T570" s="55"/>
      <c r="U570" s="55"/>
      <c r="W570" s="273"/>
      <c r="X570" s="273"/>
    </row>
    <row r="571" spans="1:24" ht="12.75">
      <c r="A571" s="44"/>
      <c r="N571" s="54"/>
      <c r="O571" s="54"/>
      <c r="P571" s="54"/>
      <c r="Q571" s="92"/>
      <c r="R571" s="55"/>
      <c r="S571" s="55"/>
      <c r="T571" s="55"/>
      <c r="U571" s="55"/>
      <c r="W571" s="273"/>
      <c r="X571" s="273"/>
    </row>
    <row r="572" spans="1:24" ht="12.75">
      <c r="A572" s="44"/>
      <c r="N572" s="54"/>
      <c r="O572" s="54"/>
      <c r="P572" s="54"/>
      <c r="Q572" s="92"/>
      <c r="R572" s="55"/>
      <c r="S572" s="55"/>
      <c r="T572" s="55"/>
      <c r="U572" s="55"/>
      <c r="W572" s="273"/>
      <c r="X572" s="273"/>
    </row>
    <row r="573" spans="1:24" ht="12.75">
      <c r="A573" s="44"/>
      <c r="N573" s="54"/>
      <c r="O573" s="54"/>
      <c r="P573" s="54"/>
      <c r="Q573" s="92"/>
      <c r="R573" s="55"/>
      <c r="S573" s="55"/>
      <c r="T573" s="55"/>
      <c r="U573" s="55"/>
      <c r="W573" s="273"/>
      <c r="X573" s="273"/>
    </row>
    <row r="574" spans="1:24" ht="12.75">
      <c r="A574" s="44"/>
      <c r="N574" s="54"/>
      <c r="O574" s="54"/>
      <c r="P574" s="54"/>
      <c r="Q574" s="92"/>
      <c r="R574" s="55"/>
      <c r="S574" s="55"/>
      <c r="T574" s="55"/>
      <c r="U574" s="55"/>
      <c r="W574" s="273"/>
      <c r="X574" s="273"/>
    </row>
    <row r="575" spans="1:24" ht="12.75">
      <c r="A575" s="44"/>
      <c r="N575" s="54"/>
      <c r="O575" s="54"/>
      <c r="P575" s="54"/>
      <c r="Q575" s="92"/>
      <c r="R575" s="55"/>
      <c r="S575" s="55"/>
      <c r="T575" s="55"/>
      <c r="U575" s="55"/>
      <c r="W575" s="273"/>
      <c r="X575" s="273"/>
    </row>
    <row r="576" spans="1:24" ht="12.75">
      <c r="A576" s="44"/>
      <c r="N576" s="54"/>
      <c r="O576" s="54"/>
      <c r="P576" s="54"/>
      <c r="Q576" s="92"/>
      <c r="R576" s="55"/>
      <c r="S576" s="55"/>
      <c r="T576" s="55"/>
      <c r="U576" s="55"/>
      <c r="W576" s="273"/>
      <c r="X576" s="273"/>
    </row>
    <row r="577" spans="1:24" ht="12.75">
      <c r="A577" s="44"/>
      <c r="N577" s="54"/>
      <c r="O577" s="54"/>
      <c r="P577" s="54"/>
      <c r="Q577" s="92"/>
      <c r="R577" s="55"/>
      <c r="S577" s="55"/>
      <c r="T577" s="55"/>
      <c r="U577" s="55"/>
      <c r="W577" s="273"/>
      <c r="X577" s="273"/>
    </row>
    <row r="578" spans="1:24" ht="12.75">
      <c r="A578" s="44"/>
      <c r="N578" s="54"/>
      <c r="O578" s="54"/>
      <c r="P578" s="54"/>
      <c r="Q578" s="92"/>
      <c r="R578" s="55"/>
      <c r="S578" s="55"/>
      <c r="T578" s="55"/>
      <c r="U578" s="55"/>
      <c r="W578" s="273"/>
      <c r="X578" s="273"/>
    </row>
    <row r="579" spans="1:24" ht="12.75">
      <c r="A579" s="44"/>
      <c r="N579" s="54"/>
      <c r="O579" s="54"/>
      <c r="P579" s="54"/>
      <c r="Q579" s="92"/>
      <c r="R579" s="55"/>
      <c r="S579" s="55"/>
      <c r="T579" s="55"/>
      <c r="U579" s="55"/>
      <c r="W579" s="273"/>
      <c r="X579" s="273"/>
    </row>
    <row r="580" spans="1:24" ht="12.75">
      <c r="A580" s="44"/>
      <c r="N580" s="54"/>
      <c r="O580" s="54"/>
      <c r="P580" s="54"/>
      <c r="Q580" s="92"/>
      <c r="R580" s="55"/>
      <c r="S580" s="55"/>
      <c r="T580" s="55"/>
      <c r="U580" s="55"/>
      <c r="W580" s="273"/>
      <c r="X580" s="273"/>
    </row>
    <row r="581" spans="1:24" ht="12.75">
      <c r="A581" s="44"/>
      <c r="N581" s="54"/>
      <c r="O581" s="54"/>
      <c r="P581" s="54"/>
      <c r="Q581" s="92"/>
      <c r="R581" s="55"/>
      <c r="S581" s="55"/>
      <c r="T581" s="55"/>
      <c r="U581" s="55"/>
      <c r="W581" s="273"/>
      <c r="X581" s="273"/>
    </row>
    <row r="582" spans="1:24" ht="12.75">
      <c r="A582" s="44"/>
      <c r="N582" s="54"/>
      <c r="O582" s="54"/>
      <c r="P582" s="54"/>
      <c r="Q582" s="92"/>
      <c r="R582" s="55"/>
      <c r="S582" s="55"/>
      <c r="T582" s="55"/>
      <c r="U582" s="55"/>
      <c r="W582" s="273"/>
      <c r="X582" s="273"/>
    </row>
    <row r="583" spans="1:24" ht="12.75">
      <c r="A583" s="44"/>
      <c r="N583" s="54"/>
      <c r="O583" s="54"/>
      <c r="P583" s="54"/>
      <c r="Q583" s="92"/>
      <c r="R583" s="55"/>
      <c r="S583" s="55"/>
      <c r="T583" s="55"/>
      <c r="U583" s="55"/>
      <c r="W583" s="273"/>
      <c r="X583" s="273"/>
    </row>
    <row r="584" spans="1:24" ht="12.75">
      <c r="A584" s="44"/>
      <c r="N584" s="54"/>
      <c r="O584" s="54"/>
      <c r="P584" s="54"/>
      <c r="Q584" s="92"/>
      <c r="R584" s="55"/>
      <c r="S584" s="55"/>
      <c r="T584" s="55"/>
      <c r="U584" s="55"/>
      <c r="W584" s="273"/>
      <c r="X584" s="273"/>
    </row>
    <row r="585" spans="1:24" ht="12.75">
      <c r="A585" s="44"/>
      <c r="N585" s="54"/>
      <c r="O585" s="54"/>
      <c r="P585" s="54"/>
      <c r="Q585" s="92"/>
      <c r="R585" s="55"/>
      <c r="S585" s="55"/>
      <c r="T585" s="55"/>
      <c r="U585" s="55"/>
      <c r="W585" s="273"/>
      <c r="X585" s="273"/>
    </row>
    <row r="586" spans="1:24" ht="12.75">
      <c r="A586" s="44"/>
      <c r="N586" s="54"/>
      <c r="O586" s="54"/>
      <c r="P586" s="54"/>
      <c r="Q586" s="92"/>
      <c r="R586" s="55"/>
      <c r="S586" s="55"/>
      <c r="T586" s="55"/>
      <c r="U586" s="55"/>
      <c r="W586" s="273"/>
      <c r="X586" s="273"/>
    </row>
    <row r="587" spans="1:24" ht="12.75">
      <c r="A587" s="44"/>
      <c r="N587" s="54"/>
      <c r="O587" s="54"/>
      <c r="P587" s="54"/>
      <c r="Q587" s="92"/>
      <c r="R587" s="55"/>
      <c r="S587" s="55"/>
      <c r="T587" s="55"/>
      <c r="U587" s="55"/>
      <c r="W587" s="273"/>
      <c r="X587" s="273"/>
    </row>
    <row r="588" spans="1:24" ht="12.75">
      <c r="A588" s="44"/>
      <c r="N588" s="54"/>
      <c r="O588" s="54"/>
      <c r="P588" s="54"/>
      <c r="Q588" s="92"/>
      <c r="R588" s="55"/>
      <c r="S588" s="55"/>
      <c r="T588" s="55"/>
      <c r="U588" s="55"/>
      <c r="W588" s="273"/>
      <c r="X588" s="273"/>
    </row>
    <row r="589" spans="1:24" ht="12.75">
      <c r="A589" s="44"/>
      <c r="N589" s="54"/>
      <c r="O589" s="54"/>
      <c r="P589" s="54"/>
      <c r="Q589" s="92"/>
      <c r="R589" s="55"/>
      <c r="S589" s="55"/>
      <c r="T589" s="55"/>
      <c r="U589" s="55"/>
      <c r="W589" s="273"/>
      <c r="X589" s="273"/>
    </row>
    <row r="590" spans="1:24" ht="12.75">
      <c r="A590" s="44"/>
      <c r="N590" s="54"/>
      <c r="O590" s="54"/>
      <c r="P590" s="54"/>
      <c r="Q590" s="92"/>
      <c r="R590" s="55"/>
      <c r="S590" s="55"/>
      <c r="T590" s="55"/>
      <c r="U590" s="55"/>
      <c r="W590" s="273"/>
      <c r="X590" s="273"/>
    </row>
    <row r="591" spans="1:24" ht="12.75">
      <c r="A591" s="44"/>
      <c r="N591" s="54"/>
      <c r="O591" s="54"/>
      <c r="P591" s="54"/>
      <c r="Q591" s="92"/>
      <c r="R591" s="55"/>
      <c r="S591" s="55"/>
      <c r="T591" s="55"/>
      <c r="U591" s="55"/>
      <c r="W591" s="273"/>
      <c r="X591" s="273"/>
    </row>
    <row r="592" spans="1:24" ht="12.75">
      <c r="A592" s="44"/>
      <c r="N592" s="54"/>
      <c r="O592" s="54"/>
      <c r="P592" s="54"/>
      <c r="Q592" s="92"/>
      <c r="R592" s="55"/>
      <c r="S592" s="55"/>
      <c r="T592" s="55"/>
      <c r="U592" s="55"/>
      <c r="W592" s="273"/>
      <c r="X592" s="273"/>
    </row>
    <row r="593" spans="1:24" ht="12.75">
      <c r="A593" s="44"/>
      <c r="N593" s="54"/>
      <c r="O593" s="54"/>
      <c r="P593" s="54"/>
      <c r="Q593" s="92"/>
      <c r="R593" s="55"/>
      <c r="S593" s="55"/>
      <c r="T593" s="55"/>
      <c r="U593" s="55"/>
      <c r="W593" s="273"/>
      <c r="X593" s="273"/>
    </row>
    <row r="594" spans="1:24" ht="12.75">
      <c r="A594" s="44"/>
      <c r="N594" s="54"/>
      <c r="O594" s="54"/>
      <c r="P594" s="54"/>
      <c r="Q594" s="92"/>
      <c r="R594" s="55"/>
      <c r="S594" s="55"/>
      <c r="T594" s="55"/>
      <c r="U594" s="55"/>
      <c r="W594" s="273"/>
      <c r="X594" s="273"/>
    </row>
    <row r="595" spans="1:24" ht="12.75">
      <c r="A595" s="44"/>
      <c r="N595" s="54"/>
      <c r="O595" s="54"/>
      <c r="P595" s="54"/>
      <c r="Q595" s="92"/>
      <c r="R595" s="55"/>
      <c r="S595" s="55"/>
      <c r="T595" s="55"/>
      <c r="U595" s="55"/>
      <c r="W595" s="273"/>
      <c r="X595" s="273"/>
    </row>
    <row r="596" spans="1:24" ht="12.75">
      <c r="A596" s="44"/>
      <c r="N596" s="54"/>
      <c r="O596" s="54"/>
      <c r="P596" s="54"/>
      <c r="Q596" s="92"/>
      <c r="R596" s="55"/>
      <c r="S596" s="55"/>
      <c r="T596" s="55"/>
      <c r="U596" s="55"/>
      <c r="W596" s="273"/>
      <c r="X596" s="273"/>
    </row>
    <row r="597" spans="1:24" ht="12.75">
      <c r="A597" s="44"/>
      <c r="N597" s="54"/>
      <c r="O597" s="54"/>
      <c r="P597" s="54"/>
      <c r="Q597" s="92"/>
      <c r="R597" s="55"/>
      <c r="S597" s="55"/>
      <c r="T597" s="55"/>
      <c r="U597" s="55"/>
      <c r="W597" s="273"/>
      <c r="X597" s="273"/>
    </row>
    <row r="598" spans="1:24" ht="12.75">
      <c r="A598" s="44"/>
      <c r="N598" s="54"/>
      <c r="O598" s="54"/>
      <c r="P598" s="54"/>
      <c r="Q598" s="92"/>
      <c r="R598" s="55"/>
      <c r="S598" s="55"/>
      <c r="T598" s="55"/>
      <c r="U598" s="55"/>
      <c r="W598" s="273"/>
      <c r="X598" s="273"/>
    </row>
    <row r="599" spans="1:24" ht="12.75">
      <c r="A599" s="44"/>
      <c r="N599" s="54"/>
      <c r="O599" s="54"/>
      <c r="P599" s="54"/>
      <c r="Q599" s="92"/>
      <c r="R599" s="55"/>
      <c r="S599" s="55"/>
      <c r="T599" s="55"/>
      <c r="U599" s="55"/>
      <c r="W599" s="273"/>
      <c r="X599" s="273"/>
    </row>
    <row r="600" spans="1:24" ht="12.75">
      <c r="A600" s="44"/>
      <c r="N600" s="54"/>
      <c r="O600" s="54"/>
      <c r="P600" s="54"/>
      <c r="Q600" s="92"/>
      <c r="R600" s="55"/>
      <c r="S600" s="55"/>
      <c r="T600" s="55"/>
      <c r="U600" s="55"/>
      <c r="W600" s="273"/>
      <c r="X600" s="273"/>
    </row>
    <row r="601" spans="1:24" ht="12.75">
      <c r="A601" s="44"/>
      <c r="N601" s="54"/>
      <c r="O601" s="54"/>
      <c r="P601" s="54"/>
      <c r="Q601" s="92"/>
      <c r="R601" s="55"/>
      <c r="S601" s="55"/>
      <c r="T601" s="55"/>
      <c r="U601" s="55"/>
      <c r="W601" s="273"/>
      <c r="X601" s="273"/>
    </row>
    <row r="602" spans="1:24" ht="12.75">
      <c r="A602" s="44"/>
      <c r="N602" s="54"/>
      <c r="O602" s="54"/>
      <c r="P602" s="54"/>
      <c r="Q602" s="92"/>
      <c r="R602" s="55"/>
      <c r="S602" s="55"/>
      <c r="T602" s="55"/>
      <c r="U602" s="55"/>
      <c r="W602" s="273"/>
      <c r="X602" s="273"/>
    </row>
    <row r="603" spans="1:24" ht="12.75">
      <c r="A603" s="44"/>
      <c r="N603" s="54"/>
      <c r="O603" s="54"/>
      <c r="P603" s="54"/>
      <c r="Q603" s="92"/>
      <c r="R603" s="55"/>
      <c r="S603" s="55"/>
      <c r="T603" s="55"/>
      <c r="U603" s="55"/>
      <c r="W603" s="273"/>
      <c r="X603" s="273"/>
    </row>
    <row r="604" spans="1:24" ht="12.75">
      <c r="A604" s="44"/>
      <c r="N604" s="54"/>
      <c r="O604" s="54"/>
      <c r="P604" s="54"/>
      <c r="Q604" s="92"/>
      <c r="R604" s="55"/>
      <c r="S604" s="55"/>
      <c r="T604" s="55"/>
      <c r="U604" s="55"/>
      <c r="W604" s="273"/>
      <c r="X604" s="273"/>
    </row>
    <row r="605" spans="1:24" ht="12.75">
      <c r="A605" s="44"/>
      <c r="N605" s="54"/>
      <c r="O605" s="54"/>
      <c r="P605" s="54"/>
      <c r="Q605" s="92"/>
      <c r="R605" s="55"/>
      <c r="S605" s="55"/>
      <c r="T605" s="55"/>
      <c r="U605" s="55"/>
      <c r="W605" s="273"/>
      <c r="X605" s="273"/>
    </row>
    <row r="606" spans="1:24" ht="12.75">
      <c r="A606" s="44"/>
      <c r="N606" s="54"/>
      <c r="O606" s="54"/>
      <c r="P606" s="54"/>
      <c r="Q606" s="92"/>
      <c r="R606" s="55"/>
      <c r="S606" s="55"/>
      <c r="T606" s="55"/>
      <c r="U606" s="55"/>
      <c r="W606" s="273"/>
      <c r="X606" s="273"/>
    </row>
    <row r="607" spans="1:24" ht="12.75">
      <c r="A607" s="44"/>
      <c r="N607" s="54"/>
      <c r="O607" s="54"/>
      <c r="P607" s="54"/>
      <c r="Q607" s="92"/>
      <c r="R607" s="55"/>
      <c r="S607" s="55"/>
      <c r="T607" s="55"/>
      <c r="U607" s="55"/>
      <c r="W607" s="273"/>
      <c r="X607" s="273"/>
    </row>
    <row r="608" spans="1:24" ht="12.75">
      <c r="A608" s="44"/>
      <c r="N608" s="54"/>
      <c r="O608" s="54"/>
      <c r="P608" s="54"/>
      <c r="Q608" s="92"/>
      <c r="R608" s="55"/>
      <c r="S608" s="55"/>
      <c r="T608" s="55"/>
      <c r="U608" s="55"/>
      <c r="W608" s="273"/>
      <c r="X608" s="273"/>
    </row>
    <row r="609" spans="1:24" ht="12.75">
      <c r="A609" s="44"/>
      <c r="N609" s="54"/>
      <c r="O609" s="54"/>
      <c r="P609" s="54"/>
      <c r="Q609" s="92"/>
      <c r="R609" s="55"/>
      <c r="S609" s="55"/>
      <c r="T609" s="55"/>
      <c r="U609" s="55"/>
      <c r="W609" s="273"/>
      <c r="X609" s="273"/>
    </row>
    <row r="610" spans="1:24" ht="12.75">
      <c r="A610" s="44"/>
      <c r="N610" s="54"/>
      <c r="O610" s="54"/>
      <c r="P610" s="54"/>
      <c r="Q610" s="92"/>
      <c r="R610" s="55"/>
      <c r="S610" s="55"/>
      <c r="T610" s="55"/>
      <c r="U610" s="55"/>
      <c r="W610" s="273"/>
      <c r="X610" s="273"/>
    </row>
    <row r="611" spans="1:24" ht="12.75">
      <c r="A611" s="44"/>
      <c r="N611" s="54"/>
      <c r="O611" s="54"/>
      <c r="P611" s="54"/>
      <c r="Q611" s="92"/>
      <c r="R611" s="55"/>
      <c r="S611" s="55"/>
      <c r="T611" s="55"/>
      <c r="U611" s="55"/>
      <c r="W611" s="273"/>
      <c r="X611" s="273"/>
    </row>
    <row r="612" spans="1:24" ht="12.75">
      <c r="A612" s="44"/>
      <c r="N612" s="54"/>
      <c r="O612" s="54"/>
      <c r="P612" s="54"/>
      <c r="Q612" s="92"/>
      <c r="R612" s="55"/>
      <c r="S612" s="55"/>
      <c r="T612" s="55"/>
      <c r="U612" s="55"/>
      <c r="W612" s="273"/>
      <c r="X612" s="273"/>
    </row>
    <row r="613" spans="1:24" ht="12.75">
      <c r="A613" s="44"/>
      <c r="N613" s="54"/>
      <c r="O613" s="54"/>
      <c r="P613" s="54"/>
      <c r="Q613" s="92"/>
      <c r="R613" s="55"/>
      <c r="S613" s="55"/>
      <c r="T613" s="55"/>
      <c r="U613" s="55"/>
      <c r="W613" s="273"/>
      <c r="X613" s="273"/>
    </row>
    <row r="614" spans="1:24" ht="12.75">
      <c r="A614" s="44"/>
      <c r="N614" s="54"/>
      <c r="O614" s="54"/>
      <c r="P614" s="54"/>
      <c r="Q614" s="92"/>
      <c r="R614" s="55"/>
      <c r="S614" s="55"/>
      <c r="T614" s="55"/>
      <c r="U614" s="55"/>
      <c r="W614" s="273"/>
      <c r="X614" s="273"/>
    </row>
    <row r="615" spans="1:24" ht="12.75">
      <c r="A615" s="44"/>
      <c r="N615" s="54"/>
      <c r="O615" s="54"/>
      <c r="P615" s="54"/>
      <c r="Q615" s="92"/>
      <c r="R615" s="55"/>
      <c r="S615" s="55"/>
      <c r="T615" s="55"/>
      <c r="U615" s="55"/>
      <c r="W615" s="273"/>
      <c r="X615" s="273"/>
    </row>
    <row r="616" spans="1:24" ht="12.75">
      <c r="A616" s="44"/>
      <c r="N616" s="54"/>
      <c r="O616" s="54"/>
      <c r="P616" s="54"/>
      <c r="Q616" s="92"/>
      <c r="R616" s="55"/>
      <c r="S616" s="55"/>
      <c r="T616" s="55"/>
      <c r="U616" s="55"/>
      <c r="W616" s="273"/>
      <c r="X616" s="273"/>
    </row>
    <row r="617" spans="1:24" ht="12.75">
      <c r="A617" s="44"/>
      <c r="N617" s="54"/>
      <c r="O617" s="54"/>
      <c r="P617" s="54"/>
      <c r="Q617" s="92"/>
      <c r="R617" s="55"/>
      <c r="S617" s="55"/>
      <c r="T617" s="55"/>
      <c r="U617" s="55"/>
      <c r="W617" s="273"/>
      <c r="X617" s="273"/>
    </row>
    <row r="618" spans="1:24" ht="12.75">
      <c r="A618" s="44"/>
      <c r="N618" s="54"/>
      <c r="O618" s="54"/>
      <c r="P618" s="54"/>
      <c r="Q618" s="92"/>
      <c r="R618" s="55"/>
      <c r="S618" s="55"/>
      <c r="T618" s="55"/>
      <c r="U618" s="55"/>
      <c r="W618" s="273"/>
      <c r="X618" s="273"/>
    </row>
    <row r="619" spans="1:24" ht="12.75">
      <c r="A619" s="44"/>
      <c r="N619" s="54"/>
      <c r="O619" s="54"/>
      <c r="P619" s="54"/>
      <c r="Q619" s="92"/>
      <c r="R619" s="55"/>
      <c r="S619" s="55"/>
      <c r="T619" s="55"/>
      <c r="U619" s="55"/>
      <c r="W619" s="273"/>
      <c r="X619" s="273"/>
    </row>
    <row r="620" spans="1:24" ht="12.75">
      <c r="A620" s="44"/>
      <c r="N620" s="54"/>
      <c r="O620" s="54"/>
      <c r="P620" s="54"/>
      <c r="Q620" s="92"/>
      <c r="R620" s="55"/>
      <c r="S620" s="55"/>
      <c r="T620" s="55"/>
      <c r="U620" s="55"/>
      <c r="W620" s="273"/>
      <c r="X620" s="273"/>
    </row>
    <row r="621" spans="1:24" ht="12.75">
      <c r="A621" s="44"/>
      <c r="N621" s="54"/>
      <c r="O621" s="54"/>
      <c r="P621" s="54"/>
      <c r="Q621" s="92"/>
      <c r="R621" s="55"/>
      <c r="S621" s="55"/>
      <c r="T621" s="55"/>
      <c r="U621" s="55"/>
      <c r="W621" s="273"/>
      <c r="X621" s="273"/>
    </row>
    <row r="622" spans="1:24" ht="12.75">
      <c r="A622" s="44"/>
      <c r="N622" s="54"/>
      <c r="O622" s="54"/>
      <c r="P622" s="54"/>
      <c r="Q622" s="92"/>
      <c r="R622" s="55"/>
      <c r="S622" s="55"/>
      <c r="T622" s="55"/>
      <c r="U622" s="55"/>
      <c r="W622" s="273"/>
      <c r="X622" s="273"/>
    </row>
    <row r="623" spans="1:24" ht="12.75">
      <c r="A623" s="44"/>
      <c r="N623" s="54"/>
      <c r="O623" s="54"/>
      <c r="P623" s="54"/>
      <c r="Q623" s="92"/>
      <c r="R623" s="55"/>
      <c r="S623" s="55"/>
      <c r="T623" s="55"/>
      <c r="U623" s="55"/>
      <c r="W623" s="273"/>
      <c r="X623" s="273"/>
    </row>
    <row r="624" spans="1:24" ht="12.75">
      <c r="A624" s="44"/>
      <c r="N624" s="54"/>
      <c r="O624" s="54"/>
      <c r="P624" s="54"/>
      <c r="Q624" s="92"/>
      <c r="R624" s="55"/>
      <c r="S624" s="55"/>
      <c r="T624" s="55"/>
      <c r="U624" s="55"/>
      <c r="W624" s="273"/>
      <c r="X624" s="273"/>
    </row>
    <row r="625" spans="1:24" ht="12.75">
      <c r="A625" s="44"/>
      <c r="N625" s="54"/>
      <c r="O625" s="54"/>
      <c r="P625" s="54"/>
      <c r="Q625" s="92"/>
      <c r="R625" s="55"/>
      <c r="S625" s="55"/>
      <c r="T625" s="55"/>
      <c r="U625" s="55"/>
      <c r="W625" s="273"/>
      <c r="X625" s="273"/>
    </row>
    <row r="626" spans="1:24" ht="12.75">
      <c r="A626" s="44"/>
      <c r="N626" s="54"/>
      <c r="O626" s="54"/>
      <c r="P626" s="54"/>
      <c r="Q626" s="92"/>
      <c r="R626" s="55"/>
      <c r="S626" s="55"/>
      <c r="T626" s="55"/>
      <c r="U626" s="55"/>
      <c r="W626" s="273"/>
      <c r="X626" s="273"/>
    </row>
    <row r="627" spans="1:24" ht="12.75">
      <c r="A627" s="44"/>
      <c r="N627" s="54"/>
      <c r="O627" s="54"/>
      <c r="P627" s="54"/>
      <c r="Q627" s="92"/>
      <c r="R627" s="55"/>
      <c r="S627" s="55"/>
      <c r="T627" s="55"/>
      <c r="U627" s="55"/>
      <c r="W627" s="273"/>
      <c r="X627" s="273"/>
    </row>
    <row r="628" spans="1:24" ht="12.75">
      <c r="A628" s="44"/>
      <c r="N628" s="54"/>
      <c r="O628" s="54"/>
      <c r="P628" s="54"/>
      <c r="Q628" s="92"/>
      <c r="R628" s="55"/>
      <c r="S628" s="55"/>
      <c r="T628" s="55"/>
      <c r="U628" s="55"/>
      <c r="W628" s="273"/>
      <c r="X628" s="273"/>
    </row>
    <row r="629" spans="1:24" ht="12.75">
      <c r="A629" s="44"/>
      <c r="N629" s="54"/>
      <c r="O629" s="54"/>
      <c r="P629" s="54"/>
      <c r="Q629" s="92"/>
      <c r="R629" s="55"/>
      <c r="S629" s="55"/>
      <c r="T629" s="55"/>
      <c r="U629" s="55"/>
      <c r="W629" s="273"/>
      <c r="X629" s="273"/>
    </row>
    <row r="630" spans="1:24" ht="12.75">
      <c r="A630" s="44"/>
      <c r="N630" s="54"/>
      <c r="O630" s="54"/>
      <c r="P630" s="54"/>
      <c r="Q630" s="92"/>
      <c r="R630" s="55"/>
      <c r="S630" s="55"/>
      <c r="T630" s="55"/>
      <c r="U630" s="55"/>
      <c r="W630" s="273"/>
      <c r="X630" s="273"/>
    </row>
    <row r="631" spans="1:24" ht="12.75">
      <c r="A631" s="44"/>
      <c r="N631" s="54"/>
      <c r="O631" s="54"/>
      <c r="P631" s="54"/>
      <c r="Q631" s="92"/>
      <c r="R631" s="55"/>
      <c r="S631" s="55"/>
      <c r="T631" s="55"/>
      <c r="U631" s="55"/>
      <c r="W631" s="273"/>
      <c r="X631" s="273"/>
    </row>
    <row r="632" spans="1:24" ht="12.75">
      <c r="A632" s="44"/>
      <c r="N632" s="54"/>
      <c r="O632" s="54"/>
      <c r="P632" s="54"/>
      <c r="Q632" s="92"/>
      <c r="R632" s="55"/>
      <c r="S632" s="55"/>
      <c r="T632" s="55"/>
      <c r="U632" s="55"/>
      <c r="W632" s="273"/>
      <c r="X632" s="273"/>
    </row>
    <row r="633" spans="1:24" ht="12.75">
      <c r="A633" s="44"/>
      <c r="N633" s="54"/>
      <c r="O633" s="54"/>
      <c r="P633" s="54"/>
      <c r="Q633" s="92"/>
      <c r="R633" s="55"/>
      <c r="S633" s="55"/>
      <c r="T633" s="55"/>
      <c r="U633" s="55"/>
      <c r="W633" s="273"/>
      <c r="X633" s="273"/>
    </row>
    <row r="634" spans="1:24" ht="12.75">
      <c r="A634" s="44"/>
      <c r="N634" s="54"/>
      <c r="O634" s="54"/>
      <c r="P634" s="54"/>
      <c r="Q634" s="92"/>
      <c r="R634" s="55"/>
      <c r="S634" s="55"/>
      <c r="T634" s="55"/>
      <c r="U634" s="55"/>
      <c r="W634" s="273"/>
      <c r="X634" s="273"/>
    </row>
    <row r="635" spans="1:24" ht="12.75">
      <c r="A635" s="44"/>
      <c r="N635" s="54"/>
      <c r="O635" s="54"/>
      <c r="P635" s="54"/>
      <c r="Q635" s="92"/>
      <c r="R635" s="55"/>
      <c r="S635" s="55"/>
      <c r="T635" s="55"/>
      <c r="U635" s="55"/>
      <c r="W635" s="273"/>
      <c r="X635" s="273"/>
    </row>
    <row r="636" spans="1:24" ht="12.75">
      <c r="A636" s="44"/>
      <c r="N636" s="54"/>
      <c r="O636" s="54"/>
      <c r="P636" s="54"/>
      <c r="Q636" s="92"/>
      <c r="R636" s="55"/>
      <c r="S636" s="55"/>
      <c r="T636" s="55"/>
      <c r="U636" s="55"/>
      <c r="W636" s="273"/>
      <c r="X636" s="273"/>
    </row>
    <row r="637" spans="1:24" ht="12.75">
      <c r="A637" s="44"/>
      <c r="N637" s="54"/>
      <c r="O637" s="54"/>
      <c r="P637" s="54"/>
      <c r="Q637" s="92"/>
      <c r="R637" s="55"/>
      <c r="S637" s="55"/>
      <c r="T637" s="55"/>
      <c r="U637" s="55"/>
      <c r="W637" s="273"/>
      <c r="X637" s="273"/>
    </row>
    <row r="638" spans="1:24" ht="12.75">
      <c r="A638" s="44"/>
      <c r="N638" s="54"/>
      <c r="O638" s="54"/>
      <c r="P638" s="54"/>
      <c r="Q638" s="92"/>
      <c r="R638" s="55"/>
      <c r="S638" s="55"/>
      <c r="T638" s="55"/>
      <c r="U638" s="55"/>
      <c r="W638" s="273"/>
      <c r="X638" s="273"/>
    </row>
    <row r="639" spans="1:24" ht="12.75">
      <c r="A639" s="44"/>
      <c r="N639" s="54"/>
      <c r="O639" s="54"/>
      <c r="P639" s="54"/>
      <c r="Q639" s="92"/>
      <c r="R639" s="55"/>
      <c r="S639" s="55"/>
      <c r="T639" s="55"/>
      <c r="U639" s="55"/>
      <c r="W639" s="273"/>
      <c r="X639" s="273"/>
    </row>
    <row r="640" spans="1:24" ht="12.75">
      <c r="A640" s="44"/>
      <c r="N640" s="54"/>
      <c r="O640" s="54"/>
      <c r="P640" s="54"/>
      <c r="Q640" s="92"/>
      <c r="R640" s="55"/>
      <c r="S640" s="55"/>
      <c r="T640" s="55"/>
      <c r="U640" s="55"/>
      <c r="W640" s="273"/>
      <c r="X640" s="273"/>
    </row>
    <row r="641" spans="1:24" ht="12.75">
      <c r="A641" s="44"/>
      <c r="N641" s="54"/>
      <c r="O641" s="54"/>
      <c r="P641" s="54"/>
      <c r="Q641" s="92"/>
      <c r="R641" s="55"/>
      <c r="S641" s="55"/>
      <c r="T641" s="55"/>
      <c r="U641" s="55"/>
      <c r="W641" s="273"/>
      <c r="X641" s="273"/>
    </row>
    <row r="642" spans="1:24" ht="12.75">
      <c r="A642" s="44"/>
      <c r="N642" s="54"/>
      <c r="O642" s="54"/>
      <c r="P642" s="54"/>
      <c r="Q642" s="92"/>
      <c r="R642" s="55"/>
      <c r="S642" s="55"/>
      <c r="T642" s="55"/>
      <c r="U642" s="55"/>
      <c r="W642" s="273"/>
      <c r="X642" s="273"/>
    </row>
    <row r="643" spans="1:24" ht="12.75">
      <c r="A643" s="44"/>
      <c r="N643" s="54"/>
      <c r="O643" s="54"/>
      <c r="P643" s="54"/>
      <c r="Q643" s="92"/>
      <c r="R643" s="55"/>
      <c r="S643" s="55"/>
      <c r="T643" s="55"/>
      <c r="U643" s="55"/>
      <c r="W643" s="273"/>
      <c r="X643" s="273"/>
    </row>
    <row r="644" spans="1:24" ht="12.75">
      <c r="A644" s="44"/>
      <c r="N644" s="54"/>
      <c r="O644" s="54"/>
      <c r="P644" s="54"/>
      <c r="Q644" s="92"/>
      <c r="R644" s="55"/>
      <c r="S644" s="55"/>
      <c r="T644" s="55"/>
      <c r="U644" s="55"/>
      <c r="W644" s="273"/>
      <c r="X644" s="273"/>
    </row>
    <row r="645" spans="1:24" ht="12.75">
      <c r="A645" s="44"/>
      <c r="N645" s="54"/>
      <c r="O645" s="54"/>
      <c r="P645" s="54"/>
      <c r="Q645" s="92"/>
      <c r="R645" s="55"/>
      <c r="S645" s="55"/>
      <c r="T645" s="55"/>
      <c r="U645" s="55"/>
      <c r="W645" s="273"/>
      <c r="X645" s="273"/>
    </row>
    <row r="646" spans="1:24" ht="12.75">
      <c r="A646" s="44"/>
      <c r="N646" s="54"/>
      <c r="O646" s="54"/>
      <c r="P646" s="54"/>
      <c r="Q646" s="92"/>
      <c r="R646" s="55"/>
      <c r="S646" s="55"/>
      <c r="T646" s="55"/>
      <c r="U646" s="55"/>
      <c r="W646" s="273"/>
      <c r="X646" s="273"/>
    </row>
    <row r="647" spans="1:24" ht="12.75">
      <c r="A647" s="44"/>
      <c r="N647" s="54"/>
      <c r="O647" s="54"/>
      <c r="P647" s="54"/>
      <c r="Q647" s="92"/>
      <c r="R647" s="55"/>
      <c r="S647" s="55"/>
      <c r="T647" s="55"/>
      <c r="U647" s="55"/>
      <c r="W647" s="273"/>
      <c r="X647" s="273"/>
    </row>
    <row r="648" spans="1:24" ht="12.75">
      <c r="A648" s="44"/>
      <c r="N648" s="54"/>
      <c r="O648" s="54"/>
      <c r="P648" s="54"/>
      <c r="Q648" s="92"/>
      <c r="R648" s="55"/>
      <c r="S648" s="55"/>
      <c r="T648" s="55"/>
      <c r="U648" s="55"/>
      <c r="W648" s="273"/>
      <c r="X648" s="273"/>
    </row>
    <row r="649" spans="1:24" ht="12.75">
      <c r="A649" s="44"/>
      <c r="N649" s="54"/>
      <c r="O649" s="54"/>
      <c r="P649" s="54"/>
      <c r="Q649" s="92"/>
      <c r="R649" s="55"/>
      <c r="S649" s="55"/>
      <c r="T649" s="55"/>
      <c r="U649" s="55"/>
      <c r="W649" s="273"/>
      <c r="X649" s="273"/>
    </row>
    <row r="650" spans="1:24" ht="12.75">
      <c r="A650" s="44"/>
      <c r="N650" s="54"/>
      <c r="O650" s="54"/>
      <c r="P650" s="54"/>
      <c r="Q650" s="92"/>
      <c r="R650" s="55"/>
      <c r="S650" s="55"/>
      <c r="T650" s="55"/>
      <c r="U650" s="55"/>
      <c r="W650" s="273"/>
      <c r="X650" s="273"/>
    </row>
    <row r="651" spans="1:24" ht="12.75">
      <c r="A651" s="44"/>
      <c r="N651" s="54"/>
      <c r="O651" s="54"/>
      <c r="P651" s="54"/>
      <c r="Q651" s="92"/>
      <c r="R651" s="55"/>
      <c r="S651" s="55"/>
      <c r="T651" s="55"/>
      <c r="U651" s="55"/>
      <c r="W651" s="273"/>
      <c r="X651" s="273"/>
    </row>
    <row r="652" spans="1:24" ht="12.75">
      <c r="A652" s="44"/>
      <c r="N652" s="54"/>
      <c r="O652" s="54"/>
      <c r="P652" s="54"/>
      <c r="Q652" s="92"/>
      <c r="R652" s="55"/>
      <c r="S652" s="55"/>
      <c r="T652" s="55"/>
      <c r="U652" s="55"/>
      <c r="W652" s="273"/>
      <c r="X652" s="273"/>
    </row>
    <row r="653" spans="1:24" ht="12.75">
      <c r="A653" s="44"/>
      <c r="N653" s="54"/>
      <c r="O653" s="54"/>
      <c r="P653" s="54"/>
      <c r="Q653" s="92"/>
      <c r="R653" s="55"/>
      <c r="S653" s="55"/>
      <c r="T653" s="55"/>
      <c r="U653" s="55"/>
      <c r="W653" s="273"/>
      <c r="X653" s="273"/>
    </row>
    <row r="654" spans="1:24" ht="12.75">
      <c r="A654" s="44"/>
      <c r="N654" s="54"/>
      <c r="O654" s="54"/>
      <c r="P654" s="54"/>
      <c r="Q654" s="92"/>
      <c r="R654" s="55"/>
      <c r="S654" s="55"/>
      <c r="T654" s="55"/>
      <c r="U654" s="55"/>
      <c r="W654" s="273"/>
      <c r="X654" s="273"/>
    </row>
    <row r="655" spans="1:24" ht="12.75">
      <c r="A655" s="44"/>
      <c r="N655" s="54"/>
      <c r="O655" s="54"/>
      <c r="P655" s="54"/>
      <c r="Q655" s="92"/>
      <c r="R655" s="55"/>
      <c r="S655" s="55"/>
      <c r="T655" s="55"/>
      <c r="U655" s="55"/>
      <c r="W655" s="273"/>
      <c r="X655" s="273"/>
    </row>
    <row r="656" spans="1:24" ht="12.75">
      <c r="A656" s="44"/>
      <c r="N656" s="54"/>
      <c r="O656" s="54"/>
      <c r="P656" s="54"/>
      <c r="Q656" s="92"/>
      <c r="R656" s="55"/>
      <c r="S656" s="55"/>
      <c r="T656" s="55"/>
      <c r="U656" s="55"/>
      <c r="W656" s="273"/>
      <c r="X656" s="273"/>
    </row>
    <row r="657" spans="1:24" ht="12.75">
      <c r="A657" s="44"/>
      <c r="N657" s="54"/>
      <c r="O657" s="54"/>
      <c r="P657" s="54"/>
      <c r="Q657" s="92"/>
      <c r="R657" s="55"/>
      <c r="S657" s="55"/>
      <c r="T657" s="55"/>
      <c r="U657" s="55"/>
      <c r="W657" s="273"/>
      <c r="X657" s="273"/>
    </row>
    <row r="658" spans="1:24" ht="12.75">
      <c r="A658" s="44"/>
      <c r="N658" s="54"/>
      <c r="O658" s="54"/>
      <c r="P658" s="54"/>
      <c r="Q658" s="92"/>
      <c r="R658" s="55"/>
      <c r="S658" s="55"/>
      <c r="T658" s="55"/>
      <c r="U658" s="55"/>
      <c r="W658" s="273"/>
      <c r="X658" s="273"/>
    </row>
    <row r="659" spans="1:24" ht="12.75">
      <c r="A659" s="44"/>
      <c r="N659" s="54"/>
      <c r="O659" s="54"/>
      <c r="P659" s="54"/>
      <c r="Q659" s="92"/>
      <c r="R659" s="55"/>
      <c r="S659" s="55"/>
      <c r="T659" s="55"/>
      <c r="U659" s="55"/>
      <c r="W659" s="273"/>
      <c r="X659" s="273"/>
    </row>
    <row r="660" spans="1:24" ht="12.75">
      <c r="A660" s="44"/>
      <c r="N660" s="54"/>
      <c r="O660" s="54"/>
      <c r="P660" s="54"/>
      <c r="Q660" s="92"/>
      <c r="R660" s="55"/>
      <c r="S660" s="55"/>
      <c r="T660" s="55"/>
      <c r="U660" s="55"/>
      <c r="W660" s="273"/>
      <c r="X660" s="273"/>
    </row>
    <row r="661" spans="1:24" ht="12.75">
      <c r="A661" s="44"/>
      <c r="N661" s="54"/>
      <c r="O661" s="54"/>
      <c r="P661" s="54"/>
      <c r="Q661" s="92"/>
      <c r="R661" s="55"/>
      <c r="S661" s="55"/>
      <c r="T661" s="55"/>
      <c r="U661" s="55"/>
      <c r="W661" s="273"/>
      <c r="X661" s="273"/>
    </row>
    <row r="662" spans="1:24" ht="12.75">
      <c r="A662" s="44"/>
      <c r="N662" s="54"/>
      <c r="O662" s="54"/>
      <c r="P662" s="54"/>
      <c r="Q662" s="92"/>
      <c r="R662" s="55"/>
      <c r="S662" s="55"/>
      <c r="T662" s="55"/>
      <c r="U662" s="55"/>
      <c r="W662" s="273"/>
      <c r="X662" s="273"/>
    </row>
    <row r="663" spans="1:24" ht="12.75">
      <c r="A663" s="44"/>
      <c r="N663" s="54"/>
      <c r="O663" s="54"/>
      <c r="P663" s="54"/>
      <c r="Q663" s="92"/>
      <c r="R663" s="55"/>
      <c r="S663" s="55"/>
      <c r="T663" s="55"/>
      <c r="U663" s="55"/>
      <c r="W663" s="273"/>
      <c r="X663" s="273"/>
    </row>
    <row r="664" spans="1:24" ht="12.75">
      <c r="A664" s="44"/>
      <c r="N664" s="54"/>
      <c r="O664" s="54"/>
      <c r="P664" s="54"/>
      <c r="Q664" s="92"/>
      <c r="R664" s="55"/>
      <c r="S664" s="55"/>
      <c r="T664" s="55"/>
      <c r="U664" s="55"/>
      <c r="W664" s="273"/>
      <c r="X664" s="273"/>
    </row>
    <row r="665" spans="1:24" ht="12.75">
      <c r="A665" s="44"/>
      <c r="N665" s="54"/>
      <c r="O665" s="54"/>
      <c r="P665" s="54"/>
      <c r="Q665" s="92"/>
      <c r="R665" s="55"/>
      <c r="S665" s="55"/>
      <c r="T665" s="55"/>
      <c r="U665" s="55"/>
      <c r="W665" s="273"/>
      <c r="X665" s="273"/>
    </row>
    <row r="666" spans="1:24" ht="12.75">
      <c r="A666" s="44"/>
      <c r="N666" s="54"/>
      <c r="O666" s="54"/>
      <c r="P666" s="54"/>
      <c r="Q666" s="92"/>
      <c r="R666" s="55"/>
      <c r="S666" s="55"/>
      <c r="T666" s="55"/>
      <c r="U666" s="55"/>
      <c r="W666" s="273"/>
      <c r="X666" s="273"/>
    </row>
    <row r="667" spans="1:24" ht="12.75">
      <c r="A667" s="44"/>
      <c r="N667" s="54"/>
      <c r="O667" s="54"/>
      <c r="P667" s="54"/>
      <c r="Q667" s="92"/>
      <c r="R667" s="55"/>
      <c r="S667" s="55"/>
      <c r="T667" s="55"/>
      <c r="U667" s="55"/>
      <c r="W667" s="273"/>
      <c r="X667" s="273"/>
    </row>
    <row r="668" spans="1:24" ht="12.75">
      <c r="A668" s="44"/>
      <c r="N668" s="54"/>
      <c r="O668" s="54"/>
      <c r="P668" s="54"/>
      <c r="Q668" s="92"/>
      <c r="R668" s="55"/>
      <c r="S668" s="55"/>
      <c r="T668" s="55"/>
      <c r="U668" s="55"/>
      <c r="W668" s="273"/>
      <c r="X668" s="273"/>
    </row>
    <row r="669" spans="1:24" ht="12.75">
      <c r="A669" s="44"/>
      <c r="N669" s="54"/>
      <c r="O669" s="54"/>
      <c r="P669" s="54"/>
      <c r="Q669" s="92"/>
      <c r="R669" s="55"/>
      <c r="S669" s="55"/>
      <c r="T669" s="55"/>
      <c r="U669" s="55"/>
      <c r="W669" s="273"/>
      <c r="X669" s="273"/>
    </row>
    <row r="670" spans="1:24" ht="12.75">
      <c r="A670" s="44"/>
      <c r="N670" s="54"/>
      <c r="O670" s="54"/>
      <c r="P670" s="54"/>
      <c r="Q670" s="92"/>
      <c r="R670" s="55"/>
      <c r="S670" s="55"/>
      <c r="T670" s="55"/>
      <c r="U670" s="55"/>
      <c r="W670" s="273"/>
      <c r="X670" s="273"/>
    </row>
    <row r="671" spans="1:24" ht="12.75">
      <c r="A671" s="44"/>
      <c r="N671" s="54"/>
      <c r="O671" s="54"/>
      <c r="P671" s="54"/>
      <c r="Q671" s="92"/>
      <c r="R671" s="55"/>
      <c r="S671" s="55"/>
      <c r="T671" s="55"/>
      <c r="U671" s="55"/>
      <c r="W671" s="273"/>
      <c r="X671" s="273"/>
    </row>
    <row r="672" spans="1:24" ht="12.75">
      <c r="A672" s="44"/>
      <c r="N672" s="54"/>
      <c r="O672" s="54"/>
      <c r="P672" s="54"/>
      <c r="Q672" s="92"/>
      <c r="R672" s="55"/>
      <c r="S672" s="55"/>
      <c r="T672" s="55"/>
      <c r="U672" s="55"/>
      <c r="W672" s="273"/>
      <c r="X672" s="273"/>
    </row>
    <row r="673" spans="1:24" ht="12.75">
      <c r="A673" s="44"/>
      <c r="N673" s="54"/>
      <c r="O673" s="54"/>
      <c r="P673" s="54"/>
      <c r="Q673" s="92"/>
      <c r="R673" s="55"/>
      <c r="S673" s="55"/>
      <c r="T673" s="55"/>
      <c r="U673" s="55"/>
      <c r="W673" s="273"/>
      <c r="X673" s="273"/>
    </row>
    <row r="674" spans="1:24" ht="12.75">
      <c r="A674" s="44"/>
      <c r="N674" s="54"/>
      <c r="O674" s="54"/>
      <c r="P674" s="54"/>
      <c r="Q674" s="92"/>
      <c r="R674" s="55"/>
      <c r="S674" s="55"/>
      <c r="T674" s="55"/>
      <c r="U674" s="55"/>
      <c r="W674" s="273"/>
      <c r="X674" s="273"/>
    </row>
    <row r="675" spans="1:24" ht="12.75">
      <c r="A675" s="44"/>
      <c r="N675" s="54"/>
      <c r="O675" s="54"/>
      <c r="P675" s="54"/>
      <c r="Q675" s="92"/>
      <c r="R675" s="55"/>
      <c r="S675" s="55"/>
      <c r="T675" s="55"/>
      <c r="U675" s="55"/>
      <c r="W675" s="273"/>
      <c r="X675" s="273"/>
    </row>
    <row r="676" spans="1:24" ht="12.75">
      <c r="A676" s="44"/>
      <c r="N676" s="54"/>
      <c r="O676" s="54"/>
      <c r="P676" s="54"/>
      <c r="Q676" s="92"/>
      <c r="R676" s="55"/>
      <c r="S676" s="55"/>
      <c r="T676" s="55"/>
      <c r="U676" s="55"/>
      <c r="W676" s="273"/>
      <c r="X676" s="273"/>
    </row>
    <row r="677" spans="1:24" ht="12.75">
      <c r="A677" s="44"/>
      <c r="N677" s="54"/>
      <c r="O677" s="54"/>
      <c r="P677" s="54"/>
      <c r="Q677" s="92"/>
      <c r="R677" s="55"/>
      <c r="S677" s="55"/>
      <c r="T677" s="55"/>
      <c r="U677" s="55"/>
      <c r="W677" s="273"/>
      <c r="X677" s="273"/>
    </row>
    <row r="678" spans="1:24" ht="12.75">
      <c r="A678" s="44"/>
      <c r="N678" s="54"/>
      <c r="O678" s="54"/>
      <c r="P678" s="54"/>
      <c r="Q678" s="92"/>
      <c r="R678" s="55"/>
      <c r="S678" s="55"/>
      <c r="T678" s="55"/>
      <c r="U678" s="55"/>
      <c r="W678" s="273"/>
      <c r="X678" s="273"/>
    </row>
    <row r="679" spans="1:24" ht="12.75">
      <c r="A679" s="44"/>
      <c r="N679" s="54"/>
      <c r="O679" s="54"/>
      <c r="P679" s="54"/>
      <c r="Q679" s="92"/>
      <c r="R679" s="55"/>
      <c r="S679" s="55"/>
      <c r="T679" s="55"/>
      <c r="U679" s="55"/>
      <c r="W679" s="273"/>
      <c r="X679" s="273"/>
    </row>
    <row r="680" spans="1:24" ht="12.75">
      <c r="A680" s="44"/>
      <c r="N680" s="54"/>
      <c r="O680" s="54"/>
      <c r="P680" s="54"/>
      <c r="Q680" s="92"/>
      <c r="R680" s="55"/>
      <c r="S680" s="55"/>
      <c r="T680" s="55"/>
      <c r="U680" s="55"/>
      <c r="W680" s="273"/>
      <c r="X680" s="273"/>
    </row>
    <row r="681" spans="1:24" ht="12.75">
      <c r="A681" s="44"/>
      <c r="N681" s="54"/>
      <c r="O681" s="54"/>
      <c r="P681" s="54"/>
      <c r="Q681" s="92"/>
      <c r="R681" s="55"/>
      <c r="S681" s="55"/>
      <c r="T681" s="55"/>
      <c r="U681" s="55"/>
      <c r="W681" s="273"/>
      <c r="X681" s="273"/>
    </row>
    <row r="682" spans="1:24" ht="12.75">
      <c r="A682" s="44"/>
      <c r="N682" s="54"/>
      <c r="O682" s="54"/>
      <c r="P682" s="54"/>
      <c r="Q682" s="92"/>
      <c r="R682" s="55"/>
      <c r="S682" s="55"/>
      <c r="T682" s="55"/>
      <c r="U682" s="55"/>
      <c r="W682" s="273"/>
      <c r="X682" s="273"/>
    </row>
    <row r="683" spans="1:24" ht="12.75">
      <c r="A683" s="44"/>
      <c r="N683" s="54"/>
      <c r="O683" s="54"/>
      <c r="P683" s="54"/>
      <c r="Q683" s="92"/>
      <c r="R683" s="55"/>
      <c r="S683" s="55"/>
      <c r="T683" s="55"/>
      <c r="U683" s="55"/>
      <c r="W683" s="273"/>
      <c r="X683" s="273"/>
    </row>
    <row r="684" spans="1:24" ht="12.75">
      <c r="A684" s="44"/>
      <c r="N684" s="54"/>
      <c r="O684" s="54"/>
      <c r="P684" s="54"/>
      <c r="Q684" s="92"/>
      <c r="R684" s="55"/>
      <c r="S684" s="55"/>
      <c r="T684" s="55"/>
      <c r="U684" s="55"/>
      <c r="W684" s="273"/>
      <c r="X684" s="273"/>
    </row>
    <row r="685" spans="1:24" ht="12.75">
      <c r="A685" s="44"/>
      <c r="N685" s="54"/>
      <c r="O685" s="54"/>
      <c r="P685" s="54"/>
      <c r="Q685" s="92"/>
      <c r="R685" s="55"/>
      <c r="S685" s="55"/>
      <c r="T685" s="55"/>
      <c r="U685" s="55"/>
      <c r="W685" s="273"/>
      <c r="X685" s="273"/>
    </row>
    <row r="686" spans="1:24" ht="12.75">
      <c r="A686" s="44"/>
      <c r="N686" s="54"/>
      <c r="O686" s="54"/>
      <c r="P686" s="54"/>
      <c r="Q686" s="92"/>
      <c r="R686" s="55"/>
      <c r="S686" s="55"/>
      <c r="T686" s="55"/>
      <c r="U686" s="55"/>
      <c r="W686" s="273"/>
      <c r="X686" s="273"/>
    </row>
    <row r="687" spans="1:24" ht="12.75">
      <c r="A687" s="44"/>
      <c r="N687" s="54"/>
      <c r="O687" s="54"/>
      <c r="P687" s="54"/>
      <c r="Q687" s="92"/>
      <c r="R687" s="55"/>
      <c r="S687" s="55"/>
      <c r="T687" s="55"/>
      <c r="U687" s="55"/>
      <c r="W687" s="273"/>
      <c r="X687" s="273"/>
    </row>
    <row r="688" spans="1:24" ht="12.75">
      <c r="A688" s="44"/>
      <c r="N688" s="54"/>
      <c r="O688" s="54"/>
      <c r="P688" s="54"/>
      <c r="Q688" s="92"/>
      <c r="R688" s="55"/>
      <c r="S688" s="55"/>
      <c r="T688" s="55"/>
      <c r="U688" s="55"/>
      <c r="W688" s="273"/>
      <c r="X688" s="273"/>
    </row>
    <row r="689" spans="1:24" ht="12.75">
      <c r="A689" s="44"/>
      <c r="N689" s="54"/>
      <c r="O689" s="54"/>
      <c r="P689" s="54"/>
      <c r="Q689" s="92"/>
      <c r="R689" s="55"/>
      <c r="S689" s="55"/>
      <c r="T689" s="55"/>
      <c r="U689" s="55"/>
      <c r="W689" s="273"/>
      <c r="X689" s="273"/>
    </row>
    <row r="690" spans="1:24" ht="12.75">
      <c r="A690" s="44"/>
      <c r="N690" s="54"/>
      <c r="O690" s="54"/>
      <c r="P690" s="54"/>
      <c r="Q690" s="92"/>
      <c r="R690" s="55"/>
      <c r="S690" s="55"/>
      <c r="T690" s="55"/>
      <c r="U690" s="55"/>
      <c r="W690" s="273"/>
      <c r="X690" s="273"/>
    </row>
    <row r="691" spans="1:24" ht="12.75">
      <c r="A691" s="44"/>
      <c r="N691" s="54"/>
      <c r="O691" s="54"/>
      <c r="P691" s="54"/>
      <c r="Q691" s="92"/>
      <c r="R691" s="55"/>
      <c r="S691" s="55"/>
      <c r="T691" s="55"/>
      <c r="U691" s="55"/>
      <c r="W691" s="273"/>
      <c r="X691" s="273"/>
    </row>
    <row r="692" spans="1:24" ht="12.75">
      <c r="A692" s="44"/>
      <c r="N692" s="54"/>
      <c r="O692" s="54"/>
      <c r="P692" s="54"/>
      <c r="Q692" s="92"/>
      <c r="R692" s="55"/>
      <c r="S692" s="55"/>
      <c r="T692" s="55"/>
      <c r="U692" s="55"/>
      <c r="W692" s="273"/>
      <c r="X692" s="273"/>
    </row>
    <row r="693" spans="1:24" ht="12.75">
      <c r="A693" s="44"/>
      <c r="N693" s="54"/>
      <c r="O693" s="54"/>
      <c r="P693" s="54"/>
      <c r="Q693" s="92"/>
      <c r="R693" s="55"/>
      <c r="S693" s="55"/>
      <c r="T693" s="55"/>
      <c r="U693" s="55"/>
      <c r="W693" s="273"/>
      <c r="X693" s="273"/>
    </row>
    <row r="694" spans="1:24" ht="12.75">
      <c r="A694" s="44"/>
      <c r="N694" s="54"/>
      <c r="O694" s="54"/>
      <c r="P694" s="54"/>
      <c r="Q694" s="92"/>
      <c r="R694" s="55"/>
      <c r="S694" s="55"/>
      <c r="T694" s="55"/>
      <c r="U694" s="55"/>
      <c r="W694" s="273"/>
      <c r="X694" s="273"/>
    </row>
    <row r="695" spans="1:24" ht="12.75">
      <c r="A695" s="44"/>
      <c r="N695" s="54"/>
      <c r="O695" s="54"/>
      <c r="P695" s="54"/>
      <c r="Q695" s="92"/>
      <c r="R695" s="55"/>
      <c r="S695" s="55"/>
      <c r="T695" s="55"/>
      <c r="U695" s="55"/>
      <c r="W695" s="273"/>
      <c r="X695" s="273"/>
    </row>
    <row r="696" spans="1:24" ht="12.75">
      <c r="A696" s="44"/>
      <c r="N696" s="54"/>
      <c r="O696" s="54"/>
      <c r="P696" s="54"/>
      <c r="Q696" s="92"/>
      <c r="R696" s="55"/>
      <c r="S696" s="55"/>
      <c r="T696" s="55"/>
      <c r="U696" s="55"/>
      <c r="W696" s="273"/>
      <c r="X696" s="273"/>
    </row>
    <row r="697" spans="1:24" ht="12.75">
      <c r="A697" s="44"/>
      <c r="N697" s="54"/>
      <c r="O697" s="54"/>
      <c r="P697" s="54"/>
      <c r="Q697" s="92"/>
      <c r="R697" s="55"/>
      <c r="S697" s="55"/>
      <c r="T697" s="55"/>
      <c r="U697" s="55"/>
      <c r="W697" s="273"/>
      <c r="X697" s="273"/>
    </row>
    <row r="698" spans="1:24" ht="12.75">
      <c r="A698" s="44"/>
      <c r="N698" s="54"/>
      <c r="O698" s="54"/>
      <c r="P698" s="54"/>
      <c r="Q698" s="92"/>
      <c r="R698" s="55"/>
      <c r="S698" s="55"/>
      <c r="T698" s="55"/>
      <c r="U698" s="55"/>
      <c r="W698" s="273"/>
      <c r="X698" s="273"/>
    </row>
    <row r="699" spans="1:24" ht="12.75">
      <c r="A699" s="44"/>
      <c r="N699" s="54"/>
      <c r="O699" s="54"/>
      <c r="P699" s="54"/>
      <c r="Q699" s="92"/>
      <c r="R699" s="55"/>
      <c r="S699" s="55"/>
      <c r="T699" s="55"/>
      <c r="U699" s="55"/>
      <c r="W699" s="273"/>
      <c r="X699" s="273"/>
    </row>
    <row r="700" spans="1:24" ht="12.75">
      <c r="A700" s="44"/>
      <c r="N700" s="54"/>
      <c r="O700" s="54"/>
      <c r="P700" s="54"/>
      <c r="Q700" s="92"/>
      <c r="R700" s="55"/>
      <c r="S700" s="55"/>
      <c r="T700" s="55"/>
      <c r="U700" s="55"/>
      <c r="W700" s="273"/>
      <c r="X700" s="273"/>
    </row>
    <row r="701" spans="1:24" ht="12.75">
      <c r="A701" s="44"/>
      <c r="N701" s="54"/>
      <c r="O701" s="54"/>
      <c r="P701" s="54"/>
      <c r="Q701" s="92"/>
      <c r="R701" s="55"/>
      <c r="S701" s="55"/>
      <c r="T701" s="55"/>
      <c r="U701" s="55"/>
      <c r="W701" s="273"/>
      <c r="X701" s="273"/>
    </row>
    <row r="702" spans="1:24" ht="12.75">
      <c r="A702" s="44"/>
      <c r="N702" s="54"/>
      <c r="O702" s="54"/>
      <c r="P702" s="54"/>
      <c r="Q702" s="92"/>
      <c r="R702" s="55"/>
      <c r="S702" s="55"/>
      <c r="T702" s="55"/>
      <c r="U702" s="55"/>
      <c r="W702" s="273"/>
      <c r="X702" s="273"/>
    </row>
    <row r="703" spans="1:24" ht="12.75">
      <c r="A703" s="44"/>
      <c r="N703" s="54"/>
      <c r="O703" s="54"/>
      <c r="P703" s="54"/>
      <c r="Q703" s="92"/>
      <c r="R703" s="55"/>
      <c r="S703" s="55"/>
      <c r="T703" s="55"/>
      <c r="U703" s="55"/>
      <c r="W703" s="273"/>
      <c r="X703" s="273"/>
    </row>
    <row r="704" spans="1:24" ht="12.75">
      <c r="A704" s="44"/>
      <c r="N704" s="54"/>
      <c r="O704" s="54"/>
      <c r="P704" s="54"/>
      <c r="Q704" s="92"/>
      <c r="R704" s="55"/>
      <c r="S704" s="55"/>
      <c r="T704" s="55"/>
      <c r="U704" s="55"/>
      <c r="W704" s="273"/>
      <c r="X704" s="273"/>
    </row>
    <row r="705" spans="1:24" ht="12.75">
      <c r="A705" s="44"/>
      <c r="N705" s="54"/>
      <c r="O705" s="54"/>
      <c r="P705" s="54"/>
      <c r="Q705" s="92"/>
      <c r="R705" s="55"/>
      <c r="S705" s="55"/>
      <c r="T705" s="55"/>
      <c r="U705" s="55"/>
      <c r="W705" s="273"/>
      <c r="X705" s="273"/>
    </row>
    <row r="706" spans="1:24" ht="12.75">
      <c r="A706" s="44"/>
      <c r="N706" s="54"/>
      <c r="O706" s="54"/>
      <c r="P706" s="54"/>
      <c r="Q706" s="92"/>
      <c r="R706" s="55"/>
      <c r="S706" s="55"/>
      <c r="T706" s="55"/>
      <c r="U706" s="55"/>
      <c r="W706" s="273"/>
      <c r="X706" s="273"/>
    </row>
    <row r="707" spans="1:24" ht="12.75">
      <c r="A707" s="44"/>
      <c r="N707" s="54"/>
      <c r="O707" s="54"/>
      <c r="P707" s="54"/>
      <c r="Q707" s="92"/>
      <c r="R707" s="55"/>
      <c r="S707" s="55"/>
      <c r="T707" s="55"/>
      <c r="U707" s="55"/>
      <c r="W707" s="273"/>
      <c r="X707" s="273"/>
    </row>
    <row r="708" spans="1:24" ht="12.75">
      <c r="A708" s="44"/>
      <c r="N708" s="54"/>
      <c r="O708" s="54"/>
      <c r="P708" s="54"/>
      <c r="Q708" s="92"/>
      <c r="R708" s="55"/>
      <c r="S708" s="55"/>
      <c r="T708" s="55"/>
      <c r="U708" s="55"/>
      <c r="W708" s="273"/>
      <c r="X708" s="273"/>
    </row>
    <row r="709" spans="1:24" ht="12.75">
      <c r="A709" s="44"/>
      <c r="N709" s="54"/>
      <c r="O709" s="54"/>
      <c r="P709" s="54"/>
      <c r="Q709" s="92"/>
      <c r="R709" s="55"/>
      <c r="S709" s="55"/>
      <c r="T709" s="55"/>
      <c r="U709" s="55"/>
      <c r="W709" s="273"/>
      <c r="X709" s="273"/>
    </row>
    <row r="710" spans="1:24" ht="12.75">
      <c r="A710" s="44"/>
      <c r="N710" s="54"/>
      <c r="O710" s="54"/>
      <c r="P710" s="54"/>
      <c r="Q710" s="92"/>
      <c r="R710" s="55"/>
      <c r="S710" s="55"/>
      <c r="T710" s="55"/>
      <c r="U710" s="55"/>
      <c r="W710" s="273"/>
      <c r="X710" s="273"/>
    </row>
    <row r="711" spans="1:24" ht="12.75">
      <c r="A711" s="44"/>
      <c r="N711" s="54"/>
      <c r="O711" s="54"/>
      <c r="P711" s="54"/>
      <c r="Q711" s="92"/>
      <c r="R711" s="55"/>
      <c r="S711" s="55"/>
      <c r="T711" s="55"/>
      <c r="U711" s="55"/>
      <c r="W711" s="273"/>
      <c r="X711" s="273"/>
    </row>
    <row r="712" spans="1:24" ht="12.75">
      <c r="A712" s="44"/>
      <c r="N712" s="54"/>
      <c r="O712" s="54"/>
      <c r="P712" s="54"/>
      <c r="Q712" s="92"/>
      <c r="R712" s="55"/>
      <c r="S712" s="55"/>
      <c r="T712" s="55"/>
      <c r="U712" s="55"/>
      <c r="W712" s="273"/>
      <c r="X712" s="273"/>
    </row>
    <row r="713" spans="1:24" ht="12.75">
      <c r="A713" s="44"/>
      <c r="N713" s="54"/>
      <c r="O713" s="54"/>
      <c r="P713" s="54"/>
      <c r="Q713" s="92"/>
      <c r="R713" s="55"/>
      <c r="S713" s="55"/>
      <c r="T713" s="55"/>
      <c r="U713" s="55"/>
      <c r="W713" s="273"/>
      <c r="X713" s="273"/>
    </row>
    <row r="714" spans="1:24" ht="12.75">
      <c r="A714" s="44"/>
      <c r="N714" s="54"/>
      <c r="O714" s="54"/>
      <c r="P714" s="54"/>
      <c r="Q714" s="92"/>
      <c r="R714" s="55"/>
      <c r="S714" s="55"/>
      <c r="T714" s="55"/>
      <c r="U714" s="55"/>
      <c r="W714" s="273"/>
      <c r="X714" s="273"/>
    </row>
    <row r="715" spans="1:24" ht="12.75">
      <c r="A715" s="44"/>
      <c r="N715" s="54"/>
      <c r="O715" s="54"/>
      <c r="P715" s="54"/>
      <c r="Q715" s="92"/>
      <c r="R715" s="55"/>
      <c r="S715" s="55"/>
      <c r="T715" s="55"/>
      <c r="U715" s="55"/>
      <c r="W715" s="273"/>
      <c r="X715" s="273"/>
    </row>
    <row r="716" spans="1:24" ht="12.75">
      <c r="A716" s="44"/>
      <c r="N716" s="54"/>
      <c r="O716" s="54"/>
      <c r="P716" s="54"/>
      <c r="Q716" s="92"/>
      <c r="R716" s="55"/>
      <c r="S716" s="55"/>
      <c r="T716" s="55"/>
      <c r="U716" s="55"/>
      <c r="W716" s="273"/>
      <c r="X716" s="273"/>
    </row>
    <row r="717" spans="1:24" ht="12.75">
      <c r="A717" s="44"/>
      <c r="N717" s="54"/>
      <c r="O717" s="54"/>
      <c r="P717" s="54"/>
      <c r="Q717" s="92"/>
      <c r="R717" s="55"/>
      <c r="S717" s="55"/>
      <c r="T717" s="55"/>
      <c r="U717" s="55"/>
      <c r="W717" s="273"/>
      <c r="X717" s="273"/>
    </row>
    <row r="718" spans="1:24" ht="12.75">
      <c r="A718" s="44"/>
      <c r="N718" s="54"/>
      <c r="O718" s="54"/>
      <c r="P718" s="54"/>
      <c r="Q718" s="92"/>
      <c r="R718" s="55"/>
      <c r="S718" s="55"/>
      <c r="T718" s="55"/>
      <c r="U718" s="55"/>
      <c r="W718" s="273"/>
      <c r="X718" s="273"/>
    </row>
    <row r="719" spans="1:24" ht="12.75">
      <c r="A719" s="44"/>
      <c r="N719" s="54"/>
      <c r="O719" s="54"/>
      <c r="P719" s="54"/>
      <c r="Q719" s="92"/>
      <c r="R719" s="55"/>
      <c r="S719" s="55"/>
      <c r="T719" s="55"/>
      <c r="U719" s="55"/>
      <c r="W719" s="273"/>
      <c r="X719" s="273"/>
    </row>
    <row r="720" spans="1:24" ht="12.75">
      <c r="A720" s="44"/>
      <c r="N720" s="54"/>
      <c r="O720" s="54"/>
      <c r="P720" s="54"/>
      <c r="Q720" s="92"/>
      <c r="R720" s="55"/>
      <c r="S720" s="55"/>
      <c r="T720" s="55"/>
      <c r="U720" s="55"/>
      <c r="W720" s="273"/>
      <c r="X720" s="273"/>
    </row>
    <row r="721" spans="1:24" ht="12.75">
      <c r="A721" s="44"/>
      <c r="N721" s="54"/>
      <c r="O721" s="54"/>
      <c r="P721" s="54"/>
      <c r="Q721" s="92"/>
      <c r="R721" s="55"/>
      <c r="S721" s="55"/>
      <c r="T721" s="55"/>
      <c r="U721" s="55"/>
      <c r="W721" s="273"/>
      <c r="X721" s="273"/>
    </row>
    <row r="722" spans="1:24" ht="12.75">
      <c r="A722" s="44"/>
      <c r="N722" s="54"/>
      <c r="O722" s="54"/>
      <c r="P722" s="54"/>
      <c r="Q722" s="92"/>
      <c r="R722" s="55"/>
      <c r="S722" s="55"/>
      <c r="T722" s="55"/>
      <c r="U722" s="55"/>
      <c r="W722" s="273"/>
      <c r="X722" s="273"/>
    </row>
    <row r="723" spans="1:24" ht="12.75">
      <c r="A723" s="44"/>
      <c r="N723" s="54"/>
      <c r="O723" s="54"/>
      <c r="P723" s="54"/>
      <c r="Q723" s="92"/>
      <c r="R723" s="55"/>
      <c r="S723" s="55"/>
      <c r="T723" s="55"/>
      <c r="U723" s="55"/>
      <c r="W723" s="273"/>
      <c r="X723" s="273"/>
    </row>
    <row r="724" spans="1:24" ht="12.75">
      <c r="A724" s="44"/>
      <c r="N724" s="54"/>
      <c r="O724" s="54"/>
      <c r="P724" s="54"/>
      <c r="Q724" s="92"/>
      <c r="R724" s="55"/>
      <c r="S724" s="55"/>
      <c r="T724" s="55"/>
      <c r="U724" s="55"/>
      <c r="W724" s="273"/>
      <c r="X724" s="273"/>
    </row>
    <row r="725" spans="1:24" ht="12.75">
      <c r="A725" s="44"/>
      <c r="N725" s="54"/>
      <c r="O725" s="54"/>
      <c r="P725" s="54"/>
      <c r="Q725" s="92"/>
      <c r="R725" s="55"/>
      <c r="S725" s="55"/>
      <c r="T725" s="55"/>
      <c r="U725" s="55"/>
      <c r="W725" s="273"/>
      <c r="X725" s="273"/>
    </row>
    <row r="726" spans="1:24" ht="12.75">
      <c r="A726" s="44"/>
      <c r="N726" s="54"/>
      <c r="O726" s="54"/>
      <c r="P726" s="54"/>
      <c r="Q726" s="92"/>
      <c r="R726" s="55"/>
      <c r="S726" s="55"/>
      <c r="T726" s="55"/>
      <c r="U726" s="55"/>
      <c r="W726" s="273"/>
      <c r="X726" s="273"/>
    </row>
    <row r="727" spans="1:24" ht="12.75">
      <c r="A727" s="44"/>
      <c r="N727" s="54"/>
      <c r="O727" s="54"/>
      <c r="P727" s="54"/>
      <c r="Q727" s="92"/>
      <c r="R727" s="55"/>
      <c r="S727" s="55"/>
      <c r="T727" s="55"/>
      <c r="U727" s="55"/>
      <c r="W727" s="273"/>
      <c r="X727" s="273"/>
    </row>
    <row r="728" spans="1:24" ht="12.75">
      <c r="A728" s="44"/>
      <c r="N728" s="54"/>
      <c r="O728" s="54"/>
      <c r="P728" s="54"/>
      <c r="Q728" s="92"/>
      <c r="R728" s="55"/>
      <c r="S728" s="55"/>
      <c r="T728" s="55"/>
      <c r="U728" s="55"/>
      <c r="W728" s="273"/>
      <c r="X728" s="273"/>
    </row>
    <row r="729" spans="1:24" ht="12.75">
      <c r="A729" s="44"/>
      <c r="N729" s="54"/>
      <c r="O729" s="54"/>
      <c r="P729" s="54"/>
      <c r="Q729" s="92"/>
      <c r="R729" s="55"/>
      <c r="S729" s="55"/>
      <c r="T729" s="55"/>
      <c r="U729" s="55"/>
      <c r="W729" s="273"/>
      <c r="X729" s="273"/>
    </row>
    <row r="730" spans="1:24" ht="12.75">
      <c r="A730" s="44"/>
      <c r="N730" s="54"/>
      <c r="O730" s="54"/>
      <c r="P730" s="54"/>
      <c r="Q730" s="92"/>
      <c r="R730" s="55"/>
      <c r="S730" s="55"/>
      <c r="T730" s="55"/>
      <c r="U730" s="55"/>
      <c r="W730" s="273"/>
      <c r="X730" s="273"/>
    </row>
    <row r="731" spans="1:24" ht="12.75">
      <c r="A731" s="44"/>
      <c r="N731" s="54"/>
      <c r="O731" s="54"/>
      <c r="P731" s="54"/>
      <c r="Q731" s="92"/>
      <c r="R731" s="55"/>
      <c r="S731" s="55"/>
      <c r="T731" s="55"/>
      <c r="U731" s="55"/>
      <c r="W731" s="273"/>
      <c r="X731" s="273"/>
    </row>
    <row r="732" spans="1:24" ht="12.75">
      <c r="A732" s="44"/>
      <c r="N732" s="54"/>
      <c r="O732" s="54"/>
      <c r="P732" s="54"/>
      <c r="Q732" s="92"/>
      <c r="R732" s="55"/>
      <c r="S732" s="55"/>
      <c r="T732" s="55"/>
      <c r="U732" s="55"/>
      <c r="W732" s="273"/>
      <c r="X732" s="273"/>
    </row>
    <row r="733" spans="1:24" ht="12.75">
      <c r="A733" s="44"/>
      <c r="N733" s="54"/>
      <c r="O733" s="54"/>
      <c r="P733" s="54"/>
      <c r="Q733" s="92"/>
      <c r="R733" s="55"/>
      <c r="S733" s="55"/>
      <c r="T733" s="55"/>
      <c r="U733" s="55"/>
      <c r="W733" s="273"/>
      <c r="X733" s="273"/>
    </row>
    <row r="734" spans="1:24" ht="12.75">
      <c r="A734" s="44"/>
      <c r="N734" s="54"/>
      <c r="O734" s="54"/>
      <c r="P734" s="54"/>
      <c r="Q734" s="92"/>
      <c r="R734" s="55"/>
      <c r="S734" s="55"/>
      <c r="T734" s="55"/>
      <c r="U734" s="55"/>
      <c r="W734" s="273"/>
      <c r="X734" s="273"/>
    </row>
    <row r="735" spans="1:24" ht="12.75">
      <c r="A735" s="44"/>
      <c r="N735" s="54"/>
      <c r="O735" s="54"/>
      <c r="P735" s="54"/>
      <c r="Q735" s="92"/>
      <c r="R735" s="55"/>
      <c r="S735" s="55"/>
      <c r="T735" s="55"/>
      <c r="U735" s="55"/>
      <c r="W735" s="273"/>
      <c r="X735" s="273"/>
    </row>
    <row r="736" spans="1:24" ht="12.75">
      <c r="A736" s="44"/>
      <c r="N736" s="54"/>
      <c r="O736" s="54"/>
      <c r="P736" s="54"/>
      <c r="Q736" s="92"/>
      <c r="R736" s="55"/>
      <c r="S736" s="55"/>
      <c r="T736" s="55"/>
      <c r="U736" s="55"/>
      <c r="W736" s="273"/>
      <c r="X736" s="273"/>
    </row>
    <row r="737" spans="1:24" ht="12.75">
      <c r="A737" s="44"/>
      <c r="N737" s="54"/>
      <c r="O737" s="54"/>
      <c r="P737" s="54"/>
      <c r="Q737" s="92"/>
      <c r="R737" s="55"/>
      <c r="S737" s="55"/>
      <c r="T737" s="55"/>
      <c r="U737" s="55"/>
      <c r="W737" s="273"/>
      <c r="X737" s="273"/>
    </row>
    <row r="738" spans="1:24" ht="12.75">
      <c r="A738" s="44"/>
      <c r="N738" s="54"/>
      <c r="O738" s="54"/>
      <c r="P738" s="54"/>
      <c r="Q738" s="92"/>
      <c r="R738" s="55"/>
      <c r="S738" s="55"/>
      <c r="T738" s="55"/>
      <c r="U738" s="55"/>
      <c r="W738" s="273"/>
      <c r="X738" s="273"/>
    </row>
    <row r="739" spans="1:24" ht="12.75">
      <c r="A739" s="44"/>
      <c r="N739" s="54"/>
      <c r="O739" s="54"/>
      <c r="P739" s="54"/>
      <c r="Q739" s="92"/>
      <c r="R739" s="55"/>
      <c r="S739" s="55"/>
      <c r="T739" s="55"/>
      <c r="U739" s="55"/>
      <c r="W739" s="273"/>
      <c r="X739" s="273"/>
    </row>
    <row r="740" spans="1:24" ht="12.75">
      <c r="A740" s="44"/>
      <c r="N740" s="54"/>
      <c r="O740" s="54"/>
      <c r="P740" s="54"/>
      <c r="Q740" s="92"/>
      <c r="R740" s="55"/>
      <c r="S740" s="55"/>
      <c r="T740" s="55"/>
      <c r="U740" s="55"/>
      <c r="W740" s="273"/>
      <c r="X740" s="273"/>
    </row>
    <row r="741" spans="1:24" ht="12.75">
      <c r="A741" s="44"/>
      <c r="N741" s="54"/>
      <c r="O741" s="54"/>
      <c r="P741" s="54"/>
      <c r="Q741" s="92"/>
      <c r="R741" s="55"/>
      <c r="S741" s="55"/>
      <c r="T741" s="55"/>
      <c r="U741" s="55"/>
      <c r="W741" s="273"/>
      <c r="X741" s="273"/>
    </row>
    <row r="742" spans="1:24" ht="12.75">
      <c r="A742" s="44"/>
      <c r="N742" s="54"/>
      <c r="O742" s="54"/>
      <c r="P742" s="54"/>
      <c r="Q742" s="92"/>
      <c r="R742" s="55"/>
      <c r="S742" s="55"/>
      <c r="T742" s="55"/>
      <c r="U742" s="55"/>
      <c r="W742" s="273"/>
      <c r="X742" s="273"/>
    </row>
    <row r="743" spans="1:24" ht="12.75">
      <c r="A743" s="44"/>
      <c r="N743" s="54"/>
      <c r="O743" s="54"/>
      <c r="P743" s="54"/>
      <c r="Q743" s="92"/>
      <c r="R743" s="55"/>
      <c r="S743" s="55"/>
      <c r="T743" s="55"/>
      <c r="U743" s="55"/>
      <c r="W743" s="273"/>
      <c r="X743" s="273"/>
    </row>
    <row r="744" spans="1:24" ht="12.75">
      <c r="A744" s="44"/>
      <c r="N744" s="54"/>
      <c r="O744" s="54"/>
      <c r="P744" s="54"/>
      <c r="Q744" s="92"/>
      <c r="R744" s="55"/>
      <c r="S744" s="55"/>
      <c r="T744" s="55"/>
      <c r="U744" s="55"/>
      <c r="W744" s="273"/>
      <c r="X744" s="273"/>
    </row>
    <row r="745" spans="1:24" ht="12.75">
      <c r="A745" s="44"/>
      <c r="N745" s="54"/>
      <c r="O745" s="54"/>
      <c r="P745" s="54"/>
      <c r="Q745" s="92"/>
      <c r="R745" s="55"/>
      <c r="S745" s="55"/>
      <c r="T745" s="55"/>
      <c r="U745" s="55"/>
      <c r="W745" s="273"/>
      <c r="X745" s="273"/>
    </row>
    <row r="746" spans="1:24" ht="12.75">
      <c r="A746" s="44"/>
      <c r="N746" s="54"/>
      <c r="O746" s="54"/>
      <c r="P746" s="54"/>
      <c r="Q746" s="92"/>
      <c r="R746" s="55"/>
      <c r="S746" s="55"/>
      <c r="T746" s="55"/>
      <c r="U746" s="55"/>
      <c r="W746" s="273"/>
      <c r="X746" s="273"/>
    </row>
    <row r="747" spans="1:24" ht="12.75">
      <c r="A747" s="44"/>
      <c r="N747" s="54"/>
      <c r="O747" s="54"/>
      <c r="P747" s="54"/>
      <c r="Q747" s="92"/>
      <c r="R747" s="55"/>
      <c r="S747" s="55"/>
      <c r="T747" s="55"/>
      <c r="U747" s="55"/>
      <c r="W747" s="273"/>
      <c r="X747" s="273"/>
    </row>
    <row r="748" spans="1:24" ht="12.75">
      <c r="A748" s="44"/>
      <c r="N748" s="54"/>
      <c r="O748" s="54"/>
      <c r="P748" s="54"/>
      <c r="Q748" s="92"/>
      <c r="R748" s="55"/>
      <c r="S748" s="55"/>
      <c r="T748" s="55"/>
      <c r="U748" s="55"/>
      <c r="W748" s="273"/>
      <c r="X748" s="273"/>
    </row>
    <row r="749" spans="1:24" ht="12.75">
      <c r="A749" s="44"/>
      <c r="N749" s="54"/>
      <c r="O749" s="54"/>
      <c r="P749" s="54"/>
      <c r="Q749" s="92"/>
      <c r="R749" s="55"/>
      <c r="S749" s="55"/>
      <c r="T749" s="55"/>
      <c r="U749" s="55"/>
      <c r="W749" s="273"/>
      <c r="X749" s="273"/>
    </row>
    <row r="750" spans="1:24" ht="12.75">
      <c r="A750" s="44"/>
      <c r="N750" s="54"/>
      <c r="O750" s="54"/>
      <c r="P750" s="54"/>
      <c r="Q750" s="92"/>
      <c r="R750" s="55"/>
      <c r="S750" s="55"/>
      <c r="T750" s="55"/>
      <c r="U750" s="55"/>
      <c r="W750" s="273"/>
      <c r="X750" s="273"/>
    </row>
    <row r="751" spans="1:24" ht="12.75">
      <c r="A751" s="44"/>
      <c r="N751" s="54"/>
      <c r="O751" s="54"/>
      <c r="P751" s="54"/>
      <c r="Q751" s="92"/>
      <c r="R751" s="55"/>
      <c r="S751" s="55"/>
      <c r="T751" s="55"/>
      <c r="U751" s="55"/>
      <c r="W751" s="273"/>
      <c r="X751" s="273"/>
    </row>
    <row r="752" spans="1:24" ht="12.75">
      <c r="A752" s="44"/>
      <c r="N752" s="54"/>
      <c r="O752" s="54"/>
      <c r="P752" s="54"/>
      <c r="Q752" s="92"/>
      <c r="R752" s="55"/>
      <c r="S752" s="55"/>
      <c r="T752" s="55"/>
      <c r="U752" s="55"/>
      <c r="W752" s="273"/>
      <c r="X752" s="273"/>
    </row>
    <row r="753" spans="1:24" ht="12.75">
      <c r="A753" s="44"/>
      <c r="N753" s="54"/>
      <c r="O753" s="54"/>
      <c r="P753" s="54"/>
      <c r="Q753" s="92"/>
      <c r="R753" s="55"/>
      <c r="S753" s="55"/>
      <c r="T753" s="55"/>
      <c r="U753" s="55"/>
      <c r="W753" s="273"/>
      <c r="X753" s="273"/>
    </row>
    <row r="754" spans="1:24" ht="12.75">
      <c r="A754" s="44"/>
      <c r="N754" s="54"/>
      <c r="O754" s="54"/>
      <c r="P754" s="54"/>
      <c r="Q754" s="92"/>
      <c r="R754" s="55"/>
      <c r="S754" s="55"/>
      <c r="T754" s="55"/>
      <c r="U754" s="55"/>
      <c r="W754" s="273"/>
      <c r="X754" s="273"/>
    </row>
    <row r="755" spans="1:24" ht="12.75">
      <c r="A755" s="44"/>
      <c r="N755" s="54"/>
      <c r="O755" s="54"/>
      <c r="P755" s="54"/>
      <c r="Q755" s="92"/>
      <c r="R755" s="55"/>
      <c r="S755" s="55"/>
      <c r="T755" s="55"/>
      <c r="U755" s="55"/>
      <c r="W755" s="273"/>
      <c r="X755" s="273"/>
    </row>
    <row r="756" spans="1:24" ht="12.75">
      <c r="A756" s="44"/>
      <c r="N756" s="54"/>
      <c r="O756" s="54"/>
      <c r="P756" s="54"/>
      <c r="Q756" s="92"/>
      <c r="R756" s="55"/>
      <c r="S756" s="55"/>
      <c r="T756" s="55"/>
      <c r="U756" s="55"/>
      <c r="W756" s="273"/>
      <c r="X756" s="273"/>
    </row>
    <row r="757" spans="1:24" ht="12.75">
      <c r="A757" s="44"/>
      <c r="N757" s="54"/>
      <c r="O757" s="54"/>
      <c r="P757" s="54"/>
      <c r="Q757" s="92"/>
      <c r="R757" s="55"/>
      <c r="S757" s="55"/>
      <c r="T757" s="55"/>
      <c r="U757" s="55"/>
      <c r="W757" s="273"/>
      <c r="X757" s="273"/>
    </row>
    <row r="758" spans="1:24" ht="12.75">
      <c r="A758" s="44"/>
      <c r="N758" s="54"/>
      <c r="O758" s="54"/>
      <c r="P758" s="54"/>
      <c r="Q758" s="92"/>
      <c r="R758" s="55"/>
      <c r="S758" s="55"/>
      <c r="T758" s="55"/>
      <c r="U758" s="55"/>
      <c r="W758" s="273"/>
      <c r="X758" s="273"/>
    </row>
    <row r="759" spans="1:24" ht="12.75">
      <c r="A759" s="44"/>
      <c r="N759" s="54"/>
      <c r="O759" s="54"/>
      <c r="P759" s="54"/>
      <c r="Q759" s="92"/>
      <c r="R759" s="55"/>
      <c r="S759" s="55"/>
      <c r="T759" s="55"/>
      <c r="U759" s="55"/>
      <c r="W759" s="273"/>
      <c r="X759" s="273"/>
    </row>
    <row r="760" spans="1:24" ht="12.75">
      <c r="A760" s="44"/>
      <c r="N760" s="54"/>
      <c r="O760" s="54"/>
      <c r="P760" s="54"/>
      <c r="Q760" s="92"/>
      <c r="R760" s="55"/>
      <c r="S760" s="55"/>
      <c r="T760" s="55"/>
      <c r="U760" s="55"/>
      <c r="W760" s="273"/>
      <c r="X760" s="273"/>
    </row>
    <row r="761" spans="1:24" ht="12.75">
      <c r="A761" s="44"/>
      <c r="N761" s="54"/>
      <c r="O761" s="54"/>
      <c r="P761" s="54"/>
      <c r="Q761" s="92"/>
      <c r="R761" s="55"/>
      <c r="S761" s="55"/>
      <c r="T761" s="55"/>
      <c r="U761" s="55"/>
      <c r="W761" s="273"/>
      <c r="X761" s="273"/>
    </row>
    <row r="762" spans="1:24" ht="12.75">
      <c r="A762" s="44"/>
      <c r="N762" s="54"/>
      <c r="O762" s="54"/>
      <c r="P762" s="54"/>
      <c r="Q762" s="92"/>
      <c r="R762" s="55"/>
      <c r="S762" s="55"/>
      <c r="T762" s="55"/>
      <c r="U762" s="55"/>
      <c r="W762" s="273"/>
      <c r="X762" s="273"/>
    </row>
    <row r="763" spans="1:24" ht="12.75">
      <c r="A763" s="44"/>
      <c r="N763" s="54"/>
      <c r="O763" s="54"/>
      <c r="P763" s="54"/>
      <c r="Q763" s="92"/>
      <c r="R763" s="55"/>
      <c r="S763" s="55"/>
      <c r="T763" s="55"/>
      <c r="U763" s="55"/>
      <c r="W763" s="273"/>
      <c r="X763" s="273"/>
    </row>
    <row r="764" spans="1:24" ht="12.75">
      <c r="A764" s="44"/>
      <c r="N764" s="54"/>
      <c r="O764" s="54"/>
      <c r="P764" s="54"/>
      <c r="Q764" s="92"/>
      <c r="R764" s="55"/>
      <c r="S764" s="55"/>
      <c r="T764" s="55"/>
      <c r="U764" s="55"/>
      <c r="W764" s="273"/>
      <c r="X764" s="273"/>
    </row>
    <row r="765" spans="1:24" ht="12.75">
      <c r="A765" s="44"/>
      <c r="N765" s="54"/>
      <c r="O765" s="54"/>
      <c r="P765" s="54"/>
      <c r="Q765" s="92"/>
      <c r="R765" s="55"/>
      <c r="S765" s="55"/>
      <c r="T765" s="55"/>
      <c r="U765" s="55"/>
      <c r="W765" s="273"/>
      <c r="X765" s="273"/>
    </row>
    <row r="766" spans="1:24" ht="12.75">
      <c r="A766" s="44"/>
      <c r="N766" s="54"/>
      <c r="O766" s="54"/>
      <c r="P766" s="54"/>
      <c r="Q766" s="92"/>
      <c r="R766" s="55"/>
      <c r="S766" s="55"/>
      <c r="T766" s="55"/>
      <c r="U766" s="55"/>
      <c r="W766" s="273"/>
      <c r="X766" s="273"/>
    </row>
    <row r="767" spans="1:24" ht="12.75">
      <c r="A767" s="44"/>
      <c r="N767" s="54"/>
      <c r="O767" s="54"/>
      <c r="P767" s="54"/>
      <c r="Q767" s="92"/>
      <c r="R767" s="55"/>
      <c r="S767" s="55"/>
      <c r="T767" s="55"/>
      <c r="U767" s="55"/>
      <c r="W767" s="273"/>
      <c r="X767" s="273"/>
    </row>
    <row r="768" spans="1:24" ht="12.75">
      <c r="A768" s="44"/>
      <c r="N768" s="54"/>
      <c r="O768" s="54"/>
      <c r="P768" s="54"/>
      <c r="Q768" s="92"/>
      <c r="R768" s="55"/>
      <c r="S768" s="55"/>
      <c r="T768" s="55"/>
      <c r="U768" s="55"/>
      <c r="W768" s="273"/>
      <c r="X768" s="273"/>
    </row>
    <row r="769" spans="1:24" ht="12.75">
      <c r="A769" s="44"/>
      <c r="N769" s="54"/>
      <c r="O769" s="54"/>
      <c r="P769" s="54"/>
      <c r="Q769" s="92"/>
      <c r="R769" s="55"/>
      <c r="S769" s="55"/>
      <c r="T769" s="55"/>
      <c r="U769" s="55"/>
      <c r="W769" s="273"/>
      <c r="X769" s="273"/>
    </row>
    <row r="770" spans="1:24" ht="12.75">
      <c r="A770" s="44"/>
      <c r="N770" s="54"/>
      <c r="O770" s="54"/>
      <c r="P770" s="54"/>
      <c r="Q770" s="92"/>
      <c r="R770" s="55"/>
      <c r="S770" s="55"/>
      <c r="T770" s="55"/>
      <c r="U770" s="55"/>
      <c r="W770" s="273"/>
      <c r="X770" s="273"/>
    </row>
    <row r="771" spans="1:24" ht="12.75">
      <c r="A771" s="44"/>
      <c r="N771" s="54"/>
      <c r="O771" s="54"/>
      <c r="P771" s="54"/>
      <c r="Q771" s="92"/>
      <c r="R771" s="55"/>
      <c r="S771" s="55"/>
      <c r="T771" s="55"/>
      <c r="U771" s="55"/>
      <c r="W771" s="273"/>
      <c r="X771" s="273"/>
    </row>
    <row r="772" spans="1:24" ht="12.75">
      <c r="A772" s="44"/>
      <c r="N772" s="54"/>
      <c r="O772" s="54"/>
      <c r="P772" s="54"/>
      <c r="Q772" s="92"/>
      <c r="R772" s="55"/>
      <c r="S772" s="55"/>
      <c r="T772" s="55"/>
      <c r="U772" s="55"/>
      <c r="W772" s="273"/>
      <c r="X772" s="273"/>
    </row>
    <row r="773" spans="1:24" ht="12.75">
      <c r="A773" s="44"/>
      <c r="N773" s="54"/>
      <c r="O773" s="54"/>
      <c r="P773" s="54"/>
      <c r="Q773" s="92"/>
      <c r="R773" s="55"/>
      <c r="S773" s="55"/>
      <c r="T773" s="55"/>
      <c r="U773" s="55"/>
      <c r="W773" s="273"/>
      <c r="X773" s="273"/>
    </row>
    <row r="774" spans="1:24" ht="12.75">
      <c r="A774" s="44"/>
      <c r="N774" s="54"/>
      <c r="O774" s="54"/>
      <c r="P774" s="54"/>
      <c r="Q774" s="92"/>
      <c r="R774" s="55"/>
      <c r="S774" s="55"/>
      <c r="T774" s="55"/>
      <c r="U774" s="55"/>
      <c r="W774" s="273"/>
      <c r="X774" s="273"/>
    </row>
    <row r="775" spans="1:24" ht="12.75">
      <c r="A775" s="44"/>
      <c r="N775" s="54"/>
      <c r="O775" s="54"/>
      <c r="P775" s="54"/>
      <c r="Q775" s="92"/>
      <c r="R775" s="55"/>
      <c r="S775" s="55"/>
      <c r="T775" s="55"/>
      <c r="U775" s="55"/>
      <c r="W775" s="273"/>
      <c r="X775" s="273"/>
    </row>
    <row r="776" spans="1:24" ht="12.75">
      <c r="A776" s="44"/>
      <c r="N776" s="54"/>
      <c r="O776" s="54"/>
      <c r="P776" s="54"/>
      <c r="Q776" s="92"/>
      <c r="R776" s="55"/>
      <c r="S776" s="55"/>
      <c r="T776" s="55"/>
      <c r="U776" s="55"/>
      <c r="W776" s="273"/>
      <c r="X776" s="273"/>
    </row>
    <row r="777" spans="1:24" ht="12.75">
      <c r="A777" s="44"/>
      <c r="N777" s="54"/>
      <c r="O777" s="54"/>
      <c r="P777" s="54"/>
      <c r="Q777" s="92"/>
      <c r="R777" s="55"/>
      <c r="S777" s="55"/>
      <c r="T777" s="55"/>
      <c r="U777" s="55"/>
      <c r="W777" s="273"/>
      <c r="X777" s="273"/>
    </row>
    <row r="778" spans="1:24" ht="12.75">
      <c r="A778" s="44"/>
      <c r="N778" s="54"/>
      <c r="O778" s="54"/>
      <c r="P778" s="54"/>
      <c r="Q778" s="92"/>
      <c r="R778" s="55"/>
      <c r="S778" s="55"/>
      <c r="T778" s="55"/>
      <c r="U778" s="55"/>
      <c r="W778" s="273"/>
      <c r="X778" s="273"/>
    </row>
    <row r="779" spans="1:24" ht="12.75">
      <c r="A779" s="44"/>
      <c r="N779" s="54"/>
      <c r="O779" s="54"/>
      <c r="P779" s="54"/>
      <c r="Q779" s="92"/>
      <c r="R779" s="55"/>
      <c r="S779" s="55"/>
      <c r="T779" s="55"/>
      <c r="U779" s="55"/>
      <c r="W779" s="273"/>
      <c r="X779" s="273"/>
    </row>
    <row r="780" spans="1:24" ht="12.75">
      <c r="A780" s="44"/>
      <c r="N780" s="54"/>
      <c r="O780" s="54"/>
      <c r="P780" s="54"/>
      <c r="Q780" s="92"/>
      <c r="R780" s="55"/>
      <c r="S780" s="55"/>
      <c r="T780" s="55"/>
      <c r="U780" s="55"/>
      <c r="W780" s="273"/>
      <c r="X780" s="273"/>
    </row>
    <row r="781" spans="1:24" ht="12.75">
      <c r="A781" s="44"/>
      <c r="N781" s="54"/>
      <c r="O781" s="54"/>
      <c r="P781" s="54"/>
      <c r="Q781" s="92"/>
      <c r="R781" s="55"/>
      <c r="S781" s="55"/>
      <c r="T781" s="55"/>
      <c r="U781" s="55"/>
      <c r="W781" s="273"/>
      <c r="X781" s="273"/>
    </row>
    <row r="782" spans="1:24" ht="12.75">
      <c r="A782" s="44"/>
      <c r="N782" s="54"/>
      <c r="O782" s="54"/>
      <c r="P782" s="54"/>
      <c r="Q782" s="92"/>
      <c r="R782" s="55"/>
      <c r="S782" s="55"/>
      <c r="T782" s="55"/>
      <c r="U782" s="55"/>
      <c r="W782" s="273"/>
      <c r="X782" s="273"/>
    </row>
    <row r="783" spans="1:24" ht="12.75">
      <c r="A783" s="44"/>
      <c r="N783" s="54"/>
      <c r="O783" s="54"/>
      <c r="P783" s="54"/>
      <c r="Q783" s="92"/>
      <c r="R783" s="55"/>
      <c r="S783" s="55"/>
      <c r="T783" s="55"/>
      <c r="U783" s="55"/>
      <c r="W783" s="273"/>
      <c r="X783" s="273"/>
    </row>
    <row r="784" spans="1:24" ht="12.75">
      <c r="A784" s="44"/>
      <c r="N784" s="54"/>
      <c r="O784" s="54"/>
      <c r="P784" s="54"/>
      <c r="Q784" s="92"/>
      <c r="R784" s="55"/>
      <c r="S784" s="55"/>
      <c r="T784" s="55"/>
      <c r="U784" s="55"/>
      <c r="W784" s="273"/>
      <c r="X784" s="273"/>
    </row>
    <row r="785" spans="1:24" ht="12.75">
      <c r="A785" s="44"/>
      <c r="N785" s="54"/>
      <c r="O785" s="54"/>
      <c r="P785" s="54"/>
      <c r="Q785" s="92"/>
      <c r="R785" s="55"/>
      <c r="S785" s="55"/>
      <c r="T785" s="55"/>
      <c r="U785" s="55"/>
      <c r="W785" s="273"/>
      <c r="X785" s="273"/>
    </row>
    <row r="786" spans="1:24" ht="12.75">
      <c r="A786" s="44"/>
      <c r="N786" s="54"/>
      <c r="O786" s="54"/>
      <c r="P786" s="54"/>
      <c r="Q786" s="92"/>
      <c r="R786" s="55"/>
      <c r="S786" s="55"/>
      <c r="T786" s="55"/>
      <c r="U786" s="55"/>
      <c r="W786" s="273"/>
      <c r="X786" s="273"/>
    </row>
    <row r="787" spans="1:24" ht="12.75">
      <c r="A787" s="44"/>
      <c r="N787" s="54"/>
      <c r="O787" s="54"/>
      <c r="P787" s="54"/>
      <c r="Q787" s="92"/>
      <c r="R787" s="55"/>
      <c r="S787" s="55"/>
      <c r="T787" s="55"/>
      <c r="U787" s="55"/>
      <c r="W787" s="273"/>
      <c r="X787" s="273"/>
    </row>
    <row r="788" spans="1:24" ht="12.75">
      <c r="A788" s="44"/>
      <c r="N788" s="54"/>
      <c r="O788" s="54"/>
      <c r="P788" s="54"/>
      <c r="Q788" s="92"/>
      <c r="R788" s="55"/>
      <c r="S788" s="55"/>
      <c r="T788" s="55"/>
      <c r="U788" s="55"/>
      <c r="W788" s="273"/>
      <c r="X788" s="273"/>
    </row>
    <row r="789" spans="1:24" ht="12.75">
      <c r="A789" s="44"/>
      <c r="N789" s="54"/>
      <c r="O789" s="54"/>
      <c r="P789" s="54"/>
      <c r="Q789" s="92"/>
      <c r="R789" s="55"/>
      <c r="S789" s="55"/>
      <c r="T789" s="55"/>
      <c r="U789" s="55"/>
      <c r="W789" s="273"/>
      <c r="X789" s="273"/>
    </row>
    <row r="790" spans="1:24" ht="12.75">
      <c r="A790" s="44"/>
      <c r="N790" s="54"/>
      <c r="O790" s="54"/>
      <c r="P790" s="54"/>
      <c r="Q790" s="92"/>
      <c r="R790" s="55"/>
      <c r="S790" s="55"/>
      <c r="T790" s="55"/>
      <c r="U790" s="55"/>
      <c r="W790" s="273"/>
      <c r="X790" s="273"/>
    </row>
    <row r="791" spans="1:24" ht="12.75">
      <c r="A791" s="44"/>
      <c r="N791" s="54"/>
      <c r="O791" s="54"/>
      <c r="P791" s="54"/>
      <c r="Q791" s="92"/>
      <c r="R791" s="55"/>
      <c r="S791" s="55"/>
      <c r="T791" s="55"/>
      <c r="U791" s="55"/>
      <c r="W791" s="273"/>
      <c r="X791" s="273"/>
    </row>
    <row r="792" spans="1:24" ht="12.75">
      <c r="A792" s="44"/>
      <c r="N792" s="54"/>
      <c r="O792" s="54"/>
      <c r="P792" s="54"/>
      <c r="Q792" s="92"/>
      <c r="R792" s="55"/>
      <c r="S792" s="55"/>
      <c r="T792" s="55"/>
      <c r="U792" s="55"/>
      <c r="W792" s="273"/>
      <c r="X792" s="273"/>
    </row>
    <row r="793" spans="1:24" ht="12.75">
      <c r="A793" s="44"/>
      <c r="N793" s="54"/>
      <c r="O793" s="54"/>
      <c r="P793" s="54"/>
      <c r="Q793" s="92"/>
      <c r="R793" s="55"/>
      <c r="S793" s="55"/>
      <c r="T793" s="55"/>
      <c r="U793" s="55"/>
      <c r="W793" s="273"/>
      <c r="X793" s="273"/>
    </row>
    <row r="794" spans="1:24" ht="12.75">
      <c r="A794" s="44"/>
      <c r="N794" s="54"/>
      <c r="O794" s="54"/>
      <c r="P794" s="54"/>
      <c r="Q794" s="92"/>
      <c r="R794" s="55"/>
      <c r="S794" s="55"/>
      <c r="T794" s="55"/>
      <c r="U794" s="55"/>
      <c r="W794" s="273"/>
      <c r="X794" s="273"/>
    </row>
    <row r="795" spans="1:24" ht="12.75">
      <c r="A795" s="44"/>
      <c r="N795" s="54"/>
      <c r="O795" s="54"/>
      <c r="P795" s="54"/>
      <c r="Q795" s="92"/>
      <c r="R795" s="55"/>
      <c r="S795" s="55"/>
      <c r="T795" s="55"/>
      <c r="U795" s="55"/>
      <c r="W795" s="273"/>
      <c r="X795" s="273"/>
    </row>
    <row r="796" spans="1:24" ht="12.75">
      <c r="A796" s="44"/>
      <c r="N796" s="54"/>
      <c r="O796" s="54"/>
      <c r="P796" s="54"/>
      <c r="Q796" s="92"/>
      <c r="R796" s="55"/>
      <c r="S796" s="55"/>
      <c r="T796" s="55"/>
      <c r="U796" s="55"/>
      <c r="W796" s="273"/>
      <c r="X796" s="273"/>
    </row>
    <row r="797" spans="1:24" ht="12.75">
      <c r="A797" s="44"/>
      <c r="N797" s="54"/>
      <c r="O797" s="54"/>
      <c r="P797" s="54"/>
      <c r="Q797" s="92"/>
      <c r="R797" s="55"/>
      <c r="S797" s="55"/>
      <c r="T797" s="55"/>
      <c r="U797" s="55"/>
      <c r="W797" s="273"/>
      <c r="X797" s="273"/>
    </row>
    <row r="798" spans="1:24" ht="12.75">
      <c r="A798" s="44"/>
      <c r="N798" s="54"/>
      <c r="O798" s="54"/>
      <c r="P798" s="54"/>
      <c r="Q798" s="92"/>
      <c r="R798" s="55"/>
      <c r="S798" s="55"/>
      <c r="T798" s="55"/>
      <c r="U798" s="55"/>
      <c r="W798" s="273"/>
      <c r="X798" s="273"/>
    </row>
    <row r="799" spans="1:24" ht="12.75">
      <c r="A799" s="44"/>
      <c r="N799" s="54"/>
      <c r="O799" s="54"/>
      <c r="P799" s="54"/>
      <c r="Q799" s="92"/>
      <c r="R799" s="55"/>
      <c r="S799" s="55"/>
      <c r="T799" s="55"/>
      <c r="U799" s="55"/>
      <c r="W799" s="273"/>
      <c r="X799" s="273"/>
    </row>
    <row r="800" spans="1:24" ht="12.75">
      <c r="A800" s="44"/>
      <c r="N800" s="54"/>
      <c r="O800" s="54"/>
      <c r="P800" s="54"/>
      <c r="Q800" s="92"/>
      <c r="R800" s="55"/>
      <c r="S800" s="55"/>
      <c r="T800" s="55"/>
      <c r="U800" s="55"/>
      <c r="W800" s="273"/>
      <c r="X800" s="273"/>
    </row>
    <row r="801" spans="1:24" ht="12.75">
      <c r="A801" s="44"/>
      <c r="N801" s="54"/>
      <c r="O801" s="54"/>
      <c r="P801" s="54"/>
      <c r="Q801" s="92"/>
      <c r="R801" s="55"/>
      <c r="S801" s="55"/>
      <c r="T801" s="55"/>
      <c r="U801" s="55"/>
      <c r="W801" s="273"/>
      <c r="X801" s="273"/>
    </row>
    <row r="802" spans="1:24" ht="12.75">
      <c r="A802" s="44"/>
      <c r="N802" s="54"/>
      <c r="O802" s="54"/>
      <c r="P802" s="54"/>
      <c r="Q802" s="92"/>
      <c r="R802" s="55"/>
      <c r="S802" s="55"/>
      <c r="T802" s="55"/>
      <c r="U802" s="55"/>
      <c r="W802" s="273"/>
      <c r="X802" s="273"/>
    </row>
    <row r="803" spans="1:24" ht="12.75">
      <c r="A803" s="44"/>
      <c r="N803" s="54"/>
      <c r="O803" s="54"/>
      <c r="P803" s="54"/>
      <c r="Q803" s="92"/>
      <c r="R803" s="55"/>
      <c r="S803" s="55"/>
      <c r="T803" s="55"/>
      <c r="U803" s="55"/>
      <c r="W803" s="273"/>
      <c r="X803" s="273"/>
    </row>
    <row r="804" spans="1:24" ht="12.75">
      <c r="A804" s="44"/>
      <c r="N804" s="54"/>
      <c r="O804" s="54"/>
      <c r="P804" s="54"/>
      <c r="Q804" s="92"/>
      <c r="R804" s="55"/>
      <c r="S804" s="55"/>
      <c r="T804" s="55"/>
      <c r="U804" s="55"/>
      <c r="W804" s="273"/>
      <c r="X804" s="273"/>
    </row>
    <row r="805" spans="1:24" ht="12.75">
      <c r="A805" s="44"/>
      <c r="N805" s="54"/>
      <c r="O805" s="54"/>
      <c r="P805" s="54"/>
      <c r="Q805" s="92"/>
      <c r="R805" s="55"/>
      <c r="S805" s="55"/>
      <c r="T805" s="55"/>
      <c r="U805" s="55"/>
      <c r="W805" s="273"/>
      <c r="X805" s="273"/>
    </row>
    <row r="806" spans="1:24" ht="12.75">
      <c r="A806" s="44"/>
      <c r="N806" s="54"/>
      <c r="O806" s="54"/>
      <c r="P806" s="54"/>
      <c r="Q806" s="92"/>
      <c r="R806" s="55"/>
      <c r="S806" s="55"/>
      <c r="T806" s="55"/>
      <c r="U806" s="55"/>
      <c r="W806" s="273"/>
      <c r="X806" s="273"/>
    </row>
    <row r="807" spans="1:24" ht="12.75">
      <c r="A807" s="44"/>
      <c r="N807" s="54"/>
      <c r="O807" s="54"/>
      <c r="P807" s="54"/>
      <c r="Q807" s="92"/>
      <c r="R807" s="55"/>
      <c r="S807" s="55"/>
      <c r="T807" s="55"/>
      <c r="U807" s="55"/>
      <c r="W807" s="273"/>
      <c r="X807" s="273"/>
    </row>
    <row r="808" spans="1:24" ht="12.75">
      <c r="A808" s="44"/>
      <c r="N808" s="54"/>
      <c r="O808" s="54"/>
      <c r="P808" s="54"/>
      <c r="Q808" s="92"/>
      <c r="R808" s="55"/>
      <c r="S808" s="55"/>
      <c r="T808" s="55"/>
      <c r="U808" s="55"/>
      <c r="W808" s="273"/>
      <c r="X808" s="273"/>
    </row>
    <row r="809" spans="1:24" ht="12.75">
      <c r="A809" s="44"/>
      <c r="N809" s="54"/>
      <c r="O809" s="54"/>
      <c r="P809" s="54"/>
      <c r="Q809" s="92"/>
      <c r="R809" s="55"/>
      <c r="S809" s="55"/>
      <c r="T809" s="55"/>
      <c r="U809" s="55"/>
      <c r="W809" s="273"/>
      <c r="X809" s="273"/>
    </row>
    <row r="810" spans="1:24" ht="12.75">
      <c r="A810" s="44"/>
      <c r="N810" s="54"/>
      <c r="O810" s="54"/>
      <c r="P810" s="54"/>
      <c r="Q810" s="92"/>
      <c r="R810" s="55"/>
      <c r="S810" s="55"/>
      <c r="T810" s="55"/>
      <c r="U810" s="55"/>
      <c r="W810" s="273"/>
      <c r="X810" s="273"/>
    </row>
    <row r="811" spans="1:24" ht="12.75">
      <c r="A811" s="44"/>
      <c r="N811" s="54"/>
      <c r="O811" s="54"/>
      <c r="P811" s="54"/>
      <c r="Q811" s="92"/>
      <c r="R811" s="55"/>
      <c r="S811" s="55"/>
      <c r="T811" s="55"/>
      <c r="U811" s="55"/>
      <c r="W811" s="273"/>
      <c r="X811" s="273"/>
    </row>
    <row r="812" spans="1:24" ht="12.75">
      <c r="A812" s="44"/>
      <c r="N812" s="54"/>
      <c r="O812" s="54"/>
      <c r="P812" s="54"/>
      <c r="Q812" s="92"/>
      <c r="R812" s="55"/>
      <c r="S812" s="55"/>
      <c r="T812" s="55"/>
      <c r="U812" s="55"/>
      <c r="W812" s="273"/>
      <c r="X812" s="273"/>
    </row>
    <row r="813" spans="1:24" ht="12.75">
      <c r="A813" s="44"/>
      <c r="N813" s="54"/>
      <c r="O813" s="54"/>
      <c r="P813" s="54"/>
      <c r="Q813" s="92"/>
      <c r="R813" s="55"/>
      <c r="S813" s="55"/>
      <c r="T813" s="55"/>
      <c r="U813" s="55"/>
      <c r="W813" s="273"/>
      <c r="X813" s="273"/>
    </row>
    <row r="814" spans="1:24" ht="12.75">
      <c r="A814" s="44"/>
      <c r="N814" s="54"/>
      <c r="O814" s="54"/>
      <c r="P814" s="54"/>
      <c r="Q814" s="92"/>
      <c r="R814" s="55"/>
      <c r="S814" s="55"/>
      <c r="T814" s="55"/>
      <c r="U814" s="55"/>
      <c r="W814" s="273"/>
      <c r="X814" s="273"/>
    </row>
    <row r="815" spans="1:24" ht="12.75">
      <c r="A815" s="44"/>
      <c r="N815" s="54"/>
      <c r="O815" s="54"/>
      <c r="P815" s="54"/>
      <c r="Q815" s="92"/>
      <c r="R815" s="55"/>
      <c r="S815" s="55"/>
      <c r="T815" s="55"/>
      <c r="U815" s="55"/>
      <c r="W815" s="273"/>
      <c r="X815" s="273"/>
    </row>
    <row r="816" spans="1:24" ht="12.75">
      <c r="A816" s="44"/>
      <c r="N816" s="54"/>
      <c r="O816" s="54"/>
      <c r="P816" s="54"/>
      <c r="Q816" s="92"/>
      <c r="R816" s="55"/>
      <c r="S816" s="55"/>
      <c r="T816" s="55"/>
      <c r="U816" s="55"/>
      <c r="W816" s="273"/>
      <c r="X816" s="273"/>
    </row>
    <row r="817" spans="1:24" ht="12.75">
      <c r="A817" s="44"/>
      <c r="N817" s="54"/>
      <c r="O817" s="54"/>
      <c r="P817" s="54"/>
      <c r="Q817" s="92"/>
      <c r="R817" s="55"/>
      <c r="S817" s="55"/>
      <c r="T817" s="55"/>
      <c r="U817" s="55"/>
      <c r="W817" s="273"/>
      <c r="X817" s="273"/>
    </row>
    <row r="818" spans="1:24" ht="12.75">
      <c r="A818" s="44"/>
      <c r="N818" s="54"/>
      <c r="O818" s="54"/>
      <c r="P818" s="54"/>
      <c r="Q818" s="92"/>
      <c r="R818" s="55"/>
      <c r="S818" s="55"/>
      <c r="T818" s="55"/>
      <c r="U818" s="55"/>
      <c r="W818" s="273"/>
      <c r="X818" s="273"/>
    </row>
    <row r="819" spans="1:24" ht="12.75">
      <c r="A819" s="44"/>
      <c r="N819" s="54"/>
      <c r="O819" s="54"/>
      <c r="P819" s="54"/>
      <c r="Q819" s="92"/>
      <c r="R819" s="55"/>
      <c r="S819" s="55"/>
      <c r="T819" s="55"/>
      <c r="U819" s="55"/>
      <c r="W819" s="273"/>
      <c r="X819" s="273"/>
    </row>
    <row r="820" spans="1:24" ht="12.75">
      <c r="A820" s="44"/>
      <c r="N820" s="54"/>
      <c r="O820" s="54"/>
      <c r="P820" s="54"/>
      <c r="Q820" s="92"/>
      <c r="R820" s="55"/>
      <c r="S820" s="55"/>
      <c r="T820" s="55"/>
      <c r="U820" s="55"/>
      <c r="W820" s="273"/>
      <c r="X820" s="273"/>
    </row>
    <row r="821" spans="1:24" ht="12.75">
      <c r="A821" s="44"/>
      <c r="N821" s="54"/>
      <c r="O821" s="54"/>
      <c r="P821" s="54"/>
      <c r="Q821" s="92"/>
      <c r="R821" s="55"/>
      <c r="S821" s="55"/>
      <c r="T821" s="55"/>
      <c r="U821" s="55"/>
      <c r="W821" s="273"/>
      <c r="X821" s="273"/>
    </row>
    <row r="822" spans="1:24" ht="12.75">
      <c r="A822" s="44"/>
      <c r="N822" s="54"/>
      <c r="O822" s="54"/>
      <c r="P822" s="54"/>
      <c r="Q822" s="92"/>
      <c r="R822" s="55"/>
      <c r="S822" s="55"/>
      <c r="T822" s="55"/>
      <c r="U822" s="55"/>
      <c r="W822" s="273"/>
      <c r="X822" s="273"/>
    </row>
    <row r="823" spans="1:24" ht="12.75">
      <c r="A823" s="44"/>
      <c r="N823" s="54"/>
      <c r="O823" s="54"/>
      <c r="P823" s="54"/>
      <c r="Q823" s="92"/>
      <c r="R823" s="55"/>
      <c r="S823" s="55"/>
      <c r="T823" s="55"/>
      <c r="U823" s="55"/>
      <c r="W823" s="273"/>
      <c r="X823" s="273"/>
    </row>
    <row r="824" spans="1:24" ht="12.75">
      <c r="A824" s="44"/>
      <c r="N824" s="54"/>
      <c r="O824" s="54"/>
      <c r="P824" s="54"/>
      <c r="Q824" s="92"/>
      <c r="R824" s="55"/>
      <c r="S824" s="55"/>
      <c r="T824" s="55"/>
      <c r="U824" s="55"/>
      <c r="W824" s="273"/>
      <c r="X824" s="273"/>
    </row>
    <row r="825" spans="1:24" ht="12.75">
      <c r="A825" s="44"/>
      <c r="N825" s="54"/>
      <c r="O825" s="54"/>
      <c r="P825" s="54"/>
      <c r="Q825" s="92"/>
      <c r="R825" s="55"/>
      <c r="S825" s="55"/>
      <c r="T825" s="55"/>
      <c r="U825" s="55"/>
      <c r="W825" s="273"/>
      <c r="X825" s="273"/>
    </row>
    <row r="826" spans="1:24" ht="12.75">
      <c r="A826" s="44"/>
      <c r="N826" s="54"/>
      <c r="O826" s="54"/>
      <c r="P826" s="54"/>
      <c r="Q826" s="92"/>
      <c r="R826" s="55"/>
      <c r="S826" s="55"/>
      <c r="T826" s="55"/>
      <c r="U826" s="55"/>
      <c r="W826" s="273"/>
      <c r="X826" s="273"/>
    </row>
    <row r="827" spans="1:24" ht="12.75">
      <c r="A827" s="44"/>
      <c r="N827" s="54"/>
      <c r="O827" s="54"/>
      <c r="P827" s="54"/>
      <c r="Q827" s="92"/>
      <c r="R827" s="55"/>
      <c r="S827" s="55"/>
      <c r="T827" s="55"/>
      <c r="U827" s="55"/>
      <c r="W827" s="273"/>
      <c r="X827" s="273"/>
    </row>
    <row r="828" spans="1:24" ht="12.75">
      <c r="A828" s="44"/>
      <c r="N828" s="54"/>
      <c r="O828" s="54"/>
      <c r="P828" s="54"/>
      <c r="Q828" s="92"/>
      <c r="R828" s="55"/>
      <c r="S828" s="55"/>
      <c r="T828" s="55"/>
      <c r="U828" s="55"/>
      <c r="W828" s="273"/>
      <c r="X828" s="273"/>
    </row>
    <row r="829" spans="1:24" ht="12.75">
      <c r="A829" s="44"/>
      <c r="N829" s="54"/>
      <c r="O829" s="54"/>
      <c r="P829" s="54"/>
      <c r="Q829" s="92"/>
      <c r="R829" s="55"/>
      <c r="S829" s="55"/>
      <c r="T829" s="55"/>
      <c r="U829" s="55"/>
      <c r="W829" s="273"/>
      <c r="X829" s="273"/>
    </row>
    <row r="830" spans="1:24" ht="12.75">
      <c r="A830" s="44"/>
      <c r="N830" s="54"/>
      <c r="O830" s="54"/>
      <c r="P830" s="54"/>
      <c r="Q830" s="92"/>
      <c r="R830" s="55"/>
      <c r="S830" s="55"/>
      <c r="T830" s="55"/>
      <c r="U830" s="55"/>
      <c r="W830" s="273"/>
      <c r="X830" s="273"/>
    </row>
    <row r="831" spans="1:24" ht="12.75">
      <c r="A831" s="44"/>
      <c r="N831" s="54"/>
      <c r="O831" s="54"/>
      <c r="P831" s="54"/>
      <c r="Q831" s="92"/>
      <c r="R831" s="55"/>
      <c r="S831" s="55"/>
      <c r="T831" s="55"/>
      <c r="U831" s="55"/>
      <c r="W831" s="273"/>
      <c r="X831" s="273"/>
    </row>
    <row r="832" spans="1:24" ht="12.75">
      <c r="A832" s="44"/>
      <c r="N832" s="54"/>
      <c r="O832" s="54"/>
      <c r="P832" s="54"/>
      <c r="Q832" s="92"/>
      <c r="R832" s="55"/>
      <c r="S832" s="55"/>
      <c r="T832" s="55"/>
      <c r="U832" s="55"/>
      <c r="W832" s="273"/>
      <c r="X832" s="273"/>
    </row>
    <row r="833" spans="1:24" ht="12.75">
      <c r="A833" s="44"/>
      <c r="N833" s="54"/>
      <c r="O833" s="54"/>
      <c r="P833" s="54"/>
      <c r="Q833" s="92"/>
      <c r="R833" s="55"/>
      <c r="S833" s="55"/>
      <c r="T833" s="55"/>
      <c r="U833" s="55"/>
      <c r="W833" s="273"/>
      <c r="X833" s="273"/>
    </row>
    <row r="834" spans="1:24" ht="12.75">
      <c r="A834" s="44"/>
      <c r="N834" s="54"/>
      <c r="O834" s="54"/>
      <c r="P834" s="54"/>
      <c r="Q834" s="92"/>
      <c r="R834" s="55"/>
      <c r="S834" s="55"/>
      <c r="T834" s="55"/>
      <c r="U834" s="55"/>
      <c r="W834" s="273"/>
      <c r="X834" s="273"/>
    </row>
    <row r="835" spans="1:24" ht="12.75">
      <c r="A835" s="44"/>
      <c r="N835" s="54"/>
      <c r="O835" s="54"/>
      <c r="P835" s="54"/>
      <c r="Q835" s="92"/>
      <c r="R835" s="55"/>
      <c r="S835" s="55"/>
      <c r="T835" s="55"/>
      <c r="U835" s="55"/>
      <c r="W835" s="273"/>
      <c r="X835" s="273"/>
    </row>
    <row r="836" spans="1:24" ht="12.75">
      <c r="A836" s="44"/>
      <c r="N836" s="54"/>
      <c r="O836" s="54"/>
      <c r="P836" s="54"/>
      <c r="Q836" s="92"/>
      <c r="R836" s="55"/>
      <c r="S836" s="55"/>
      <c r="T836" s="55"/>
      <c r="U836" s="55"/>
      <c r="W836" s="273"/>
      <c r="X836" s="273"/>
    </row>
    <row r="837" spans="1:24" ht="12.75">
      <c r="A837" s="44"/>
      <c r="N837" s="54"/>
      <c r="O837" s="54"/>
      <c r="P837" s="54"/>
      <c r="Q837" s="92"/>
      <c r="R837" s="55"/>
      <c r="S837" s="55"/>
      <c r="T837" s="55"/>
      <c r="U837" s="55"/>
      <c r="W837" s="273"/>
      <c r="X837" s="273"/>
    </row>
    <row r="838" spans="1:24" ht="12.75">
      <c r="A838" s="44"/>
      <c r="N838" s="54"/>
      <c r="O838" s="54"/>
      <c r="P838" s="54"/>
      <c r="Q838" s="92"/>
      <c r="R838" s="55"/>
      <c r="S838" s="55"/>
      <c r="T838" s="55"/>
      <c r="U838" s="55"/>
      <c r="W838" s="273"/>
      <c r="X838" s="273"/>
    </row>
    <row r="839" spans="1:24" ht="12.75">
      <c r="A839" s="44"/>
      <c r="N839" s="54"/>
      <c r="O839" s="54"/>
      <c r="P839" s="54"/>
      <c r="Q839" s="92"/>
      <c r="R839" s="55"/>
      <c r="S839" s="55"/>
      <c r="T839" s="55"/>
      <c r="U839" s="55"/>
      <c r="W839" s="273"/>
      <c r="X839" s="273"/>
    </row>
    <row r="840" spans="1:24" ht="12.75">
      <c r="A840" s="44"/>
      <c r="N840" s="54"/>
      <c r="O840" s="54"/>
      <c r="P840" s="54"/>
      <c r="Q840" s="92"/>
      <c r="R840" s="55"/>
      <c r="S840" s="55"/>
      <c r="T840" s="55"/>
      <c r="U840" s="55"/>
      <c r="W840" s="273"/>
      <c r="X840" s="273"/>
    </row>
    <row r="841" spans="1:24" ht="12.75">
      <c r="A841" s="44"/>
      <c r="N841" s="54"/>
      <c r="O841" s="54"/>
      <c r="P841" s="54"/>
      <c r="Q841" s="92"/>
      <c r="R841" s="55"/>
      <c r="S841" s="55"/>
      <c r="T841" s="55"/>
      <c r="U841" s="55"/>
      <c r="W841" s="273"/>
      <c r="X841" s="273"/>
    </row>
    <row r="842" spans="1:24" ht="12.75">
      <c r="A842" s="44"/>
      <c r="N842" s="54"/>
      <c r="O842" s="54"/>
      <c r="P842" s="54"/>
      <c r="Q842" s="92"/>
      <c r="R842" s="55"/>
      <c r="S842" s="55"/>
      <c r="T842" s="55"/>
      <c r="U842" s="55"/>
      <c r="W842" s="273"/>
      <c r="X842" s="273"/>
    </row>
    <row r="843" spans="1:24" ht="12.75">
      <c r="A843" s="44"/>
      <c r="N843" s="54"/>
      <c r="O843" s="54"/>
      <c r="P843" s="54"/>
      <c r="Q843" s="92"/>
      <c r="R843" s="55"/>
      <c r="S843" s="55"/>
      <c r="T843" s="55"/>
      <c r="U843" s="55"/>
      <c r="W843" s="273"/>
      <c r="X843" s="273"/>
    </row>
    <row r="844" spans="1:24" ht="12.75">
      <c r="A844" s="44"/>
      <c r="N844" s="54"/>
      <c r="O844" s="54"/>
      <c r="P844" s="54"/>
      <c r="Q844" s="92"/>
      <c r="R844" s="55"/>
      <c r="S844" s="55"/>
      <c r="T844" s="55"/>
      <c r="U844" s="55"/>
      <c r="W844" s="273"/>
      <c r="X844" s="273"/>
    </row>
    <row r="845" spans="1:24" ht="12.75">
      <c r="A845" s="44"/>
      <c r="N845" s="54"/>
      <c r="O845" s="54"/>
      <c r="P845" s="54"/>
      <c r="Q845" s="92"/>
      <c r="R845" s="55"/>
      <c r="S845" s="55"/>
      <c r="T845" s="55"/>
      <c r="U845" s="55"/>
      <c r="W845" s="273"/>
      <c r="X845" s="273"/>
    </row>
    <row r="846" spans="1:24" ht="12.75">
      <c r="A846" s="44"/>
      <c r="N846" s="54"/>
      <c r="O846" s="54"/>
      <c r="P846" s="54"/>
      <c r="Q846" s="92"/>
      <c r="R846" s="55"/>
      <c r="S846" s="55"/>
      <c r="T846" s="55"/>
      <c r="U846" s="55"/>
      <c r="W846" s="273"/>
      <c r="X846" s="273"/>
    </row>
    <row r="847" spans="1:24" ht="12.75">
      <c r="A847" s="44"/>
      <c r="N847" s="54"/>
      <c r="O847" s="54"/>
      <c r="P847" s="54"/>
      <c r="Q847" s="92"/>
      <c r="R847" s="55"/>
      <c r="S847" s="55"/>
      <c r="T847" s="55"/>
      <c r="U847" s="55"/>
      <c r="W847" s="273"/>
      <c r="X847" s="273"/>
    </row>
    <row r="848" spans="1:24" ht="12.75">
      <c r="A848" s="44"/>
      <c r="N848" s="54"/>
      <c r="O848" s="54"/>
      <c r="P848" s="54"/>
      <c r="Q848" s="92"/>
      <c r="R848" s="55"/>
      <c r="S848" s="55"/>
      <c r="T848" s="55"/>
      <c r="U848" s="55"/>
      <c r="W848" s="273"/>
      <c r="X848" s="273"/>
    </row>
    <row r="849" spans="1:24" ht="12.75">
      <c r="A849" s="44"/>
      <c r="N849" s="54"/>
      <c r="O849" s="54"/>
      <c r="P849" s="54"/>
      <c r="Q849" s="92"/>
      <c r="R849" s="55"/>
      <c r="S849" s="55"/>
      <c r="T849" s="55"/>
      <c r="U849" s="55"/>
      <c r="W849" s="273"/>
      <c r="X849" s="273"/>
    </row>
    <row r="850" spans="1:24" ht="12.75">
      <c r="A850" s="44"/>
      <c r="N850" s="54"/>
      <c r="O850" s="54"/>
      <c r="P850" s="54"/>
      <c r="Q850" s="92"/>
      <c r="R850" s="55"/>
      <c r="S850" s="55"/>
      <c r="T850" s="55"/>
      <c r="U850" s="55"/>
      <c r="W850" s="273"/>
      <c r="X850" s="273"/>
    </row>
    <row r="851" spans="1:24" ht="12.75">
      <c r="A851" s="44"/>
      <c r="N851" s="54"/>
      <c r="O851" s="54"/>
      <c r="P851" s="54"/>
      <c r="Q851" s="92"/>
      <c r="R851" s="55"/>
      <c r="S851" s="55"/>
      <c r="T851" s="55"/>
      <c r="U851" s="55"/>
      <c r="W851" s="273"/>
      <c r="X851" s="273"/>
    </row>
    <row r="852" spans="1:24" ht="12.75">
      <c r="A852" s="44"/>
      <c r="N852" s="54"/>
      <c r="O852" s="54"/>
      <c r="P852" s="54"/>
      <c r="Q852" s="92"/>
      <c r="R852" s="55"/>
      <c r="S852" s="55"/>
      <c r="T852" s="55"/>
      <c r="U852" s="55"/>
      <c r="W852" s="273"/>
      <c r="X852" s="273"/>
    </row>
    <row r="853" spans="1:24" ht="12.75">
      <c r="A853" s="44"/>
      <c r="N853" s="54"/>
      <c r="O853" s="54"/>
      <c r="P853" s="54"/>
      <c r="Q853" s="92"/>
      <c r="R853" s="55"/>
      <c r="S853" s="55"/>
      <c r="T853" s="55"/>
      <c r="U853" s="55"/>
      <c r="W853" s="273"/>
      <c r="X853" s="273"/>
    </row>
    <row r="854" spans="1:24" ht="12.75">
      <c r="A854" s="44"/>
      <c r="N854" s="54"/>
      <c r="O854" s="54"/>
      <c r="P854" s="54"/>
      <c r="Q854" s="92"/>
      <c r="R854" s="55"/>
      <c r="S854" s="55"/>
      <c r="T854" s="55"/>
      <c r="U854" s="55"/>
      <c r="W854" s="273"/>
      <c r="X854" s="273"/>
    </row>
    <row r="855" spans="1:24" ht="12.75">
      <c r="A855" s="44"/>
      <c r="N855" s="54"/>
      <c r="O855" s="54"/>
      <c r="P855" s="54"/>
      <c r="Q855" s="92"/>
      <c r="R855" s="55"/>
      <c r="S855" s="55"/>
      <c r="T855" s="55"/>
      <c r="U855" s="55"/>
      <c r="W855" s="273"/>
      <c r="X855" s="273"/>
    </row>
    <row r="856" spans="1:24" ht="12.75">
      <c r="A856" s="44"/>
      <c r="N856" s="54"/>
      <c r="O856" s="54"/>
      <c r="P856" s="54"/>
      <c r="Q856" s="92"/>
      <c r="R856" s="55"/>
      <c r="S856" s="55"/>
      <c r="T856" s="55"/>
      <c r="U856" s="55"/>
      <c r="W856" s="273"/>
      <c r="X856" s="273"/>
    </row>
    <row r="857" spans="1:24" ht="12.75">
      <c r="A857" s="44"/>
      <c r="N857" s="54"/>
      <c r="O857" s="54"/>
      <c r="P857" s="54"/>
      <c r="Q857" s="92"/>
      <c r="R857" s="55"/>
      <c r="S857" s="55"/>
      <c r="T857" s="55"/>
      <c r="U857" s="55"/>
      <c r="W857" s="273"/>
      <c r="X857" s="273"/>
    </row>
    <row r="858" spans="1:24" ht="12.75">
      <c r="A858" s="44"/>
      <c r="N858" s="54"/>
      <c r="O858" s="54"/>
      <c r="P858" s="54"/>
      <c r="Q858" s="92"/>
      <c r="R858" s="55"/>
      <c r="S858" s="55"/>
      <c r="T858" s="55"/>
      <c r="U858" s="55"/>
      <c r="W858" s="273"/>
      <c r="X858" s="273"/>
    </row>
    <row r="859" spans="1:24" ht="12.75">
      <c r="A859" s="44"/>
      <c r="N859" s="54"/>
      <c r="O859" s="54"/>
      <c r="P859" s="54"/>
      <c r="Q859" s="92"/>
      <c r="R859" s="55"/>
      <c r="S859" s="55"/>
      <c r="T859" s="55"/>
      <c r="U859" s="55"/>
      <c r="W859" s="273"/>
      <c r="X859" s="273"/>
    </row>
    <row r="860" spans="1:24" ht="12.75">
      <c r="A860" s="44"/>
      <c r="N860" s="54"/>
      <c r="O860" s="54"/>
      <c r="P860" s="54"/>
      <c r="Q860" s="92"/>
      <c r="R860" s="55"/>
      <c r="S860" s="55"/>
      <c r="T860" s="55"/>
      <c r="U860" s="55"/>
      <c r="W860" s="273"/>
      <c r="X860" s="273"/>
    </row>
    <row r="861" spans="1:24" ht="12.75">
      <c r="A861" s="44"/>
      <c r="N861" s="54"/>
      <c r="O861" s="54"/>
      <c r="P861" s="54"/>
      <c r="Q861" s="92"/>
      <c r="R861" s="55"/>
      <c r="S861" s="55"/>
      <c r="T861" s="55"/>
      <c r="U861" s="55"/>
      <c r="W861" s="273"/>
      <c r="X861" s="273"/>
    </row>
    <row r="862" spans="1:24" ht="12.75">
      <c r="A862" s="44"/>
      <c r="N862" s="54"/>
      <c r="O862" s="54"/>
      <c r="P862" s="54"/>
      <c r="Q862" s="92"/>
      <c r="R862" s="55"/>
      <c r="S862" s="55"/>
      <c r="T862" s="55"/>
      <c r="U862" s="55"/>
      <c r="W862" s="273"/>
      <c r="X862" s="273"/>
    </row>
    <row r="863" spans="1:24" ht="12.75">
      <c r="A863" s="44"/>
      <c r="N863" s="54"/>
      <c r="O863" s="54"/>
      <c r="P863" s="54"/>
      <c r="Q863" s="92"/>
      <c r="R863" s="55"/>
      <c r="S863" s="55"/>
      <c r="T863" s="55"/>
      <c r="U863" s="55"/>
      <c r="W863" s="273"/>
      <c r="X863" s="273"/>
    </row>
    <row r="864" spans="1:24" ht="12.75">
      <c r="A864" s="44"/>
      <c r="N864" s="54"/>
      <c r="O864" s="54"/>
      <c r="P864" s="54"/>
      <c r="Q864" s="92"/>
      <c r="R864" s="55"/>
      <c r="S864" s="55"/>
      <c r="T864" s="55"/>
      <c r="U864" s="55"/>
      <c r="W864" s="273"/>
      <c r="X864" s="273"/>
    </row>
    <row r="865" spans="1:24" ht="12.75">
      <c r="A865" s="44"/>
      <c r="N865" s="54"/>
      <c r="O865" s="54"/>
      <c r="P865" s="54"/>
      <c r="Q865" s="92"/>
      <c r="R865" s="55"/>
      <c r="S865" s="55"/>
      <c r="T865" s="55"/>
      <c r="U865" s="55"/>
      <c r="W865" s="273"/>
      <c r="X865" s="273"/>
    </row>
    <row r="866" spans="1:24" ht="12.75">
      <c r="A866" s="44"/>
      <c r="N866" s="54"/>
      <c r="O866" s="54"/>
      <c r="P866" s="54"/>
      <c r="Q866" s="92"/>
      <c r="R866" s="55"/>
      <c r="S866" s="55"/>
      <c r="T866" s="55"/>
      <c r="U866" s="55"/>
      <c r="W866" s="273"/>
      <c r="X866" s="273"/>
    </row>
    <row r="867" spans="1:24" ht="12.75">
      <c r="A867" s="44"/>
      <c r="N867" s="54"/>
      <c r="O867" s="54"/>
      <c r="P867" s="54"/>
      <c r="Q867" s="92"/>
      <c r="R867" s="55"/>
      <c r="S867" s="55"/>
      <c r="T867" s="55"/>
      <c r="U867" s="55"/>
      <c r="W867" s="273"/>
      <c r="X867" s="273"/>
    </row>
    <row r="868" spans="1:24" ht="12.75">
      <c r="A868" s="44"/>
      <c r="N868" s="54"/>
      <c r="O868" s="54"/>
      <c r="P868" s="54"/>
      <c r="Q868" s="92"/>
      <c r="R868" s="55"/>
      <c r="S868" s="55"/>
      <c r="T868" s="55"/>
      <c r="U868" s="55"/>
      <c r="W868" s="273"/>
      <c r="X868" s="273"/>
    </row>
    <row r="869" spans="1:24" ht="12.75">
      <c r="A869" s="44"/>
      <c r="N869" s="54"/>
      <c r="O869" s="54"/>
      <c r="P869" s="54"/>
      <c r="Q869" s="92"/>
      <c r="R869" s="55"/>
      <c r="S869" s="55"/>
      <c r="T869" s="55"/>
      <c r="U869" s="55"/>
      <c r="W869" s="273"/>
      <c r="X869" s="273"/>
    </row>
    <row r="870" spans="1:24" ht="12.75">
      <c r="A870" s="44"/>
      <c r="N870" s="54"/>
      <c r="O870" s="54"/>
      <c r="P870" s="54"/>
      <c r="Q870" s="92"/>
      <c r="R870" s="55"/>
      <c r="S870" s="55"/>
      <c r="T870" s="55"/>
      <c r="U870" s="55"/>
      <c r="W870" s="273"/>
      <c r="X870" s="273"/>
    </row>
    <row r="871" spans="1:24" ht="12.75">
      <c r="A871" s="44"/>
      <c r="N871" s="54"/>
      <c r="O871" s="54"/>
      <c r="P871" s="54"/>
      <c r="Q871" s="92"/>
      <c r="R871" s="55"/>
      <c r="S871" s="55"/>
      <c r="T871" s="55"/>
      <c r="U871" s="55"/>
      <c r="W871" s="273"/>
      <c r="X871" s="273"/>
    </row>
    <row r="872" spans="1:24" ht="12.75">
      <c r="A872" s="44"/>
      <c r="N872" s="54"/>
      <c r="O872" s="54"/>
      <c r="P872" s="54"/>
      <c r="Q872" s="92"/>
      <c r="R872" s="55"/>
      <c r="S872" s="55"/>
      <c r="T872" s="55"/>
      <c r="U872" s="55"/>
      <c r="W872" s="273"/>
      <c r="X872" s="273"/>
    </row>
    <row r="873" spans="1:24" ht="12.75">
      <c r="A873" s="44"/>
      <c r="N873" s="54"/>
      <c r="O873" s="54"/>
      <c r="P873" s="54"/>
      <c r="Q873" s="92"/>
      <c r="R873" s="55"/>
      <c r="S873" s="55"/>
      <c r="T873" s="55"/>
      <c r="U873" s="55"/>
      <c r="W873" s="273"/>
      <c r="X873" s="273"/>
    </row>
    <row r="874" spans="1:24" ht="12.75">
      <c r="A874" s="44"/>
      <c r="N874" s="54"/>
      <c r="O874" s="54"/>
      <c r="P874" s="54"/>
      <c r="Q874" s="92"/>
      <c r="R874" s="55"/>
      <c r="S874" s="55"/>
      <c r="T874" s="55"/>
      <c r="U874" s="55"/>
      <c r="W874" s="273"/>
      <c r="X874" s="273"/>
    </row>
    <row r="875" spans="1:24" ht="12.75">
      <c r="A875" s="44"/>
      <c r="N875" s="54"/>
      <c r="O875" s="54"/>
      <c r="P875" s="54"/>
      <c r="Q875" s="92"/>
      <c r="R875" s="55"/>
      <c r="S875" s="55"/>
      <c r="T875" s="55"/>
      <c r="U875" s="55"/>
      <c r="W875" s="273"/>
      <c r="X875" s="273"/>
    </row>
    <row r="876" spans="1:24" ht="12.75">
      <c r="A876" s="44"/>
      <c r="N876" s="54"/>
      <c r="O876" s="54"/>
      <c r="P876" s="54"/>
      <c r="Q876" s="92"/>
      <c r="R876" s="55"/>
      <c r="S876" s="55"/>
      <c r="T876" s="55"/>
      <c r="U876" s="55"/>
      <c r="W876" s="273"/>
      <c r="X876" s="273"/>
    </row>
    <row r="877" spans="1:24" ht="12.75">
      <c r="A877" s="44"/>
      <c r="N877" s="54"/>
      <c r="O877" s="54"/>
      <c r="P877" s="54"/>
      <c r="Q877" s="92"/>
      <c r="R877" s="55"/>
      <c r="S877" s="55"/>
      <c r="T877" s="55"/>
      <c r="U877" s="55"/>
      <c r="W877" s="273"/>
      <c r="X877" s="273"/>
    </row>
    <row r="878" spans="1:24" ht="12.75">
      <c r="A878" s="44"/>
      <c r="N878" s="54"/>
      <c r="O878" s="54"/>
      <c r="P878" s="54"/>
      <c r="Q878" s="92"/>
      <c r="R878" s="55"/>
      <c r="S878" s="55"/>
      <c r="T878" s="55"/>
      <c r="U878" s="55"/>
      <c r="W878" s="273"/>
      <c r="X878" s="273"/>
    </row>
    <row r="879" spans="1:24" ht="12.75">
      <c r="A879" s="44"/>
      <c r="N879" s="54"/>
      <c r="O879" s="54"/>
      <c r="P879" s="54"/>
      <c r="Q879" s="92"/>
      <c r="R879" s="55"/>
      <c r="S879" s="55"/>
      <c r="T879" s="55"/>
      <c r="U879" s="55"/>
      <c r="W879" s="273"/>
      <c r="X879" s="273"/>
    </row>
    <row r="880" spans="1:24" ht="12.75">
      <c r="A880" s="44"/>
      <c r="N880" s="54"/>
      <c r="O880" s="54"/>
      <c r="P880" s="54"/>
      <c r="Q880" s="92"/>
      <c r="R880" s="55"/>
      <c r="S880" s="55"/>
      <c r="T880" s="55"/>
      <c r="U880" s="55"/>
      <c r="W880" s="273"/>
      <c r="X880" s="273"/>
    </row>
    <row r="881" spans="1:24" ht="12.75">
      <c r="A881" s="44"/>
      <c r="N881" s="54"/>
      <c r="O881" s="54"/>
      <c r="P881" s="54"/>
      <c r="Q881" s="92"/>
      <c r="R881" s="55"/>
      <c r="S881" s="55"/>
      <c r="T881" s="55"/>
      <c r="U881" s="55"/>
      <c r="W881" s="273"/>
      <c r="X881" s="273"/>
    </row>
    <row r="882" spans="1:24" ht="12.75">
      <c r="A882" s="44"/>
      <c r="N882" s="54"/>
      <c r="O882" s="54"/>
      <c r="P882" s="54"/>
      <c r="Q882" s="92"/>
      <c r="R882" s="55"/>
      <c r="S882" s="55"/>
      <c r="T882" s="55"/>
      <c r="U882" s="55"/>
      <c r="W882" s="273"/>
      <c r="X882" s="273"/>
    </row>
    <row r="883" spans="1:24" ht="12.75">
      <c r="A883" s="44"/>
      <c r="N883" s="54"/>
      <c r="O883" s="54"/>
      <c r="P883" s="54"/>
      <c r="Q883" s="92"/>
      <c r="R883" s="55"/>
      <c r="S883" s="55"/>
      <c r="T883" s="55"/>
      <c r="U883" s="55"/>
      <c r="W883" s="273"/>
      <c r="X883" s="273"/>
    </row>
    <row r="884" spans="1:24" ht="12.75">
      <c r="A884" s="44"/>
      <c r="N884" s="54"/>
      <c r="O884" s="54"/>
      <c r="P884" s="54"/>
      <c r="Q884" s="92"/>
      <c r="R884" s="55"/>
      <c r="S884" s="55"/>
      <c r="T884" s="55"/>
      <c r="U884" s="55"/>
      <c r="W884" s="273"/>
      <c r="X884" s="273"/>
    </row>
    <row r="885" spans="1:24" ht="12.75">
      <c r="A885" s="44"/>
      <c r="N885" s="54"/>
      <c r="O885" s="54"/>
      <c r="P885" s="54"/>
      <c r="Q885" s="92"/>
      <c r="R885" s="55"/>
      <c r="S885" s="55"/>
      <c r="T885" s="55"/>
      <c r="U885" s="55"/>
      <c r="W885" s="273"/>
      <c r="X885" s="273"/>
    </row>
    <row r="886" spans="1:24" ht="12.75">
      <c r="A886" s="44"/>
      <c r="N886" s="54"/>
      <c r="O886" s="54"/>
      <c r="P886" s="54"/>
      <c r="Q886" s="92"/>
      <c r="R886" s="55"/>
      <c r="S886" s="55"/>
      <c r="T886" s="55"/>
      <c r="U886" s="55"/>
      <c r="W886" s="273"/>
      <c r="X886" s="273"/>
    </row>
    <row r="887" spans="1:24" ht="12.75">
      <c r="A887" s="44"/>
      <c r="N887" s="54"/>
      <c r="O887" s="54"/>
      <c r="P887" s="54"/>
      <c r="Q887" s="92"/>
      <c r="R887" s="55"/>
      <c r="S887" s="55"/>
      <c r="T887" s="55"/>
      <c r="U887" s="55"/>
      <c r="W887" s="273"/>
      <c r="X887" s="273"/>
    </row>
    <row r="888" spans="1:24" ht="12.75">
      <c r="A888" s="44"/>
      <c r="N888" s="54"/>
      <c r="O888" s="54"/>
      <c r="P888" s="54"/>
      <c r="Q888" s="92"/>
      <c r="R888" s="55"/>
      <c r="S888" s="55"/>
      <c r="T888" s="55"/>
      <c r="U888" s="55"/>
      <c r="W888" s="273"/>
      <c r="X888" s="273"/>
    </row>
    <row r="889" spans="1:24" ht="12.75">
      <c r="A889" s="44"/>
      <c r="N889" s="54"/>
      <c r="O889" s="54"/>
      <c r="P889" s="54"/>
      <c r="Q889" s="92"/>
      <c r="R889" s="55"/>
      <c r="S889" s="55"/>
      <c r="T889" s="55"/>
      <c r="U889" s="55"/>
      <c r="W889" s="273"/>
      <c r="X889" s="273"/>
    </row>
    <row r="890" spans="1:24" ht="12.75">
      <c r="A890" s="44"/>
      <c r="N890" s="54"/>
      <c r="O890" s="54"/>
      <c r="P890" s="54"/>
      <c r="Q890" s="92"/>
      <c r="R890" s="55"/>
      <c r="S890" s="55"/>
      <c r="T890" s="55"/>
      <c r="U890" s="55"/>
      <c r="W890" s="273"/>
      <c r="X890" s="273"/>
    </row>
    <row r="891" spans="1:24" ht="12.75">
      <c r="A891" s="44"/>
      <c r="N891" s="54"/>
      <c r="O891" s="54"/>
      <c r="P891" s="54"/>
      <c r="Q891" s="92"/>
      <c r="R891" s="55"/>
      <c r="S891" s="55"/>
      <c r="T891" s="55"/>
      <c r="U891" s="55"/>
      <c r="W891" s="273"/>
      <c r="X891" s="273"/>
    </row>
    <row r="892" spans="1:24" ht="12.75">
      <c r="A892" s="44"/>
      <c r="N892" s="54"/>
      <c r="O892" s="54"/>
      <c r="P892" s="54"/>
      <c r="Q892" s="92"/>
      <c r="R892" s="55"/>
      <c r="S892" s="55"/>
      <c r="T892" s="55"/>
      <c r="U892" s="55"/>
      <c r="W892" s="273"/>
      <c r="X892" s="273"/>
    </row>
    <row r="893" spans="1:24" ht="12.75">
      <c r="A893" s="44"/>
      <c r="N893" s="54"/>
      <c r="O893" s="54"/>
      <c r="P893" s="54"/>
      <c r="Q893" s="92"/>
      <c r="R893" s="55"/>
      <c r="S893" s="55"/>
      <c r="T893" s="55"/>
      <c r="U893" s="55"/>
      <c r="W893" s="273"/>
      <c r="X893" s="273"/>
    </row>
    <row r="894" spans="1:24" ht="12.75">
      <c r="A894" s="44"/>
      <c r="N894" s="54"/>
      <c r="O894" s="54"/>
      <c r="P894" s="54"/>
      <c r="Q894" s="92"/>
      <c r="R894" s="55"/>
      <c r="S894" s="55"/>
      <c r="T894" s="55"/>
      <c r="U894" s="55"/>
      <c r="W894" s="273"/>
      <c r="X894" s="273"/>
    </row>
    <row r="895" spans="1:24" ht="12.75">
      <c r="A895" s="44"/>
      <c r="N895" s="54"/>
      <c r="O895" s="54"/>
      <c r="P895" s="54"/>
      <c r="Q895" s="92"/>
      <c r="R895" s="55"/>
      <c r="S895" s="55"/>
      <c r="T895" s="55"/>
      <c r="U895" s="55"/>
      <c r="W895" s="273"/>
      <c r="X895" s="273"/>
    </row>
    <row r="896" spans="1:24" ht="12.75">
      <c r="A896" s="44"/>
      <c r="N896" s="54"/>
      <c r="O896" s="54"/>
      <c r="P896" s="54"/>
      <c r="Q896" s="92"/>
      <c r="R896" s="55"/>
      <c r="S896" s="55"/>
      <c r="T896" s="55"/>
      <c r="U896" s="55"/>
      <c r="W896" s="273"/>
      <c r="X896" s="273"/>
    </row>
    <row r="897" spans="1:24" ht="12.75">
      <c r="A897" s="44"/>
      <c r="N897" s="54"/>
      <c r="O897" s="54"/>
      <c r="P897" s="54"/>
      <c r="Q897" s="92"/>
      <c r="R897" s="55"/>
      <c r="S897" s="55"/>
      <c r="T897" s="55"/>
      <c r="U897" s="55"/>
      <c r="W897" s="273"/>
      <c r="X897" s="273"/>
    </row>
    <row r="898" spans="1:24" ht="12.75">
      <c r="A898" s="44"/>
      <c r="N898" s="54"/>
      <c r="O898" s="54"/>
      <c r="P898" s="54"/>
      <c r="Q898" s="92"/>
      <c r="R898" s="55"/>
      <c r="S898" s="55"/>
      <c r="T898" s="55"/>
      <c r="U898" s="55"/>
      <c r="W898" s="273"/>
      <c r="X898" s="273"/>
    </row>
    <row r="899" spans="1:24" ht="12.75">
      <c r="A899" s="44"/>
      <c r="N899" s="54"/>
      <c r="O899" s="54"/>
      <c r="P899" s="54"/>
      <c r="Q899" s="92"/>
      <c r="R899" s="55"/>
      <c r="S899" s="55"/>
      <c r="T899" s="55"/>
      <c r="U899" s="55"/>
      <c r="W899" s="273"/>
      <c r="X899" s="273"/>
    </row>
    <row r="900" spans="1:24" ht="12.75">
      <c r="A900" s="44"/>
      <c r="N900" s="54"/>
      <c r="O900" s="54"/>
      <c r="P900" s="54"/>
      <c r="Q900" s="92"/>
      <c r="R900" s="55"/>
      <c r="S900" s="55"/>
      <c r="T900" s="55"/>
      <c r="U900" s="55"/>
      <c r="W900" s="273"/>
      <c r="X900" s="273"/>
    </row>
    <row r="901" spans="1:24" ht="12.75">
      <c r="A901" s="44"/>
      <c r="N901" s="54"/>
      <c r="O901" s="54"/>
      <c r="P901" s="54"/>
      <c r="Q901" s="92"/>
      <c r="R901" s="55"/>
      <c r="S901" s="55"/>
      <c r="T901" s="55"/>
      <c r="U901" s="55"/>
      <c r="W901" s="273"/>
      <c r="X901" s="273"/>
    </row>
    <row r="902" spans="1:24" ht="12.75">
      <c r="A902" s="44"/>
      <c r="N902" s="54"/>
      <c r="O902" s="54"/>
      <c r="P902" s="54"/>
      <c r="Q902" s="92"/>
      <c r="R902" s="55"/>
      <c r="S902" s="55"/>
      <c r="T902" s="55"/>
      <c r="U902" s="55"/>
      <c r="W902" s="273"/>
      <c r="X902" s="273"/>
    </row>
    <row r="903" spans="1:24" ht="12.75">
      <c r="A903" s="44"/>
      <c r="N903" s="54"/>
      <c r="O903" s="54"/>
      <c r="P903" s="54"/>
      <c r="Q903" s="92"/>
      <c r="R903" s="55"/>
      <c r="S903" s="55"/>
      <c r="T903" s="55"/>
      <c r="U903" s="55"/>
      <c r="W903" s="273"/>
      <c r="X903" s="273"/>
    </row>
    <row r="904" spans="1:24" ht="12.75">
      <c r="A904" s="44"/>
      <c r="N904" s="54"/>
      <c r="O904" s="54"/>
      <c r="P904" s="54"/>
      <c r="Q904" s="92"/>
      <c r="R904" s="55"/>
      <c r="S904" s="55"/>
      <c r="T904" s="55"/>
      <c r="U904" s="55"/>
      <c r="W904" s="273"/>
      <c r="X904" s="273"/>
    </row>
    <row r="905" spans="1:24" ht="12.75">
      <c r="A905" s="44"/>
      <c r="N905" s="54"/>
      <c r="O905" s="54"/>
      <c r="P905" s="54"/>
      <c r="Q905" s="92"/>
      <c r="R905" s="55"/>
      <c r="S905" s="55"/>
      <c r="T905" s="55"/>
      <c r="U905" s="55"/>
      <c r="W905" s="273"/>
      <c r="X905" s="273"/>
    </row>
    <row r="906" spans="1:24" ht="12.75">
      <c r="A906" s="44"/>
      <c r="N906" s="54"/>
      <c r="O906" s="54"/>
      <c r="P906" s="54"/>
      <c r="Q906" s="92"/>
      <c r="R906" s="55"/>
      <c r="S906" s="55"/>
      <c r="T906" s="55"/>
      <c r="U906" s="55"/>
      <c r="W906" s="273"/>
      <c r="X906" s="273"/>
    </row>
    <row r="907" spans="1:24" ht="12.75">
      <c r="A907" s="44"/>
      <c r="N907" s="54"/>
      <c r="O907" s="54"/>
      <c r="P907" s="54"/>
      <c r="Q907" s="92"/>
      <c r="R907" s="55"/>
      <c r="S907" s="55"/>
      <c r="T907" s="55"/>
      <c r="U907" s="55"/>
      <c r="W907" s="273"/>
      <c r="X907" s="273"/>
    </row>
    <row r="908" spans="1:24" ht="12.75">
      <c r="A908" s="44"/>
      <c r="N908" s="54"/>
      <c r="O908" s="54"/>
      <c r="P908" s="54"/>
      <c r="Q908" s="92"/>
      <c r="R908" s="55"/>
      <c r="S908" s="55"/>
      <c r="T908" s="55"/>
      <c r="U908" s="55"/>
      <c r="W908" s="273"/>
      <c r="X908" s="273"/>
    </row>
    <row r="909" spans="1:24" ht="12.75">
      <c r="A909" s="44"/>
      <c r="N909" s="54"/>
      <c r="O909" s="54"/>
      <c r="P909" s="54"/>
      <c r="Q909" s="92"/>
      <c r="R909" s="55"/>
      <c r="S909" s="55"/>
      <c r="T909" s="55"/>
      <c r="U909" s="55"/>
      <c r="W909" s="273"/>
      <c r="X909" s="273"/>
    </row>
    <row r="910" spans="1:24" ht="12.75">
      <c r="A910" s="44"/>
      <c r="N910" s="54"/>
      <c r="O910" s="54"/>
      <c r="P910" s="54"/>
      <c r="Q910" s="92"/>
      <c r="R910" s="55"/>
      <c r="S910" s="55"/>
      <c r="T910" s="55"/>
      <c r="U910" s="55"/>
      <c r="W910" s="273"/>
      <c r="X910" s="273"/>
    </row>
    <row r="911" spans="1:24" ht="12.75">
      <c r="A911" s="44"/>
      <c r="N911" s="54"/>
      <c r="O911" s="54"/>
      <c r="P911" s="54"/>
      <c r="Q911" s="92"/>
      <c r="R911" s="55"/>
      <c r="S911" s="55"/>
      <c r="T911" s="55"/>
      <c r="U911" s="55"/>
      <c r="W911" s="273"/>
      <c r="X911" s="273"/>
    </row>
    <row r="912" spans="1:24" ht="12.75">
      <c r="A912" s="44"/>
      <c r="N912" s="54"/>
      <c r="O912" s="54"/>
      <c r="P912" s="54"/>
      <c r="Q912" s="92"/>
      <c r="R912" s="55"/>
      <c r="S912" s="55"/>
      <c r="T912" s="55"/>
      <c r="U912" s="55"/>
      <c r="W912" s="273"/>
      <c r="X912" s="273"/>
    </row>
    <row r="913" spans="1:24" ht="12.75">
      <c r="A913" s="44"/>
      <c r="N913" s="54"/>
      <c r="O913" s="54"/>
      <c r="P913" s="54"/>
      <c r="Q913" s="92"/>
      <c r="R913" s="55"/>
      <c r="S913" s="55"/>
      <c r="T913" s="55"/>
      <c r="U913" s="55"/>
      <c r="W913" s="273"/>
      <c r="X913" s="273"/>
    </row>
    <row r="914" spans="1:24" ht="12.75">
      <c r="A914" s="44"/>
      <c r="N914" s="54"/>
      <c r="O914" s="54"/>
      <c r="P914" s="54"/>
      <c r="Q914" s="92"/>
      <c r="R914" s="55"/>
      <c r="S914" s="55"/>
      <c r="T914" s="55"/>
      <c r="U914" s="55"/>
      <c r="W914" s="273"/>
      <c r="X914" s="273"/>
    </row>
    <row r="915" spans="1:24" ht="12.75">
      <c r="A915" s="44"/>
      <c r="N915" s="54"/>
      <c r="O915" s="54"/>
      <c r="P915" s="54"/>
      <c r="Q915" s="92"/>
      <c r="R915" s="55"/>
      <c r="S915" s="55"/>
      <c r="T915" s="55"/>
      <c r="U915" s="55"/>
      <c r="W915" s="273"/>
      <c r="X915" s="273"/>
    </row>
    <row r="916" spans="1:24" ht="12.75">
      <c r="A916" s="44"/>
      <c r="N916" s="54"/>
      <c r="O916" s="54"/>
      <c r="P916" s="54"/>
      <c r="Q916" s="92"/>
      <c r="R916" s="55"/>
      <c r="S916" s="55"/>
      <c r="T916" s="55"/>
      <c r="U916" s="55"/>
      <c r="W916" s="273"/>
      <c r="X916" s="273"/>
    </row>
    <row r="917" spans="1:24" ht="12.75">
      <c r="A917" s="44"/>
      <c r="N917" s="54"/>
      <c r="O917" s="54"/>
      <c r="P917" s="54"/>
      <c r="Q917" s="92"/>
      <c r="R917" s="55"/>
      <c r="S917" s="55"/>
      <c r="T917" s="55"/>
      <c r="U917" s="55"/>
      <c r="W917" s="273"/>
      <c r="X917" s="273"/>
    </row>
    <row r="918" spans="1:24" ht="12.75">
      <c r="A918" s="44"/>
      <c r="N918" s="54"/>
      <c r="O918" s="54"/>
      <c r="P918" s="54"/>
      <c r="Q918" s="92"/>
      <c r="R918" s="55"/>
      <c r="S918" s="55"/>
      <c r="T918" s="55"/>
      <c r="U918" s="55"/>
      <c r="W918" s="273"/>
      <c r="X918" s="273"/>
    </row>
    <row r="919" spans="1:24" ht="12.75">
      <c r="A919" s="44"/>
      <c r="N919" s="54"/>
      <c r="O919" s="54"/>
      <c r="P919" s="54"/>
      <c r="Q919" s="92"/>
      <c r="R919" s="55"/>
      <c r="S919" s="55"/>
      <c r="T919" s="55"/>
      <c r="U919" s="55"/>
      <c r="W919" s="273"/>
      <c r="X919" s="273"/>
    </row>
    <row r="920" spans="1:24" ht="12.75">
      <c r="A920" s="44"/>
      <c r="N920" s="54"/>
      <c r="O920" s="54"/>
      <c r="P920" s="54"/>
      <c r="Q920" s="92"/>
      <c r="R920" s="55"/>
      <c r="S920" s="55"/>
      <c r="T920" s="55"/>
      <c r="U920" s="55"/>
      <c r="W920" s="273"/>
      <c r="X920" s="273"/>
    </row>
    <row r="921" spans="1:24" ht="12.75">
      <c r="A921" s="44"/>
      <c r="N921" s="54"/>
      <c r="O921" s="54"/>
      <c r="P921" s="54"/>
      <c r="Q921" s="92"/>
      <c r="R921" s="55"/>
      <c r="S921" s="55"/>
      <c r="T921" s="55"/>
      <c r="U921" s="55"/>
      <c r="W921" s="273"/>
      <c r="X921" s="273"/>
    </row>
    <row r="922" spans="1:24" ht="12.75">
      <c r="A922" s="44"/>
      <c r="N922" s="54"/>
      <c r="O922" s="54"/>
      <c r="P922" s="54"/>
      <c r="Q922" s="92"/>
      <c r="R922" s="55"/>
      <c r="S922" s="55"/>
      <c r="T922" s="55"/>
      <c r="U922" s="55"/>
      <c r="W922" s="273"/>
      <c r="X922" s="273"/>
    </row>
    <row r="923" spans="1:24" ht="12.75">
      <c r="A923" s="44"/>
      <c r="N923" s="54"/>
      <c r="O923" s="54"/>
      <c r="P923" s="54"/>
      <c r="Q923" s="92"/>
      <c r="R923" s="55"/>
      <c r="S923" s="55"/>
      <c r="T923" s="55"/>
      <c r="U923" s="55"/>
      <c r="W923" s="273"/>
      <c r="X923" s="273"/>
    </row>
    <row r="924" spans="1:24" ht="12.75">
      <c r="A924" s="44"/>
      <c r="N924" s="54"/>
      <c r="O924" s="54"/>
      <c r="P924" s="54"/>
      <c r="Q924" s="92"/>
      <c r="R924" s="55"/>
      <c r="S924" s="55"/>
      <c r="T924" s="55"/>
      <c r="U924" s="55"/>
      <c r="W924" s="273"/>
      <c r="X924" s="273"/>
    </row>
    <row r="925" spans="1:24" ht="12.75">
      <c r="A925" s="44"/>
      <c r="N925" s="54"/>
      <c r="O925" s="54"/>
      <c r="P925" s="54"/>
      <c r="Q925" s="92"/>
      <c r="R925" s="55"/>
      <c r="S925" s="55"/>
      <c r="T925" s="55"/>
      <c r="U925" s="55"/>
      <c r="W925" s="273"/>
      <c r="X925" s="273"/>
    </row>
    <row r="926" spans="1:24" ht="12.75">
      <c r="A926" s="44"/>
      <c r="N926" s="54"/>
      <c r="O926" s="54"/>
      <c r="P926" s="54"/>
      <c r="Q926" s="92"/>
      <c r="R926" s="55"/>
      <c r="S926" s="55"/>
      <c r="T926" s="55"/>
      <c r="U926" s="55"/>
      <c r="W926" s="273"/>
      <c r="X926" s="273"/>
    </row>
    <row r="927" spans="1:24" ht="12.75">
      <c r="A927" s="44"/>
      <c r="N927" s="54"/>
      <c r="O927" s="54"/>
      <c r="P927" s="54"/>
      <c r="Q927" s="92"/>
      <c r="R927" s="55"/>
      <c r="S927" s="55"/>
      <c r="T927" s="55"/>
      <c r="U927" s="55"/>
      <c r="W927" s="273"/>
      <c r="X927" s="273"/>
    </row>
    <row r="928" spans="1:24" ht="12.75">
      <c r="A928" s="44"/>
      <c r="N928" s="54"/>
      <c r="O928" s="54"/>
      <c r="P928" s="54"/>
      <c r="Q928" s="92"/>
      <c r="R928" s="55"/>
      <c r="S928" s="55"/>
      <c r="T928" s="55"/>
      <c r="U928" s="55"/>
      <c r="W928" s="273"/>
      <c r="X928" s="273"/>
    </row>
    <row r="929" spans="1:24" ht="12.75">
      <c r="A929" s="44"/>
      <c r="N929" s="54"/>
      <c r="O929" s="54"/>
      <c r="P929" s="54"/>
      <c r="Q929" s="92"/>
      <c r="R929" s="55"/>
      <c r="S929" s="55"/>
      <c r="T929" s="55"/>
      <c r="U929" s="55"/>
      <c r="W929" s="273"/>
      <c r="X929" s="273"/>
    </row>
    <row r="930" spans="1:24" ht="12.75">
      <c r="A930" s="44"/>
      <c r="N930" s="54"/>
      <c r="O930" s="54"/>
      <c r="P930" s="54"/>
      <c r="Q930" s="92"/>
      <c r="R930" s="55"/>
      <c r="S930" s="55"/>
      <c r="T930" s="55"/>
      <c r="U930" s="55"/>
      <c r="W930" s="273"/>
      <c r="X930" s="273"/>
    </row>
    <row r="931" spans="1:24" ht="12.75">
      <c r="A931" s="44"/>
      <c r="N931" s="54"/>
      <c r="O931" s="54"/>
      <c r="P931" s="54"/>
      <c r="Q931" s="92"/>
      <c r="R931" s="55"/>
      <c r="S931" s="55"/>
      <c r="T931" s="55"/>
      <c r="U931" s="55"/>
      <c r="W931" s="273"/>
      <c r="X931" s="273"/>
    </row>
    <row r="932" spans="1:24" ht="12.75">
      <c r="A932" s="44"/>
      <c r="N932" s="54"/>
      <c r="O932" s="54"/>
      <c r="P932" s="54"/>
      <c r="Q932" s="92"/>
      <c r="R932" s="55"/>
      <c r="S932" s="55"/>
      <c r="T932" s="55"/>
      <c r="U932" s="55"/>
      <c r="W932" s="273"/>
      <c r="X932" s="273"/>
    </row>
    <row r="933" spans="1:24" ht="12.75">
      <c r="A933" s="44"/>
      <c r="N933" s="54"/>
      <c r="O933" s="54"/>
      <c r="P933" s="54"/>
      <c r="Q933" s="92"/>
      <c r="R933" s="55"/>
      <c r="S933" s="55"/>
      <c r="T933" s="55"/>
      <c r="U933" s="55"/>
      <c r="W933" s="273"/>
      <c r="X933" s="273"/>
    </row>
    <row r="934" spans="1:24" ht="12.75">
      <c r="A934" s="44"/>
      <c r="N934" s="54"/>
      <c r="O934" s="54"/>
      <c r="P934" s="54"/>
      <c r="Q934" s="92"/>
      <c r="R934" s="55"/>
      <c r="S934" s="55"/>
      <c r="T934" s="55"/>
      <c r="U934" s="55"/>
      <c r="W934" s="273"/>
      <c r="X934" s="273"/>
    </row>
    <row r="935" spans="1:24" ht="12.75">
      <c r="A935" s="44"/>
      <c r="N935" s="54"/>
      <c r="O935" s="54"/>
      <c r="P935" s="54"/>
      <c r="Q935" s="92"/>
      <c r="R935" s="55"/>
      <c r="S935" s="55"/>
      <c r="T935" s="55"/>
      <c r="U935" s="55"/>
      <c r="W935" s="273"/>
      <c r="X935" s="273"/>
    </row>
    <row r="936" spans="1:24" ht="12.75">
      <c r="A936" s="44"/>
      <c r="N936" s="54"/>
      <c r="O936" s="54"/>
      <c r="P936" s="54"/>
      <c r="Q936" s="92"/>
      <c r="R936" s="55"/>
      <c r="S936" s="55"/>
      <c r="T936" s="55"/>
      <c r="U936" s="55"/>
      <c r="W936" s="273"/>
      <c r="X936" s="273"/>
    </row>
    <row r="937" spans="1:24" ht="12.75">
      <c r="A937" s="44"/>
      <c r="N937" s="54"/>
      <c r="O937" s="54"/>
      <c r="P937" s="54"/>
      <c r="Q937" s="92"/>
      <c r="R937" s="55"/>
      <c r="S937" s="55"/>
      <c r="T937" s="55"/>
      <c r="U937" s="55"/>
      <c r="W937" s="273"/>
      <c r="X937" s="273"/>
    </row>
    <row r="938" spans="1:24" ht="12.75">
      <c r="A938" s="44"/>
      <c r="N938" s="54"/>
      <c r="O938" s="54"/>
      <c r="P938" s="54"/>
      <c r="Q938" s="92"/>
      <c r="R938" s="55"/>
      <c r="S938" s="55"/>
      <c r="T938" s="55"/>
      <c r="U938" s="55"/>
      <c r="W938" s="273"/>
      <c r="X938" s="273"/>
    </row>
    <row r="939" spans="1:24" ht="12.75">
      <c r="A939" s="44"/>
      <c r="N939" s="54"/>
      <c r="O939" s="54"/>
      <c r="P939" s="54"/>
      <c r="Q939" s="92"/>
      <c r="R939" s="55"/>
      <c r="S939" s="55"/>
      <c r="T939" s="55"/>
      <c r="U939" s="55"/>
      <c r="W939" s="273"/>
      <c r="X939" s="273"/>
    </row>
    <row r="940" spans="1:24" ht="12.75">
      <c r="A940" s="44"/>
      <c r="N940" s="54"/>
      <c r="O940" s="54"/>
      <c r="P940" s="54"/>
      <c r="Q940" s="92"/>
      <c r="R940" s="55"/>
      <c r="S940" s="55"/>
      <c r="T940" s="55"/>
      <c r="U940" s="55"/>
      <c r="W940" s="273"/>
      <c r="X940" s="273"/>
    </row>
    <row r="941" spans="1:24" ht="12.75">
      <c r="A941" s="44"/>
      <c r="N941" s="54"/>
      <c r="O941" s="54"/>
      <c r="P941" s="54"/>
      <c r="Q941" s="92"/>
      <c r="R941" s="55"/>
      <c r="S941" s="55"/>
      <c r="T941" s="55"/>
      <c r="U941" s="55"/>
      <c r="W941" s="273"/>
      <c r="X941" s="273"/>
    </row>
    <row r="942" spans="1:24" ht="12.75">
      <c r="A942" s="44"/>
      <c r="N942" s="54"/>
      <c r="O942" s="54"/>
      <c r="P942" s="54"/>
      <c r="Q942" s="92"/>
      <c r="R942" s="55"/>
      <c r="S942" s="55"/>
      <c r="T942" s="55"/>
      <c r="U942" s="55"/>
      <c r="W942" s="273"/>
      <c r="X942" s="273"/>
    </row>
    <row r="943" spans="1:24" ht="12.75">
      <c r="A943" s="44"/>
      <c r="N943" s="54"/>
      <c r="O943" s="54"/>
      <c r="P943" s="54"/>
      <c r="Q943" s="92"/>
      <c r="R943" s="55"/>
      <c r="S943" s="55"/>
      <c r="T943" s="55"/>
      <c r="U943" s="55"/>
      <c r="W943" s="273"/>
      <c r="X943" s="273"/>
    </row>
    <row r="944" spans="1:24" ht="12.75">
      <c r="A944" s="44"/>
      <c r="N944" s="54"/>
      <c r="O944" s="54"/>
      <c r="P944" s="54"/>
      <c r="Q944" s="92"/>
      <c r="R944" s="55"/>
      <c r="S944" s="55"/>
      <c r="T944" s="55"/>
      <c r="U944" s="55"/>
      <c r="W944" s="273"/>
      <c r="X944" s="273"/>
    </row>
    <row r="945" spans="1:24" ht="12.75">
      <c r="A945" s="44"/>
      <c r="N945" s="54"/>
      <c r="O945" s="54"/>
      <c r="P945" s="54"/>
      <c r="Q945" s="92"/>
      <c r="R945" s="55"/>
      <c r="S945" s="55"/>
      <c r="T945" s="55"/>
      <c r="U945" s="55"/>
      <c r="W945" s="273"/>
      <c r="X945" s="273"/>
    </row>
    <row r="946" spans="1:24" ht="12.75">
      <c r="A946" s="44"/>
      <c r="N946" s="54"/>
      <c r="O946" s="54"/>
      <c r="P946" s="54"/>
      <c r="Q946" s="92"/>
      <c r="R946" s="55"/>
      <c r="S946" s="55"/>
      <c r="T946" s="55"/>
      <c r="U946" s="55"/>
      <c r="W946" s="273"/>
      <c r="X946" s="273"/>
    </row>
    <row r="947" spans="1:24" ht="12.75">
      <c r="A947" s="44"/>
      <c r="N947" s="54"/>
      <c r="O947" s="54"/>
      <c r="P947" s="54"/>
      <c r="Q947" s="92"/>
      <c r="R947" s="55"/>
      <c r="S947" s="55"/>
      <c r="T947" s="55"/>
      <c r="U947" s="55"/>
      <c r="W947" s="273"/>
      <c r="X947" s="273"/>
    </row>
    <row r="948" spans="1:24" ht="12.75">
      <c r="A948" s="44"/>
      <c r="N948" s="54"/>
      <c r="O948" s="54"/>
      <c r="P948" s="54"/>
      <c r="Q948" s="92"/>
      <c r="R948" s="55"/>
      <c r="S948" s="55"/>
      <c r="T948" s="55"/>
      <c r="U948" s="55"/>
      <c r="W948" s="273"/>
      <c r="X948" s="273"/>
    </row>
    <row r="949" spans="1:24" ht="12.75">
      <c r="A949" s="44"/>
      <c r="N949" s="54"/>
      <c r="O949" s="54"/>
      <c r="P949" s="54"/>
      <c r="Q949" s="92"/>
      <c r="R949" s="55"/>
      <c r="S949" s="55"/>
      <c r="T949" s="55"/>
      <c r="U949" s="55"/>
      <c r="W949" s="273"/>
      <c r="X949" s="273"/>
    </row>
    <row r="950" spans="1:24" ht="12.75">
      <c r="A950" s="44"/>
      <c r="N950" s="54"/>
      <c r="O950" s="54"/>
      <c r="P950" s="54"/>
      <c r="Q950" s="92"/>
      <c r="R950" s="55"/>
      <c r="S950" s="55"/>
      <c r="T950" s="55"/>
      <c r="U950" s="55"/>
      <c r="W950" s="273"/>
      <c r="X950" s="273"/>
    </row>
    <row r="951" spans="1:24" ht="12.75">
      <c r="A951" s="44"/>
      <c r="N951" s="54"/>
      <c r="O951" s="54"/>
      <c r="P951" s="54"/>
      <c r="Q951" s="92"/>
      <c r="R951" s="55"/>
      <c r="S951" s="55"/>
      <c r="T951" s="55"/>
      <c r="U951" s="55"/>
      <c r="W951" s="273"/>
      <c r="X951" s="273"/>
    </row>
    <row r="952" spans="1:24" ht="12.75">
      <c r="A952" s="44"/>
      <c r="N952" s="54"/>
      <c r="O952" s="54"/>
      <c r="P952" s="54"/>
      <c r="Q952" s="92"/>
      <c r="R952" s="55"/>
      <c r="S952" s="55"/>
      <c r="T952" s="55"/>
      <c r="U952" s="55"/>
      <c r="W952" s="273"/>
      <c r="X952" s="273"/>
    </row>
    <row r="953" spans="1:24" ht="12.75">
      <c r="A953" s="44"/>
      <c r="N953" s="54"/>
      <c r="O953" s="54"/>
      <c r="P953" s="54"/>
      <c r="Q953" s="92"/>
      <c r="R953" s="55"/>
      <c r="S953" s="55"/>
      <c r="T953" s="55"/>
      <c r="U953" s="55"/>
      <c r="W953" s="273"/>
      <c r="X953" s="273"/>
    </row>
    <row r="954" spans="1:24" ht="12.75">
      <c r="A954" s="44"/>
      <c r="N954" s="54"/>
      <c r="O954" s="54"/>
      <c r="P954" s="54"/>
      <c r="Q954" s="92"/>
      <c r="R954" s="55"/>
      <c r="S954" s="55"/>
      <c r="T954" s="55"/>
      <c r="U954" s="55"/>
      <c r="W954" s="273"/>
      <c r="X954" s="273"/>
    </row>
    <row r="955" spans="1:24" ht="12.75">
      <c r="A955" s="44"/>
      <c r="N955" s="54"/>
      <c r="O955" s="54"/>
      <c r="P955" s="54"/>
      <c r="Q955" s="92"/>
      <c r="R955" s="55"/>
      <c r="S955" s="55"/>
      <c r="T955" s="55"/>
      <c r="U955" s="55"/>
      <c r="W955" s="273"/>
      <c r="X955" s="273"/>
    </row>
    <row r="956" spans="1:24" ht="12.75">
      <c r="A956" s="44"/>
      <c r="N956" s="54"/>
      <c r="O956" s="54"/>
      <c r="P956" s="54"/>
      <c r="Q956" s="92"/>
      <c r="R956" s="55"/>
      <c r="S956" s="55"/>
      <c r="T956" s="55"/>
      <c r="U956" s="55"/>
      <c r="W956" s="273"/>
      <c r="X956" s="273"/>
    </row>
    <row r="957" spans="1:24" ht="12.75">
      <c r="A957" s="44"/>
      <c r="N957" s="54"/>
      <c r="O957" s="54"/>
      <c r="P957" s="54"/>
      <c r="Q957" s="92"/>
      <c r="R957" s="55"/>
      <c r="S957" s="55"/>
      <c r="T957" s="55"/>
      <c r="U957" s="55"/>
      <c r="W957" s="273"/>
      <c r="X957" s="273"/>
    </row>
    <row r="958" spans="1:24" ht="12.75">
      <c r="A958" s="44"/>
      <c r="N958" s="54"/>
      <c r="O958" s="54"/>
      <c r="P958" s="54"/>
      <c r="Q958" s="92"/>
      <c r="R958" s="55"/>
      <c r="S958" s="55"/>
      <c r="T958" s="55"/>
      <c r="U958" s="55"/>
      <c r="W958" s="273"/>
      <c r="X958" s="273"/>
    </row>
    <row r="959" spans="1:24" ht="12.75">
      <c r="A959" s="44"/>
      <c r="N959" s="54"/>
      <c r="O959" s="54"/>
      <c r="P959" s="54"/>
      <c r="Q959" s="92"/>
      <c r="R959" s="55"/>
      <c r="S959" s="55"/>
      <c r="T959" s="55"/>
      <c r="U959" s="55"/>
      <c r="W959" s="273"/>
      <c r="X959" s="273"/>
    </row>
    <row r="960" spans="1:24" ht="12.75">
      <c r="A960" s="44"/>
      <c r="N960" s="54"/>
      <c r="O960" s="54"/>
      <c r="P960" s="54"/>
      <c r="Q960" s="92"/>
      <c r="R960" s="55"/>
      <c r="S960" s="55"/>
      <c r="T960" s="55"/>
      <c r="U960" s="55"/>
      <c r="W960" s="273"/>
      <c r="X960" s="273"/>
    </row>
    <row r="961" spans="1:24" ht="12.75">
      <c r="A961" s="44"/>
      <c r="N961" s="54"/>
      <c r="O961" s="54"/>
      <c r="P961" s="54"/>
      <c r="Q961" s="92"/>
      <c r="R961" s="55"/>
      <c r="S961" s="55"/>
      <c r="T961" s="55"/>
      <c r="U961" s="55"/>
      <c r="W961" s="273"/>
      <c r="X961" s="273"/>
    </row>
    <row r="962" spans="1:24" ht="12.75">
      <c r="A962" s="44"/>
      <c r="N962" s="54"/>
      <c r="O962" s="54"/>
      <c r="P962" s="54"/>
      <c r="Q962" s="92"/>
      <c r="R962" s="55"/>
      <c r="S962" s="55"/>
      <c r="T962" s="55"/>
      <c r="U962" s="55"/>
      <c r="W962" s="273"/>
      <c r="X962" s="273"/>
    </row>
    <row r="963" spans="1:24" ht="12.75">
      <c r="A963" s="44"/>
      <c r="N963" s="54"/>
      <c r="O963" s="54"/>
      <c r="P963" s="54"/>
      <c r="Q963" s="92"/>
      <c r="R963" s="55"/>
      <c r="S963" s="55"/>
      <c r="T963" s="55"/>
      <c r="U963" s="55"/>
      <c r="W963" s="273"/>
      <c r="X963" s="273"/>
    </row>
    <row r="964" spans="1:24" ht="12.75">
      <c r="A964" s="44"/>
      <c r="N964" s="54"/>
      <c r="O964" s="54"/>
      <c r="P964" s="54"/>
      <c r="Q964" s="92"/>
      <c r="R964" s="55"/>
      <c r="S964" s="55"/>
      <c r="T964" s="55"/>
      <c r="U964" s="55"/>
      <c r="W964" s="273"/>
      <c r="X964" s="273"/>
    </row>
    <row r="965" spans="1:24" ht="12.75">
      <c r="A965" s="44"/>
      <c r="N965" s="54"/>
      <c r="O965" s="54"/>
      <c r="P965" s="54"/>
      <c r="Q965" s="92"/>
      <c r="R965" s="55"/>
      <c r="S965" s="55"/>
      <c r="T965" s="55"/>
      <c r="U965" s="55"/>
      <c r="W965" s="273"/>
      <c r="X965" s="273"/>
    </row>
    <row r="966" spans="1:24" ht="12.75">
      <c r="A966" s="44"/>
      <c r="N966" s="54"/>
      <c r="O966" s="54"/>
      <c r="P966" s="54"/>
      <c r="Q966" s="92"/>
      <c r="R966" s="55"/>
      <c r="S966" s="55"/>
      <c r="T966" s="55"/>
      <c r="U966" s="55"/>
      <c r="W966" s="273"/>
      <c r="X966" s="273"/>
    </row>
    <row r="967" spans="1:24" ht="12.75">
      <c r="A967" s="44"/>
      <c r="N967" s="54"/>
      <c r="O967" s="54"/>
      <c r="P967" s="54"/>
      <c r="Q967" s="92"/>
      <c r="R967" s="55"/>
      <c r="S967" s="55"/>
      <c r="T967" s="55"/>
      <c r="U967" s="55"/>
      <c r="W967" s="273"/>
      <c r="X967" s="273"/>
    </row>
    <row r="968" spans="1:24" ht="12.75">
      <c r="A968" s="44"/>
      <c r="N968" s="54"/>
      <c r="O968" s="54"/>
      <c r="P968" s="54"/>
      <c r="Q968" s="92"/>
      <c r="R968" s="55"/>
      <c r="S968" s="55"/>
      <c r="T968" s="55"/>
      <c r="U968" s="55"/>
      <c r="W968" s="273"/>
      <c r="X968" s="273"/>
    </row>
    <row r="969" spans="1:24" ht="12.75">
      <c r="A969" s="44"/>
      <c r="N969" s="54"/>
      <c r="O969" s="54"/>
      <c r="P969" s="54"/>
      <c r="Q969" s="92"/>
      <c r="R969" s="55"/>
      <c r="S969" s="55"/>
      <c r="T969" s="55"/>
      <c r="U969" s="55"/>
      <c r="W969" s="273"/>
      <c r="X969" s="273"/>
    </row>
    <row r="970" spans="1:24" ht="12.75">
      <c r="A970" s="44"/>
      <c r="N970" s="54"/>
      <c r="O970" s="54"/>
      <c r="P970" s="54"/>
      <c r="Q970" s="92"/>
      <c r="R970" s="55"/>
      <c r="S970" s="55"/>
      <c r="T970" s="55"/>
      <c r="U970" s="55"/>
      <c r="W970" s="273"/>
      <c r="X970" s="273"/>
    </row>
    <row r="971" spans="1:24" ht="12.75">
      <c r="A971" s="44"/>
      <c r="N971" s="54"/>
      <c r="O971" s="54"/>
      <c r="P971" s="54"/>
      <c r="Q971" s="92"/>
      <c r="R971" s="55"/>
      <c r="S971" s="55"/>
      <c r="T971" s="55"/>
      <c r="U971" s="55"/>
      <c r="W971" s="273"/>
      <c r="X971" s="273"/>
    </row>
    <row r="972" spans="1:24" ht="12.75">
      <c r="A972" s="44"/>
      <c r="N972" s="54"/>
      <c r="O972" s="54"/>
      <c r="P972" s="54"/>
      <c r="Q972" s="92"/>
      <c r="R972" s="55"/>
      <c r="S972" s="55"/>
      <c r="T972" s="55"/>
      <c r="U972" s="55"/>
      <c r="W972" s="273"/>
      <c r="X972" s="273"/>
    </row>
    <row r="973" spans="1:24" ht="12.75">
      <c r="A973" s="44"/>
      <c r="N973" s="54"/>
      <c r="O973" s="54"/>
      <c r="P973" s="54"/>
      <c r="Q973" s="92"/>
      <c r="R973" s="55"/>
      <c r="S973" s="55"/>
      <c r="T973" s="55"/>
      <c r="U973" s="55"/>
      <c r="W973" s="273"/>
      <c r="X973" s="273"/>
    </row>
    <row r="974" spans="1:24" ht="12.75">
      <c r="A974" s="44"/>
      <c r="N974" s="54"/>
      <c r="O974" s="54"/>
      <c r="P974" s="54"/>
      <c r="Q974" s="92"/>
      <c r="R974" s="55"/>
      <c r="S974" s="55"/>
      <c r="T974" s="55"/>
      <c r="U974" s="55"/>
      <c r="W974" s="273"/>
      <c r="X974" s="273"/>
    </row>
    <row r="975" spans="1:24" ht="12.75">
      <c r="A975" s="44"/>
      <c r="N975" s="54"/>
      <c r="O975" s="54"/>
      <c r="P975" s="54"/>
      <c r="Q975" s="92"/>
      <c r="R975" s="55"/>
      <c r="S975" s="55"/>
      <c r="T975" s="55"/>
      <c r="U975" s="55"/>
      <c r="W975" s="273"/>
      <c r="X975" s="273"/>
    </row>
    <row r="976" spans="1:24" ht="12.75">
      <c r="A976" s="44"/>
      <c r="N976" s="54"/>
      <c r="O976" s="54"/>
      <c r="P976" s="54"/>
      <c r="Q976" s="92"/>
      <c r="R976" s="55"/>
      <c r="S976" s="55"/>
      <c r="T976" s="55"/>
      <c r="U976" s="55"/>
      <c r="W976" s="273"/>
      <c r="X976" s="273"/>
    </row>
    <row r="977" spans="1:24" ht="12.75">
      <c r="A977" s="44"/>
      <c r="N977" s="54"/>
      <c r="O977" s="54"/>
      <c r="P977" s="54"/>
      <c r="Q977" s="92"/>
      <c r="R977" s="55"/>
      <c r="S977" s="55"/>
      <c r="T977" s="55"/>
      <c r="U977" s="55"/>
      <c r="W977" s="273"/>
      <c r="X977" s="273"/>
    </row>
    <row r="978" spans="1:24" ht="12.75">
      <c r="A978" s="44"/>
      <c r="N978" s="54"/>
      <c r="O978" s="54"/>
      <c r="P978" s="54"/>
      <c r="Q978" s="92"/>
      <c r="R978" s="55"/>
      <c r="S978" s="55"/>
      <c r="T978" s="55"/>
      <c r="U978" s="55"/>
      <c r="W978" s="273"/>
      <c r="X978" s="273"/>
    </row>
    <row r="979" spans="1:24" ht="12.75">
      <c r="A979" s="44"/>
      <c r="N979" s="54"/>
      <c r="O979" s="54"/>
      <c r="P979" s="54"/>
      <c r="Q979" s="92"/>
      <c r="R979" s="55"/>
      <c r="S979" s="55"/>
      <c r="T979" s="55"/>
      <c r="U979" s="55"/>
      <c r="W979" s="273"/>
      <c r="X979" s="273"/>
    </row>
    <row r="980" spans="1:24" ht="12.75">
      <c r="A980" s="44"/>
      <c r="N980" s="54"/>
      <c r="O980" s="54"/>
      <c r="P980" s="54"/>
      <c r="Q980" s="92"/>
      <c r="R980" s="55"/>
      <c r="S980" s="55"/>
      <c r="T980" s="55"/>
      <c r="U980" s="55"/>
      <c r="W980" s="273"/>
      <c r="X980" s="273"/>
    </row>
    <row r="981" spans="1:24" ht="12.75">
      <c r="A981" s="44"/>
      <c r="N981" s="54"/>
      <c r="O981" s="54"/>
      <c r="P981" s="54"/>
      <c r="Q981" s="92"/>
      <c r="R981" s="55"/>
      <c r="S981" s="55"/>
      <c r="T981" s="55"/>
      <c r="U981" s="55"/>
      <c r="W981" s="273"/>
      <c r="X981" s="273"/>
    </row>
    <row r="982" spans="1:24" ht="12.75">
      <c r="A982" s="44"/>
      <c r="N982" s="54"/>
      <c r="O982" s="54"/>
      <c r="P982" s="54"/>
      <c r="Q982" s="92"/>
      <c r="R982" s="55"/>
      <c r="S982" s="55"/>
      <c r="T982" s="55"/>
      <c r="U982" s="55"/>
      <c r="W982" s="273"/>
      <c r="X982" s="273"/>
    </row>
    <row r="983" spans="1:24" ht="12.75">
      <c r="A983" s="44"/>
      <c r="N983" s="54"/>
      <c r="O983" s="54"/>
      <c r="P983" s="54"/>
      <c r="Q983" s="92"/>
      <c r="R983" s="55"/>
      <c r="S983" s="55"/>
      <c r="T983" s="55"/>
      <c r="U983" s="55"/>
      <c r="W983" s="273"/>
      <c r="X983" s="273"/>
    </row>
    <row r="984" spans="1:24" ht="12.75">
      <c r="A984" s="44"/>
      <c r="N984" s="54"/>
      <c r="O984" s="54"/>
      <c r="P984" s="54"/>
      <c r="Q984" s="92"/>
      <c r="R984" s="55"/>
      <c r="S984" s="55"/>
      <c r="T984" s="55"/>
      <c r="U984" s="55"/>
      <c r="W984" s="273"/>
      <c r="X984" s="273"/>
    </row>
    <row r="985" spans="1:24" ht="12.75">
      <c r="A985" s="44"/>
      <c r="N985" s="54"/>
      <c r="O985" s="54"/>
      <c r="P985" s="54"/>
      <c r="Q985" s="92"/>
      <c r="R985" s="55"/>
      <c r="S985" s="55"/>
      <c r="T985" s="55"/>
      <c r="U985" s="55"/>
      <c r="W985" s="273"/>
      <c r="X985" s="273"/>
    </row>
    <row r="986" spans="1:24" ht="12.75">
      <c r="A986" s="44"/>
      <c r="N986" s="54"/>
      <c r="O986" s="54"/>
      <c r="P986" s="54"/>
      <c r="Q986" s="92"/>
      <c r="R986" s="55"/>
      <c r="S986" s="55"/>
      <c r="T986" s="55"/>
      <c r="U986" s="55"/>
      <c r="W986" s="273"/>
      <c r="X986" s="273"/>
    </row>
    <row r="987" spans="1:24" ht="12.75">
      <c r="A987" s="44"/>
      <c r="N987" s="54"/>
      <c r="O987" s="54"/>
      <c r="P987" s="54"/>
      <c r="Q987" s="92"/>
      <c r="R987" s="55"/>
      <c r="S987" s="55"/>
      <c r="T987" s="55"/>
      <c r="U987" s="55"/>
      <c r="W987" s="273"/>
      <c r="X987" s="273"/>
    </row>
    <row r="988" spans="1:24" ht="12.75">
      <c r="A988" s="44"/>
      <c r="N988" s="54"/>
      <c r="O988" s="54"/>
      <c r="P988" s="54"/>
      <c r="Q988" s="92"/>
      <c r="R988" s="55"/>
      <c r="S988" s="55"/>
      <c r="T988" s="55"/>
      <c r="U988" s="55"/>
      <c r="W988" s="273"/>
      <c r="X988" s="273"/>
    </row>
    <row r="989" spans="1:24" ht="12.75">
      <c r="A989" s="44"/>
      <c r="N989" s="54"/>
      <c r="O989" s="54"/>
      <c r="P989" s="54"/>
      <c r="Q989" s="92"/>
      <c r="R989" s="55"/>
      <c r="S989" s="55"/>
      <c r="T989" s="55"/>
      <c r="U989" s="55"/>
      <c r="W989" s="273"/>
      <c r="X989" s="273"/>
    </row>
    <row r="990" spans="1:24" ht="12.75">
      <c r="A990" s="44"/>
      <c r="N990" s="54"/>
      <c r="O990" s="54"/>
      <c r="P990" s="54"/>
      <c r="Q990" s="92"/>
      <c r="R990" s="55"/>
      <c r="S990" s="55"/>
      <c r="T990" s="55"/>
      <c r="U990" s="55"/>
      <c r="W990" s="273"/>
      <c r="X990" s="273"/>
    </row>
    <row r="991" spans="1:24" ht="12.75">
      <c r="A991" s="44"/>
      <c r="N991" s="54"/>
      <c r="O991" s="54"/>
      <c r="P991" s="54"/>
      <c r="Q991" s="92"/>
      <c r="R991" s="55"/>
      <c r="S991" s="55"/>
      <c r="T991" s="55"/>
      <c r="U991" s="55"/>
      <c r="W991" s="273"/>
      <c r="X991" s="273"/>
    </row>
    <row r="992" spans="1:24" ht="12.75">
      <c r="A992" s="44"/>
      <c r="N992" s="54"/>
      <c r="O992" s="54"/>
      <c r="P992" s="54"/>
      <c r="Q992" s="92"/>
      <c r="R992" s="55"/>
      <c r="S992" s="55"/>
      <c r="T992" s="55"/>
      <c r="U992" s="55"/>
      <c r="W992" s="273"/>
      <c r="X992" s="273"/>
    </row>
  </sheetData>
  <mergeCells count="3">
    <mergeCell ref="D32:F32"/>
    <mergeCell ref="G32:I32"/>
    <mergeCell ref="J32:L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U1403"/>
  <sheetViews>
    <sheetView tabSelected="1" workbookViewId="0">
      <pane xSplit="1" ySplit="2" topLeftCell="B1319" activePane="bottomRight" state="frozen"/>
      <selection pane="bottomRight" activeCell="AC1362" sqref="AC1362"/>
      <selection pane="bottomLeft"/>
      <selection pane="topRight"/>
    </sheetView>
  </sheetViews>
  <sheetFormatPr defaultColWidth="14.42578125" defaultRowHeight="15.75" customHeight="1"/>
  <cols>
    <col min="1" max="1" width="20.7109375" style="107" customWidth="1"/>
    <col min="2" max="2" width="17.7109375" style="226" customWidth="1"/>
    <col min="3" max="3" width="9.42578125" style="230" customWidth="1"/>
    <col min="4" max="5" width="10.42578125" style="107" customWidth="1"/>
    <col min="6" max="6" width="12.7109375" style="107" customWidth="1"/>
    <col min="7" max="7" width="9" style="178" hidden="1" customWidth="1"/>
    <col min="8" max="8" width="9.28515625" style="178" hidden="1" customWidth="1"/>
    <col min="9" max="9" width="10.28515625" style="178" hidden="1" customWidth="1"/>
    <col min="10" max="10" width="10" style="178" hidden="1" customWidth="1"/>
    <col min="11" max="17" width="9.140625" style="178" hidden="1" customWidth="1"/>
    <col min="18" max="18" width="9.28515625" style="178" hidden="1" customWidth="1"/>
    <col min="19" max="20" width="9.140625" style="178" hidden="1" customWidth="1"/>
    <col min="21" max="21" width="10.28515625" style="178" hidden="1" customWidth="1"/>
    <col min="22" max="23" width="9.140625" style="178" hidden="1" customWidth="1"/>
    <col min="24" max="25" width="8.5703125" style="178" hidden="1" customWidth="1"/>
    <col min="26" max="26" width="9.5703125" style="179" hidden="1" customWidth="1"/>
    <col min="27" max="27" width="13.7109375" style="166" bestFit="1" customWidth="1"/>
    <col min="28" max="28" width="13.7109375" style="108" customWidth="1"/>
    <col min="29" max="29" width="12.140625" style="107" bestFit="1" customWidth="1"/>
    <col min="30" max="30" width="16.140625" style="107" bestFit="1" customWidth="1"/>
    <col min="31" max="31" width="10.7109375" style="107" bestFit="1" customWidth="1"/>
    <col min="32" max="32" width="9.5703125" style="107" bestFit="1" customWidth="1"/>
    <col min="33" max="33" width="19.42578125" style="107" bestFit="1" customWidth="1"/>
    <col min="34" max="34" width="11.85546875" style="209" bestFit="1" customWidth="1"/>
    <col min="35" max="35" width="14.42578125" style="107" customWidth="1"/>
    <col min="36" max="36" width="21.5703125" style="107" customWidth="1"/>
    <col min="37" max="39" width="14.42578125" style="107"/>
    <col min="40" max="40" width="14.7109375" style="107" customWidth="1"/>
    <col min="41" max="16384" width="14.42578125" style="107"/>
  </cols>
  <sheetData>
    <row r="1" spans="1:41" ht="15.75" customHeight="1">
      <c r="A1" s="220" t="s">
        <v>216</v>
      </c>
      <c r="B1" s="221"/>
      <c r="C1" s="222" t="s">
        <v>217</v>
      </c>
      <c r="F1" s="210" t="s">
        <v>218</v>
      </c>
      <c r="G1" s="211"/>
      <c r="H1" s="212" t="e">
        <f>SUBTOTAL(1, D3:D932)</f>
        <v>#DIV/0!</v>
      </c>
      <c r="J1" s="213" t="s">
        <v>219</v>
      </c>
      <c r="K1" s="214" t="s">
        <v>220</v>
      </c>
      <c r="AC1" s="107" t="s">
        <v>221</v>
      </c>
      <c r="AD1" s="107" t="s">
        <v>222</v>
      </c>
      <c r="AE1" s="107" t="s">
        <v>223</v>
      </c>
      <c r="AF1" s="107" t="s">
        <v>224</v>
      </c>
      <c r="AG1" s="107" t="s">
        <v>225</v>
      </c>
      <c r="AH1" s="209" t="s">
        <v>226</v>
      </c>
    </row>
    <row r="2" spans="1:41" ht="12.75">
      <c r="A2" s="10" t="s">
        <v>227</v>
      </c>
      <c r="B2" s="223" t="s">
        <v>228</v>
      </c>
      <c r="C2" s="224" t="s">
        <v>229</v>
      </c>
      <c r="D2" s="10" t="s">
        <v>230</v>
      </c>
      <c r="E2" s="10" t="s">
        <v>231</v>
      </c>
      <c r="F2" s="107" t="s">
        <v>232</v>
      </c>
      <c r="G2" s="108" t="s">
        <v>233</v>
      </c>
      <c r="H2" s="108" t="s">
        <v>234</v>
      </c>
      <c r="I2" s="108" t="s">
        <v>235</v>
      </c>
      <c r="J2" s="108" t="s">
        <v>236</v>
      </c>
      <c r="K2" s="108" t="s">
        <v>237</v>
      </c>
      <c r="L2" s="108" t="s">
        <v>238</v>
      </c>
      <c r="M2" s="108" t="s">
        <v>239</v>
      </c>
      <c r="N2" s="108" t="s">
        <v>240</v>
      </c>
      <c r="O2" s="108" t="s">
        <v>241</v>
      </c>
      <c r="P2" s="108" t="s">
        <v>242</v>
      </c>
      <c r="Q2" s="108" t="s">
        <v>243</v>
      </c>
      <c r="R2" s="108" t="s">
        <v>244</v>
      </c>
      <c r="S2" s="108" t="s">
        <v>245</v>
      </c>
      <c r="T2" s="108" t="s">
        <v>246</v>
      </c>
      <c r="U2" s="108" t="s">
        <v>247</v>
      </c>
      <c r="V2" s="108" t="s">
        <v>248</v>
      </c>
      <c r="W2" s="108" t="s">
        <v>249</v>
      </c>
      <c r="X2" s="108" t="s">
        <v>250</v>
      </c>
      <c r="Y2" s="108" t="s">
        <v>251</v>
      </c>
      <c r="Z2" s="108" t="s">
        <v>252</v>
      </c>
      <c r="AA2" s="167" t="s">
        <v>1</v>
      </c>
      <c r="AB2" s="109" t="s">
        <v>253</v>
      </c>
      <c r="AC2" s="10" t="s">
        <v>254</v>
      </c>
      <c r="AD2" s="10" t="s">
        <v>255</v>
      </c>
      <c r="AE2" s="10" t="s">
        <v>256</v>
      </c>
      <c r="AF2" s="10" t="s">
        <v>257</v>
      </c>
      <c r="AG2" s="10" t="s">
        <v>258</v>
      </c>
      <c r="AH2" s="209" t="s">
        <v>259</v>
      </c>
      <c r="AI2" s="107" t="s">
        <v>260</v>
      </c>
      <c r="AJ2" s="107" t="s">
        <v>261</v>
      </c>
      <c r="AK2" s="107" t="s">
        <v>8</v>
      </c>
      <c r="AL2" s="107" t="s">
        <v>19</v>
      </c>
      <c r="AM2" s="107" t="s">
        <v>11</v>
      </c>
      <c r="AN2" s="107" t="s">
        <v>16</v>
      </c>
      <c r="AO2" s="107" t="s">
        <v>24</v>
      </c>
    </row>
    <row r="3" spans="1:41" ht="12.75" hidden="1">
      <c r="A3" s="107" t="s">
        <v>262</v>
      </c>
      <c r="B3" s="166">
        <v>44047</v>
      </c>
      <c r="C3" s="224">
        <v>10000</v>
      </c>
      <c r="D3" s="107">
        <f>COUNTA(G3:Z3)*0.5</f>
        <v>8.5</v>
      </c>
      <c r="F3" s="107" t="s">
        <v>263</v>
      </c>
      <c r="G3" s="225">
        <v>44047</v>
      </c>
      <c r="H3" s="225">
        <v>44047</v>
      </c>
      <c r="I3" s="225">
        <v>44047</v>
      </c>
      <c r="J3" s="225">
        <v>44048</v>
      </c>
      <c r="K3" s="225">
        <v>44055</v>
      </c>
      <c r="L3" s="225">
        <v>44056</v>
      </c>
      <c r="M3" s="225">
        <v>44057</v>
      </c>
      <c r="N3" s="225">
        <v>44061</v>
      </c>
      <c r="O3" s="225">
        <v>44061</v>
      </c>
      <c r="P3" s="225">
        <v>44064</v>
      </c>
      <c r="Q3" s="225">
        <v>44064</v>
      </c>
      <c r="R3" s="225">
        <v>44064</v>
      </c>
      <c r="S3" s="225">
        <v>44067</v>
      </c>
      <c r="T3" s="225">
        <v>44069</v>
      </c>
      <c r="U3" s="225">
        <v>44069</v>
      </c>
      <c r="V3" s="225">
        <v>44071</v>
      </c>
      <c r="W3" s="225">
        <v>44071</v>
      </c>
      <c r="X3" s="225"/>
      <c r="Y3" s="225"/>
      <c r="AA3" s="178">
        <v>44078</v>
      </c>
      <c r="AB3" s="109">
        <f>_xlfn.DAYS(AA3,B3)</f>
        <v>31</v>
      </c>
      <c r="AC3" s="107">
        <f>(15/31+14/24)/2</f>
        <v>0.53360215053763449</v>
      </c>
      <c r="AD3" s="107">
        <v>1234.5</v>
      </c>
      <c r="AE3" s="107">
        <v>282</v>
      </c>
      <c r="AF3" s="107">
        <v>111</v>
      </c>
      <c r="AG3" s="107">
        <f>COUNTIFS(F:F,"Culled",A:A,LEFT(A3,LEN(A3)-3)&amp;"*")/COUNTIF(A:A,LEFT(A3,LEN(A3)-3)&amp;"*")*100</f>
        <v>0</v>
      </c>
      <c r="AH3" s="108">
        <f>(AD3-AF3)/(D3*$K$1*2)%</f>
        <v>12.016042780748663</v>
      </c>
      <c r="AI3" s="108">
        <f>(AE3+AF3)/(D3*$K$1*2)%</f>
        <v>4.2032085561497325</v>
      </c>
      <c r="AJ3" s="202">
        <f>AVERAGE(AH3:AH654)</f>
        <v>10.750028817380947</v>
      </c>
      <c r="AK3" s="208">
        <f>AVERAGEIF(AH3:AH56,"&lt;&gt;0")</f>
        <v>12.377120629366891</v>
      </c>
      <c r="AL3" s="203">
        <f>AVERAGEIF(AH58:AH103,"&lt;&gt;0")</f>
        <v>13.678706735925985</v>
      </c>
      <c r="AM3" s="203">
        <f>AVERAGEIF(AH104:AH299,"&lt;&gt;0")</f>
        <v>12.97383427351266</v>
      </c>
      <c r="AN3" s="208">
        <f>AVERAGEIF(AH299:AH604,"&lt;&gt;0")</f>
        <v>13.11427648386459</v>
      </c>
      <c r="AO3" s="208">
        <f>AVERAGEIF(AH606:AH698, "&lt;&gt;0")</f>
        <v>12.665159102112572</v>
      </c>
    </row>
    <row r="4" spans="1:41" ht="12.75" hidden="1">
      <c r="A4" s="107" t="s">
        <v>264</v>
      </c>
      <c r="B4" s="226">
        <v>44047</v>
      </c>
      <c r="C4" s="224">
        <v>10000</v>
      </c>
      <c r="D4" s="107">
        <f>COUNTA(G4:Z4)*0.5</f>
        <v>8.5</v>
      </c>
      <c r="F4" s="107" t="s">
        <v>263</v>
      </c>
      <c r="G4" s="225">
        <v>44047</v>
      </c>
      <c r="H4" s="225">
        <v>44047</v>
      </c>
      <c r="I4" s="225">
        <v>44047</v>
      </c>
      <c r="J4" s="225">
        <v>44048</v>
      </c>
      <c r="K4" s="225">
        <v>44055</v>
      </c>
      <c r="L4" s="225">
        <v>44056</v>
      </c>
      <c r="M4" s="225">
        <v>44057</v>
      </c>
      <c r="N4" s="225">
        <v>44061</v>
      </c>
      <c r="O4" s="225">
        <v>44061</v>
      </c>
      <c r="P4" s="225">
        <v>44064</v>
      </c>
      <c r="Q4" s="225">
        <v>44064</v>
      </c>
      <c r="R4" s="225">
        <v>44064</v>
      </c>
      <c r="S4" s="225">
        <v>44067</v>
      </c>
      <c r="T4" s="225">
        <v>44069</v>
      </c>
      <c r="U4" s="225">
        <v>44069</v>
      </c>
      <c r="V4" s="225">
        <v>44071</v>
      </c>
      <c r="W4" s="225">
        <v>44071</v>
      </c>
      <c r="X4" s="225"/>
      <c r="Y4" s="225"/>
      <c r="AA4" s="178">
        <v>44078</v>
      </c>
      <c r="AB4" s="109">
        <f>_xlfn.DAYS(AA4,B4)</f>
        <v>31</v>
      </c>
      <c r="AC4" s="107">
        <f>(14/24+16/22)/2</f>
        <v>0.65530303030303028</v>
      </c>
      <c r="AD4" s="107">
        <v>1262</v>
      </c>
      <c r="AE4" s="107">
        <v>265.5</v>
      </c>
      <c r="AF4" s="107">
        <v>101</v>
      </c>
      <c r="AG4" s="107">
        <f>COUNTIFS(F:F,"Culled",A:A,LEFT(A4,LEN(A4)-3)&amp;"*")/COUNTIF(A:A,LEFT(A4,LEN(A4)-3)&amp;"*")*100</f>
        <v>0</v>
      </c>
      <c r="AH4" s="108">
        <f>(AD4-AF4)/(D4*$K$1*2)%</f>
        <v>12.417112299465241</v>
      </c>
      <c r="AI4" s="108">
        <f>(AE4+AF4)/(D4*$K$1*2)%</f>
        <v>3.9197860962566846</v>
      </c>
    </row>
    <row r="5" spans="1:41" ht="12.75" hidden="1">
      <c r="A5" s="107" t="s">
        <v>265</v>
      </c>
      <c r="B5" s="226">
        <v>44047</v>
      </c>
      <c r="C5" s="224">
        <v>10000</v>
      </c>
      <c r="D5" s="107">
        <f>COUNTA(G5:Z5)*0.5</f>
        <v>8.5</v>
      </c>
      <c r="F5" s="107" t="s">
        <v>263</v>
      </c>
      <c r="G5" s="225">
        <v>44047</v>
      </c>
      <c r="H5" s="225">
        <v>44047</v>
      </c>
      <c r="I5" s="225">
        <v>44047</v>
      </c>
      <c r="J5" s="225">
        <v>44048</v>
      </c>
      <c r="K5" s="225">
        <v>44055</v>
      </c>
      <c r="L5" s="225">
        <v>44056</v>
      </c>
      <c r="M5" s="225">
        <v>44057</v>
      </c>
      <c r="N5" s="225">
        <v>44061</v>
      </c>
      <c r="O5" s="225">
        <v>44061</v>
      </c>
      <c r="P5" s="225">
        <v>44064</v>
      </c>
      <c r="Q5" s="225">
        <v>44064</v>
      </c>
      <c r="R5" s="225">
        <v>44064</v>
      </c>
      <c r="S5" s="225">
        <v>44067</v>
      </c>
      <c r="T5" s="225">
        <v>44069</v>
      </c>
      <c r="U5" s="225">
        <v>44069</v>
      </c>
      <c r="V5" s="225">
        <v>44071</v>
      </c>
      <c r="W5" s="225">
        <v>44071</v>
      </c>
      <c r="X5" s="225"/>
      <c r="Y5" s="225"/>
      <c r="AA5" s="178">
        <v>44078</v>
      </c>
      <c r="AB5" s="109">
        <f>_xlfn.DAYS(AA5,B5)</f>
        <v>31</v>
      </c>
      <c r="AC5" s="107">
        <f>(15/23+19/28)/2</f>
        <v>0.66537267080745344</v>
      </c>
      <c r="AD5" s="107">
        <v>1227</v>
      </c>
      <c r="AE5" s="107">
        <v>275.5</v>
      </c>
      <c r="AF5" s="107">
        <v>108</v>
      </c>
      <c r="AG5" s="107">
        <f>COUNTIFS(F:F,"Culled",A:A,LEFT(A5,LEN(A5)-3)&amp;"*")/COUNTIF(A:A,LEFT(A5,LEN(A5)-3)&amp;"*")*100</f>
        <v>0</v>
      </c>
      <c r="AH5" s="108">
        <f>(AD5-AF5)/(D5*$K$1*2)%</f>
        <v>11.967914438502675</v>
      </c>
      <c r="AI5" s="108">
        <f>(AE5+AF5)/(D5*$K$1*2)%</f>
        <v>4.1016042780748663</v>
      </c>
      <c r="AJ5" s="107" t="s">
        <v>266</v>
      </c>
      <c r="AK5" s="107" t="s">
        <v>8</v>
      </c>
      <c r="AL5" s="107" t="s">
        <v>19</v>
      </c>
      <c r="AM5" s="107" t="s">
        <v>11</v>
      </c>
      <c r="AN5" s="107" t="s">
        <v>16</v>
      </c>
      <c r="AO5" s="107" t="s">
        <v>24</v>
      </c>
    </row>
    <row r="6" spans="1:41" ht="14.25" hidden="1">
      <c r="A6" s="107" t="s">
        <v>267</v>
      </c>
      <c r="B6" s="226">
        <v>44047</v>
      </c>
      <c r="C6" s="224">
        <v>10000</v>
      </c>
      <c r="D6" s="107">
        <f>COUNTA(G6:Z6)*0.5</f>
        <v>8.5</v>
      </c>
      <c r="F6" s="107" t="s">
        <v>263</v>
      </c>
      <c r="G6" s="225">
        <v>44047</v>
      </c>
      <c r="H6" s="225">
        <v>44047</v>
      </c>
      <c r="I6" s="225">
        <v>44047</v>
      </c>
      <c r="J6" s="225">
        <v>44048</v>
      </c>
      <c r="K6" s="225">
        <v>44055</v>
      </c>
      <c r="L6" s="225">
        <v>44056</v>
      </c>
      <c r="M6" s="225">
        <v>44057</v>
      </c>
      <c r="N6" s="225">
        <v>44061</v>
      </c>
      <c r="O6" s="225">
        <v>44061</v>
      </c>
      <c r="P6" s="225">
        <v>44064</v>
      </c>
      <c r="Q6" s="225">
        <v>44064</v>
      </c>
      <c r="R6" s="225">
        <v>44064</v>
      </c>
      <c r="S6" s="225">
        <v>44067</v>
      </c>
      <c r="T6" s="225">
        <v>44069</v>
      </c>
      <c r="U6" s="225">
        <v>44069</v>
      </c>
      <c r="V6" s="225">
        <v>44071</v>
      </c>
      <c r="W6" s="225">
        <v>44071</v>
      </c>
      <c r="X6" s="225"/>
      <c r="Y6" s="225"/>
      <c r="AA6" s="178">
        <v>44078</v>
      </c>
      <c r="AB6" s="109">
        <f>_xlfn.DAYS(AA6,B6)</f>
        <v>31</v>
      </c>
      <c r="AG6" s="107">
        <f>COUNTIFS(F:F,"Culled",A:A,LEFT(A6,LEN(A6)-3)&amp;"*")/COUNTIF(A:A,LEFT(A6,LEN(A6)-3)&amp;"*")*100</f>
        <v>0</v>
      </c>
      <c r="AH6" s="108">
        <f>(AD6-AF6)/(D6*$K$1*2)%</f>
        <v>0</v>
      </c>
      <c r="AI6" s="108">
        <f>(AE6+AF6)/(D6*$K$1*2)%</f>
        <v>0</v>
      </c>
      <c r="AJ6" s="227">
        <f>AVERAGE(AK6:AO6)</f>
        <v>5.3992942706201621</v>
      </c>
      <c r="AK6" s="228">
        <f>AVERAGEIF(AI3:AI56,"&lt;&gt;0")</f>
        <v>5.2279606348960632</v>
      </c>
      <c r="AL6" s="228">
        <f>AVERAGEIF(AI58:AI103,"&lt;&gt;0")</f>
        <v>5.7633438011780269</v>
      </c>
      <c r="AM6" s="228">
        <f>AVERAGEIF(AI104:AI299,"&lt;&gt;0")</f>
        <v>4.8685084431046608</v>
      </c>
      <c r="AN6" s="228">
        <f>AVERAGEIF(AI299:AI604,"&lt;&gt;0")</f>
        <v>4.8434353589739789</v>
      </c>
      <c r="AO6" s="228">
        <f>AVERAGEIF(AI606:AI698,"&lt;&gt;0")</f>
        <v>6.2932231149480797</v>
      </c>
    </row>
    <row r="7" spans="1:41" ht="12.75" hidden="1">
      <c r="A7" s="107" t="s">
        <v>268</v>
      </c>
      <c r="B7" s="226">
        <v>44047</v>
      </c>
      <c r="C7" s="224">
        <v>10000</v>
      </c>
      <c r="D7" s="107">
        <f>COUNTA(G7:Z7)*0.5</f>
        <v>8.5</v>
      </c>
      <c r="F7" s="107" t="s">
        <v>263</v>
      </c>
      <c r="G7" s="225">
        <v>44047</v>
      </c>
      <c r="H7" s="225">
        <v>44047</v>
      </c>
      <c r="I7" s="225">
        <v>44047</v>
      </c>
      <c r="J7" s="225">
        <v>44048</v>
      </c>
      <c r="K7" s="225">
        <v>44055</v>
      </c>
      <c r="L7" s="225">
        <v>44056</v>
      </c>
      <c r="M7" s="225">
        <v>44057</v>
      </c>
      <c r="N7" s="225">
        <v>44061</v>
      </c>
      <c r="O7" s="225">
        <v>44061</v>
      </c>
      <c r="P7" s="225">
        <v>44064</v>
      </c>
      <c r="Q7" s="225">
        <v>44064</v>
      </c>
      <c r="R7" s="225">
        <v>44064</v>
      </c>
      <c r="S7" s="225">
        <v>44067</v>
      </c>
      <c r="T7" s="225">
        <v>44069</v>
      </c>
      <c r="U7" s="225">
        <v>44069</v>
      </c>
      <c r="V7" s="225">
        <v>44071</v>
      </c>
      <c r="W7" s="225">
        <v>44071</v>
      </c>
      <c r="X7" s="225"/>
      <c r="Y7" s="225"/>
      <c r="AA7" s="178">
        <v>44078</v>
      </c>
      <c r="AB7" s="109">
        <f>_xlfn.DAYS(AA7,B7)</f>
        <v>31</v>
      </c>
      <c r="AC7" s="107">
        <f>(10/30+9/32)/2</f>
        <v>0.30729166666666663</v>
      </c>
      <c r="AD7" s="107">
        <v>1207.5</v>
      </c>
      <c r="AE7" s="107">
        <v>264</v>
      </c>
      <c r="AF7" s="107">
        <v>61.5</v>
      </c>
      <c r="AG7" s="107">
        <f>COUNTIFS(F:F,"Culled",A:A,LEFT(A7,LEN(A7)-3)&amp;"*")/COUNTIF(A:A,LEFT(A7,LEN(A7)-3)&amp;"*")*100</f>
        <v>0</v>
      </c>
      <c r="AH7" s="108">
        <f>(AD7-AF7)/(D7*$K$1*2)%</f>
        <v>12.256684491978609</v>
      </c>
      <c r="AI7" s="108">
        <f>(AE7+AF7)/(D7*$K$1*2)%</f>
        <v>3.4812834224598932</v>
      </c>
    </row>
    <row r="8" spans="1:41" ht="12.75" hidden="1">
      <c r="A8" s="107" t="s">
        <v>269</v>
      </c>
      <c r="B8" s="226">
        <v>44047</v>
      </c>
      <c r="C8" s="224">
        <v>10000</v>
      </c>
      <c r="D8" s="107">
        <f>COUNTA(G8:Z8)*0.5</f>
        <v>8.5</v>
      </c>
      <c r="F8" s="107" t="s">
        <v>263</v>
      </c>
      <c r="G8" s="225">
        <v>44047</v>
      </c>
      <c r="H8" s="225">
        <v>44047</v>
      </c>
      <c r="I8" s="225">
        <v>44047</v>
      </c>
      <c r="J8" s="225">
        <v>44048</v>
      </c>
      <c r="K8" s="225">
        <v>44055</v>
      </c>
      <c r="L8" s="225">
        <v>44056</v>
      </c>
      <c r="M8" s="225">
        <v>44057</v>
      </c>
      <c r="N8" s="225">
        <v>44061</v>
      </c>
      <c r="O8" s="225">
        <v>44061</v>
      </c>
      <c r="P8" s="225">
        <v>44064</v>
      </c>
      <c r="Q8" s="225">
        <v>44064</v>
      </c>
      <c r="R8" s="225">
        <v>44064</v>
      </c>
      <c r="S8" s="225">
        <v>44067</v>
      </c>
      <c r="T8" s="225">
        <v>44069</v>
      </c>
      <c r="U8" s="225">
        <v>44069</v>
      </c>
      <c r="V8" s="225">
        <v>44071</v>
      </c>
      <c r="W8" s="225">
        <v>44071</v>
      </c>
      <c r="X8" s="225"/>
      <c r="Y8" s="225"/>
      <c r="AA8" s="178">
        <v>44078</v>
      </c>
      <c r="AB8" s="109">
        <f>_xlfn.DAYS(AA8,B8)</f>
        <v>31</v>
      </c>
      <c r="AG8" s="107">
        <f>COUNTIFS(F:F,"Culled",A:A,LEFT(A8,LEN(A8)-3)&amp;"*")/COUNTIF(A:A,LEFT(A8,LEN(A8)-3)&amp;"*")*100</f>
        <v>0</v>
      </c>
      <c r="AH8" s="108">
        <f>(AD8-AF8)/(D8*$K$1*2)%</f>
        <v>0</v>
      </c>
      <c r="AI8" s="108">
        <f>(AE8+AF8)/(D8*$K$1*2)%</f>
        <v>0</v>
      </c>
      <c r="AJ8" s="107" t="s">
        <v>270</v>
      </c>
    </row>
    <row r="9" spans="1:41" ht="12.75" hidden="1">
      <c r="A9" s="107" t="s">
        <v>271</v>
      </c>
      <c r="B9" s="226">
        <v>44047</v>
      </c>
      <c r="C9" s="224">
        <v>10000</v>
      </c>
      <c r="D9" s="107">
        <f>COUNTA(G9:Z9)*0.5</f>
        <v>8.5</v>
      </c>
      <c r="F9" s="107" t="s">
        <v>263</v>
      </c>
      <c r="G9" s="225">
        <v>44047</v>
      </c>
      <c r="H9" s="225">
        <v>44047</v>
      </c>
      <c r="I9" s="225">
        <v>44047</v>
      </c>
      <c r="J9" s="225">
        <v>44048</v>
      </c>
      <c r="K9" s="225">
        <v>44055</v>
      </c>
      <c r="L9" s="225">
        <v>44056</v>
      </c>
      <c r="M9" s="225">
        <v>44057</v>
      </c>
      <c r="N9" s="225">
        <v>44061</v>
      </c>
      <c r="O9" s="225">
        <v>44061</v>
      </c>
      <c r="P9" s="225">
        <v>44064</v>
      </c>
      <c r="Q9" s="225">
        <v>44064</v>
      </c>
      <c r="R9" s="225">
        <v>44064</v>
      </c>
      <c r="S9" s="225">
        <v>44067</v>
      </c>
      <c r="T9" s="225">
        <v>44069</v>
      </c>
      <c r="U9" s="225">
        <v>44069</v>
      </c>
      <c r="V9" s="225">
        <v>44071</v>
      </c>
      <c r="W9" s="225">
        <v>44071</v>
      </c>
      <c r="X9" s="225"/>
      <c r="Y9" s="225"/>
      <c r="AA9" s="178">
        <v>44078</v>
      </c>
      <c r="AB9" s="109">
        <f>_xlfn.DAYS(AA9,B9)</f>
        <v>31</v>
      </c>
      <c r="AG9" s="107">
        <f>COUNTIFS(F:F,"Culled",A:A,LEFT(A9,LEN(A9)-3)&amp;"*")/COUNTIF(A:A,LEFT(A9,LEN(A9)-3)&amp;"*")*100</f>
        <v>0</v>
      </c>
      <c r="AH9" s="108">
        <f>(AD9-AF9)/(D9*$K$1*2)%</f>
        <v>0</v>
      </c>
      <c r="AI9" s="108">
        <f>(AE9+AF9)/(D9*$K$1*2)%</f>
        <v>0</v>
      </c>
    </row>
    <row r="10" spans="1:41" ht="12.75" hidden="1">
      <c r="A10" s="107" t="s">
        <v>272</v>
      </c>
      <c r="B10" s="226">
        <v>44047</v>
      </c>
      <c r="C10" s="224">
        <v>10000</v>
      </c>
      <c r="D10" s="107">
        <f>COUNTA(G10:Z10)*0.5</f>
        <v>8.5</v>
      </c>
      <c r="F10" s="107" t="s">
        <v>263</v>
      </c>
      <c r="G10" s="225">
        <v>44047</v>
      </c>
      <c r="H10" s="225">
        <v>44047</v>
      </c>
      <c r="I10" s="225">
        <v>44047</v>
      </c>
      <c r="J10" s="225">
        <v>44048</v>
      </c>
      <c r="K10" s="225">
        <v>44055</v>
      </c>
      <c r="L10" s="225">
        <v>44056</v>
      </c>
      <c r="M10" s="225">
        <v>44057</v>
      </c>
      <c r="N10" s="225">
        <v>44061</v>
      </c>
      <c r="O10" s="225">
        <v>44061</v>
      </c>
      <c r="P10" s="225">
        <v>44064</v>
      </c>
      <c r="Q10" s="225">
        <v>44064</v>
      </c>
      <c r="R10" s="225">
        <v>44064</v>
      </c>
      <c r="S10" s="225">
        <v>44067</v>
      </c>
      <c r="T10" s="225">
        <v>44069</v>
      </c>
      <c r="U10" s="225">
        <v>44069</v>
      </c>
      <c r="V10" s="225">
        <v>44071</v>
      </c>
      <c r="W10" s="225">
        <v>44071</v>
      </c>
      <c r="X10" s="225"/>
      <c r="Y10" s="225"/>
      <c r="AA10" s="178">
        <v>44078</v>
      </c>
      <c r="AB10" s="109">
        <f>_xlfn.DAYS(AA10,B10)</f>
        <v>31</v>
      </c>
      <c r="AG10" s="107">
        <f>COUNTIFS(F:F,"Culled",A:A,LEFT(A10,LEN(A10)-3)&amp;"*")/COUNTIF(A:A,LEFT(A10,LEN(A10)-3)&amp;"*")*100</f>
        <v>0</v>
      </c>
      <c r="AH10" s="108">
        <f>(AD10-AF10)/(D10*$K$1*2)%</f>
        <v>0</v>
      </c>
      <c r="AI10" s="108">
        <f>(AE10+AF10)/(D10*$K$1*2)%</f>
        <v>0</v>
      </c>
    </row>
    <row r="11" spans="1:41" ht="12.75" hidden="1">
      <c r="A11" s="107" t="s">
        <v>273</v>
      </c>
      <c r="B11" s="226">
        <v>44047</v>
      </c>
      <c r="C11" s="224">
        <v>10000</v>
      </c>
      <c r="D11" s="107">
        <f>COUNTA(G11:Z11)*0.5</f>
        <v>8.5</v>
      </c>
      <c r="F11" s="107" t="s">
        <v>263</v>
      </c>
      <c r="G11" s="225">
        <v>44047</v>
      </c>
      <c r="H11" s="225">
        <v>44047</v>
      </c>
      <c r="I11" s="225">
        <v>44047</v>
      </c>
      <c r="J11" s="225">
        <v>44048</v>
      </c>
      <c r="K11" s="225">
        <v>44055</v>
      </c>
      <c r="L11" s="225">
        <v>44056</v>
      </c>
      <c r="M11" s="225">
        <v>44057</v>
      </c>
      <c r="N11" s="225">
        <v>44061</v>
      </c>
      <c r="O11" s="225">
        <v>44061</v>
      </c>
      <c r="P11" s="225">
        <v>44064</v>
      </c>
      <c r="Q11" s="225">
        <v>44064</v>
      </c>
      <c r="R11" s="225">
        <v>44064</v>
      </c>
      <c r="S11" s="225">
        <v>44067</v>
      </c>
      <c r="T11" s="225">
        <v>44069</v>
      </c>
      <c r="U11" s="225">
        <v>44069</v>
      </c>
      <c r="V11" s="225">
        <v>44071</v>
      </c>
      <c r="W11" s="225">
        <v>44071</v>
      </c>
      <c r="X11" s="225"/>
      <c r="Y11" s="225"/>
      <c r="AA11" s="178">
        <v>44078</v>
      </c>
      <c r="AB11" s="109">
        <f>_xlfn.DAYS(AA11,B11)</f>
        <v>31</v>
      </c>
      <c r="AC11" s="107">
        <f>(12/16+13/17)/2</f>
        <v>0.75735294117647056</v>
      </c>
      <c r="AD11" s="107">
        <v>1090</v>
      </c>
      <c r="AE11" s="107">
        <v>286.5</v>
      </c>
      <c r="AF11" s="107">
        <v>67</v>
      </c>
      <c r="AG11" s="107">
        <f>COUNTIFS(F:F,"Culled",A:A,LEFT(A11,LEN(A11)-3)&amp;"*")/COUNTIF(A:A,LEFT(A11,LEN(A11)-3)&amp;"*")*100</f>
        <v>0</v>
      </c>
      <c r="AH11" s="108">
        <f>(AD11-AF11)/(D11*$K$1*2)%</f>
        <v>10.941176470588236</v>
      </c>
      <c r="AI11" s="108">
        <f>(AE11+AF11)/(D11*$K$1*2)%</f>
        <v>3.7807486631016043</v>
      </c>
      <c r="AJ11" s="107" t="s">
        <v>274</v>
      </c>
      <c r="AK11" s="215">
        <v>7215.65</v>
      </c>
    </row>
    <row r="12" spans="1:41" ht="12.75" hidden="1">
      <c r="A12" s="107" t="s">
        <v>275</v>
      </c>
      <c r="B12" s="226">
        <v>44050</v>
      </c>
      <c r="C12" s="224">
        <v>10000</v>
      </c>
      <c r="D12" s="107">
        <f>COUNTA(G12:Z12)*0.5</f>
        <v>8</v>
      </c>
      <c r="F12" s="107" t="s">
        <v>263</v>
      </c>
      <c r="G12" s="225">
        <v>44050</v>
      </c>
      <c r="H12" s="225">
        <v>44050</v>
      </c>
      <c r="I12" s="225">
        <v>44050</v>
      </c>
      <c r="J12" s="225">
        <v>44055</v>
      </c>
      <c r="K12" s="225">
        <v>44056</v>
      </c>
      <c r="L12" s="225">
        <v>44057</v>
      </c>
      <c r="M12" s="225">
        <v>44061</v>
      </c>
      <c r="N12" s="225">
        <v>44061</v>
      </c>
      <c r="O12" s="225">
        <v>44064</v>
      </c>
      <c r="P12" s="225">
        <v>44064</v>
      </c>
      <c r="Q12" s="225">
        <v>44064</v>
      </c>
      <c r="R12" s="225">
        <v>44067</v>
      </c>
      <c r="S12" s="225">
        <v>44069</v>
      </c>
      <c r="T12" s="225">
        <v>44069</v>
      </c>
      <c r="U12" s="225">
        <v>44071</v>
      </c>
      <c r="V12" s="225">
        <v>44071</v>
      </c>
      <c r="W12" s="225"/>
      <c r="X12" s="225"/>
      <c r="Y12" s="225"/>
      <c r="AB12" s="109">
        <f>_xlfn.DAYS(AA12,B12)</f>
        <v>-44050</v>
      </c>
      <c r="AC12" s="107">
        <f>(21/32+17/26)/2%</f>
        <v>65.504807692307679</v>
      </c>
      <c r="AD12" s="107">
        <v>1053.5</v>
      </c>
      <c r="AE12" s="107">
        <v>247.5</v>
      </c>
      <c r="AF12" s="107">
        <v>107.5</v>
      </c>
      <c r="AG12" s="107">
        <f>COUNTIFS(F:F,"Culled",A:A,LEFT(A12,LEN(A12)-3)&amp;"*")/COUNTIF(A:A,LEFT(A12,LEN(A12)-3)&amp;"*")*100</f>
        <v>0</v>
      </c>
      <c r="AH12" s="108">
        <f>(AD12-AF12)/(D12*$K$1*2)%</f>
        <v>10.75</v>
      </c>
      <c r="AI12" s="108">
        <f>(AE12+AF12)/(D12*$K$1*2)%</f>
        <v>4.0340909090909092</v>
      </c>
      <c r="AJ12" s="107" t="s">
        <v>276</v>
      </c>
      <c r="AK12" s="108">
        <f>AK11*AJ3%</f>
        <v>775.68445436134823</v>
      </c>
    </row>
    <row r="13" spans="1:41" ht="12.75" hidden="1">
      <c r="A13" s="107" t="s">
        <v>277</v>
      </c>
      <c r="B13" s="226">
        <v>44050</v>
      </c>
      <c r="C13" s="224">
        <v>10000</v>
      </c>
      <c r="D13" s="107">
        <f>COUNTA(G13:Z13)*0.5</f>
        <v>8</v>
      </c>
      <c r="F13" s="107" t="s">
        <v>263</v>
      </c>
      <c r="G13" s="225">
        <v>44050</v>
      </c>
      <c r="H13" s="225">
        <v>44050</v>
      </c>
      <c r="I13" s="225">
        <v>44050</v>
      </c>
      <c r="J13" s="225">
        <v>44055</v>
      </c>
      <c r="K13" s="225">
        <v>44056</v>
      </c>
      <c r="L13" s="225">
        <v>44057</v>
      </c>
      <c r="M13" s="225">
        <v>44061</v>
      </c>
      <c r="N13" s="225">
        <v>44061</v>
      </c>
      <c r="O13" s="225">
        <v>44064</v>
      </c>
      <c r="P13" s="225">
        <v>44064</v>
      </c>
      <c r="Q13" s="225">
        <v>44064</v>
      </c>
      <c r="R13" s="225">
        <v>44067</v>
      </c>
      <c r="S13" s="225">
        <v>44069</v>
      </c>
      <c r="T13" s="225">
        <v>44069</v>
      </c>
      <c r="U13" s="225">
        <v>44071</v>
      </c>
      <c r="V13" s="225">
        <v>44071</v>
      </c>
      <c r="W13" s="225"/>
      <c r="X13" s="225"/>
      <c r="Y13" s="225"/>
      <c r="AB13" s="109">
        <f>_xlfn.DAYS(AA13,B13)</f>
        <v>-44050</v>
      </c>
      <c r="AG13" s="107">
        <f>COUNTIFS(F:F,"Culled",A:A,LEFT(A13,LEN(A13)-3)&amp;"*")/COUNTIF(A:A,LEFT(A13,LEN(A13)-3)&amp;"*")*100</f>
        <v>0</v>
      </c>
      <c r="AH13" s="108">
        <f>(AD13-AF13)/(D13*$K$1*2)%</f>
        <v>0</v>
      </c>
      <c r="AI13" s="108">
        <f>(AE13+AF13)/(D13*$K$1*2)%</f>
        <v>0</v>
      </c>
      <c r="AJ13" s="107" t="s">
        <v>278</v>
      </c>
      <c r="AK13" s="107">
        <f>AK11*AJ6%</f>
        <v>389.59417703800369</v>
      </c>
      <c r="AL13" s="108">
        <f>(AK13+AK12)/AK11</f>
        <v>0.16149323088001108</v>
      </c>
    </row>
    <row r="14" spans="1:41" ht="12.75" hidden="1">
      <c r="A14" s="107" t="s">
        <v>279</v>
      </c>
      <c r="B14" s="226">
        <v>44050</v>
      </c>
      <c r="C14" s="224">
        <v>10000</v>
      </c>
      <c r="D14" s="107">
        <f>COUNTA(G14:Z14)*0.5</f>
        <v>8</v>
      </c>
      <c r="F14" s="107" t="s">
        <v>263</v>
      </c>
      <c r="G14" s="225">
        <v>44050</v>
      </c>
      <c r="H14" s="225">
        <v>44050</v>
      </c>
      <c r="I14" s="225">
        <v>44050</v>
      </c>
      <c r="J14" s="225">
        <v>44055</v>
      </c>
      <c r="K14" s="225">
        <v>44056</v>
      </c>
      <c r="L14" s="225">
        <v>44057</v>
      </c>
      <c r="M14" s="225">
        <v>44061</v>
      </c>
      <c r="N14" s="225">
        <v>44061</v>
      </c>
      <c r="O14" s="225">
        <v>44064</v>
      </c>
      <c r="P14" s="225">
        <v>44064</v>
      </c>
      <c r="Q14" s="225">
        <v>44064</v>
      </c>
      <c r="R14" s="225">
        <v>44067</v>
      </c>
      <c r="S14" s="225">
        <v>44069</v>
      </c>
      <c r="T14" s="225">
        <v>44069</v>
      </c>
      <c r="U14" s="225">
        <v>44071</v>
      </c>
      <c r="V14" s="225">
        <v>44071</v>
      </c>
      <c r="W14" s="225"/>
      <c r="X14" s="225"/>
      <c r="Y14" s="225"/>
      <c r="AB14" s="109">
        <f>_xlfn.DAYS(AA14,B14)</f>
        <v>-44050</v>
      </c>
      <c r="AC14" s="107">
        <f>(12/24+21/34)/2%</f>
        <v>55.882352941176471</v>
      </c>
      <c r="AD14" s="107">
        <v>924.5</v>
      </c>
      <c r="AE14" s="107">
        <v>251</v>
      </c>
      <c r="AF14" s="107">
        <v>81.5</v>
      </c>
      <c r="AG14" s="107">
        <f>COUNTIFS(F:F,"Culled",A:A,LEFT(A14,LEN(A14)-3)&amp;"*")/COUNTIF(A:A,LEFT(A14,LEN(A14)-3)&amp;"*")*100</f>
        <v>0</v>
      </c>
      <c r="AH14" s="108">
        <f>(AD14-AF14)/(D14*$K$1*2)%</f>
        <v>9.579545454545455</v>
      </c>
      <c r="AI14" s="108">
        <f>(AE14+AF14)/(D14*$K$1*2)%</f>
        <v>3.7784090909090908</v>
      </c>
    </row>
    <row r="15" spans="1:41" ht="12.75" hidden="1">
      <c r="A15" s="107" t="s">
        <v>280</v>
      </c>
      <c r="B15" s="226">
        <v>44050</v>
      </c>
      <c r="C15" s="224">
        <v>10000</v>
      </c>
      <c r="D15" s="107">
        <f>COUNTA(G15:Z15)*0.5</f>
        <v>8</v>
      </c>
      <c r="F15" s="107" t="s">
        <v>263</v>
      </c>
      <c r="G15" s="225">
        <v>44050</v>
      </c>
      <c r="H15" s="225">
        <v>44050</v>
      </c>
      <c r="I15" s="225">
        <v>44050</v>
      </c>
      <c r="J15" s="225">
        <v>44055</v>
      </c>
      <c r="K15" s="225">
        <v>44056</v>
      </c>
      <c r="L15" s="225">
        <v>44057</v>
      </c>
      <c r="M15" s="225">
        <v>44061</v>
      </c>
      <c r="N15" s="225">
        <v>44061</v>
      </c>
      <c r="O15" s="225">
        <v>44064</v>
      </c>
      <c r="P15" s="225">
        <v>44064</v>
      </c>
      <c r="Q15" s="225">
        <v>44064</v>
      </c>
      <c r="R15" s="225">
        <v>44067</v>
      </c>
      <c r="S15" s="225">
        <v>44069</v>
      </c>
      <c r="T15" s="225">
        <v>44069</v>
      </c>
      <c r="U15" s="225">
        <v>44071</v>
      </c>
      <c r="V15" s="225">
        <v>44071</v>
      </c>
      <c r="W15" s="226"/>
      <c r="X15" s="226"/>
      <c r="Y15" s="226"/>
      <c r="Z15" s="107"/>
      <c r="AB15" s="109">
        <f>_xlfn.DAYS(AA15,B15)</f>
        <v>-44050</v>
      </c>
      <c r="AG15" s="107">
        <f>COUNTIFS(F:F,"Culled",A:A,LEFT(A15,LEN(A15)-3)&amp;"*")/COUNTIF(A:A,LEFT(A15,LEN(A15)-3)&amp;"*")*100</f>
        <v>0</v>
      </c>
      <c r="AH15" s="108">
        <f>(AD15-AF15)/(D15*$K$1*2)%</f>
        <v>0</v>
      </c>
      <c r="AI15" s="108">
        <f>(AE15+AF15)/(D15*$K$1*2)%</f>
        <v>0</v>
      </c>
    </row>
    <row r="16" spans="1:41" ht="12.75" hidden="1">
      <c r="A16" s="107" t="s">
        <v>281</v>
      </c>
      <c r="B16" s="226">
        <v>44050</v>
      </c>
      <c r="C16" s="224">
        <v>10000</v>
      </c>
      <c r="D16" s="107">
        <f>COUNTA(G16:Z16)*0.5</f>
        <v>8</v>
      </c>
      <c r="F16" s="107" t="s">
        <v>263</v>
      </c>
      <c r="G16" s="225">
        <v>44050</v>
      </c>
      <c r="H16" s="225">
        <v>44050</v>
      </c>
      <c r="I16" s="225">
        <v>44050</v>
      </c>
      <c r="J16" s="225">
        <v>44055</v>
      </c>
      <c r="K16" s="225">
        <v>44056</v>
      </c>
      <c r="L16" s="225">
        <v>44057</v>
      </c>
      <c r="M16" s="225">
        <v>44061</v>
      </c>
      <c r="N16" s="225">
        <v>44061</v>
      </c>
      <c r="O16" s="225">
        <v>44064</v>
      </c>
      <c r="P16" s="225">
        <v>44064</v>
      </c>
      <c r="Q16" s="225">
        <v>44064</v>
      </c>
      <c r="R16" s="225">
        <v>44067</v>
      </c>
      <c r="S16" s="225">
        <v>44069</v>
      </c>
      <c r="T16" s="225">
        <v>44069</v>
      </c>
      <c r="U16" s="225">
        <v>44071</v>
      </c>
      <c r="V16" s="225">
        <v>44071</v>
      </c>
      <c r="W16" s="226"/>
      <c r="X16" s="226"/>
      <c r="Y16" s="226"/>
      <c r="Z16" s="107"/>
      <c r="AB16" s="109">
        <f>_xlfn.DAYS(AA16,B16)</f>
        <v>-44050</v>
      </c>
      <c r="AC16" s="107">
        <f>(8/21+7/17)/2%</f>
        <v>39.635854341736689</v>
      </c>
      <c r="AD16" s="107">
        <v>1203.5</v>
      </c>
      <c r="AE16" s="107">
        <v>228.5</v>
      </c>
      <c r="AF16" s="107">
        <v>119.5</v>
      </c>
      <c r="AG16" s="107">
        <f>COUNTIFS(F:F,"Culled",A:A,LEFT(A16,LEN(A16)-3)&amp;"*")/COUNTIF(A:A,LEFT(A16,LEN(A16)-3)&amp;"*")*100</f>
        <v>0</v>
      </c>
      <c r="AH16" s="108">
        <f>(AD16-AF16)/(D16*$K$1*2)%</f>
        <v>12.318181818181818</v>
      </c>
      <c r="AI16" s="108">
        <f>(AE16+AF16)/(D16*$K$1*2)%</f>
        <v>3.9545454545454546</v>
      </c>
    </row>
    <row r="17" spans="1:47" ht="12.75" hidden="1">
      <c r="A17" s="107" t="s">
        <v>282</v>
      </c>
      <c r="B17" s="226">
        <v>44050</v>
      </c>
      <c r="C17" s="224">
        <v>10000</v>
      </c>
      <c r="D17" s="107">
        <f>COUNTA(G17:Z17)*0.5</f>
        <v>8</v>
      </c>
      <c r="F17" s="107" t="s">
        <v>263</v>
      </c>
      <c r="G17" s="225">
        <v>44050</v>
      </c>
      <c r="H17" s="225">
        <v>44050</v>
      </c>
      <c r="I17" s="225">
        <v>44050</v>
      </c>
      <c r="J17" s="225">
        <v>44055</v>
      </c>
      <c r="K17" s="225">
        <v>44056</v>
      </c>
      <c r="L17" s="225">
        <v>44057</v>
      </c>
      <c r="M17" s="225">
        <v>44061</v>
      </c>
      <c r="N17" s="225">
        <v>44061</v>
      </c>
      <c r="O17" s="225">
        <v>44064</v>
      </c>
      <c r="P17" s="225">
        <v>44064</v>
      </c>
      <c r="Q17" s="225">
        <v>44064</v>
      </c>
      <c r="R17" s="225">
        <v>44067</v>
      </c>
      <c r="S17" s="225">
        <v>44069</v>
      </c>
      <c r="T17" s="225">
        <v>44069</v>
      </c>
      <c r="U17" s="225">
        <v>44071</v>
      </c>
      <c r="V17" s="225">
        <v>44071</v>
      </c>
      <c r="W17" s="226"/>
      <c r="X17" s="226"/>
      <c r="Y17" s="226"/>
      <c r="Z17" s="107"/>
      <c r="AB17" s="109">
        <f>_xlfn.DAYS(AA17,B17)</f>
        <v>-44050</v>
      </c>
      <c r="AC17" s="107">
        <f>(15/21+18/22)/2%</f>
        <v>76.623376623376629</v>
      </c>
      <c r="AD17" s="107">
        <v>1146</v>
      </c>
      <c r="AE17" s="107">
        <v>279</v>
      </c>
      <c r="AF17" s="107">
        <v>88</v>
      </c>
      <c r="AG17" s="107">
        <f>COUNTIFS(F:F,"Culled",A:A,LEFT(A17,LEN(A17)-3)&amp;"*")/COUNTIF(A:A,LEFT(A17,LEN(A17)-3)&amp;"*")*100</f>
        <v>0</v>
      </c>
      <c r="AH17" s="108">
        <f>(AD17-AF17)/(D17*$K$1*2)%</f>
        <v>12.022727272727273</v>
      </c>
      <c r="AI17" s="108">
        <f>(AE17+AF17)/(D17*$K$1*2)%</f>
        <v>4.1704545454545459</v>
      </c>
    </row>
    <row r="18" spans="1:47" ht="12.75" hidden="1">
      <c r="A18" s="107" t="s">
        <v>283</v>
      </c>
      <c r="B18" s="226">
        <v>44050</v>
      </c>
      <c r="C18" s="224">
        <v>10000</v>
      </c>
      <c r="D18" s="107">
        <f>COUNTA(G18:Z18)*0.5</f>
        <v>8</v>
      </c>
      <c r="F18" s="107" t="s">
        <v>263</v>
      </c>
      <c r="G18" s="225">
        <v>44050</v>
      </c>
      <c r="H18" s="225">
        <v>44050</v>
      </c>
      <c r="I18" s="225">
        <v>44050</v>
      </c>
      <c r="J18" s="225">
        <v>44055</v>
      </c>
      <c r="K18" s="225">
        <v>44056</v>
      </c>
      <c r="L18" s="225">
        <v>44057</v>
      </c>
      <c r="M18" s="225">
        <v>44061</v>
      </c>
      <c r="N18" s="225">
        <v>44061</v>
      </c>
      <c r="O18" s="225">
        <v>44064</v>
      </c>
      <c r="P18" s="225">
        <v>44064</v>
      </c>
      <c r="Q18" s="225">
        <v>44064</v>
      </c>
      <c r="R18" s="225">
        <v>44067</v>
      </c>
      <c r="S18" s="225">
        <v>44069</v>
      </c>
      <c r="T18" s="225">
        <v>44069</v>
      </c>
      <c r="U18" s="225">
        <v>44071</v>
      </c>
      <c r="V18" s="225">
        <v>44071</v>
      </c>
      <c r="W18" s="226"/>
      <c r="X18" s="226"/>
      <c r="Y18" s="226"/>
      <c r="Z18" s="107"/>
      <c r="AB18" s="109">
        <f>_xlfn.DAYS(AA18,B18)</f>
        <v>-44050</v>
      </c>
      <c r="AC18" s="107">
        <f>(9/22+8/19)/2%</f>
        <v>41.507177033492823</v>
      </c>
      <c r="AD18" s="107">
        <v>1144.5</v>
      </c>
      <c r="AE18" s="107">
        <v>211.5</v>
      </c>
      <c r="AF18" s="107">
        <v>126.5</v>
      </c>
      <c r="AG18" s="107">
        <f>COUNTIFS(F:F,"Culled",A:A,LEFT(A18,LEN(A18)-3)&amp;"*")/COUNTIF(A:A,LEFT(A18,LEN(A18)-3)&amp;"*")*100</f>
        <v>0</v>
      </c>
      <c r="AH18" s="108">
        <f>(AD18-AF18)/(D18*$K$1*2)%</f>
        <v>11.568181818181818</v>
      </c>
      <c r="AI18" s="108">
        <f>(AE18+AF18)/(D18*$K$1*2)%</f>
        <v>3.8409090909090908</v>
      </c>
    </row>
    <row r="19" spans="1:47" ht="12.75" hidden="1">
      <c r="A19" s="107" t="s">
        <v>284</v>
      </c>
      <c r="B19" s="226">
        <v>44050</v>
      </c>
      <c r="C19" s="224">
        <v>10000</v>
      </c>
      <c r="D19" s="107">
        <f>COUNTA(G19:Z19)*0.5</f>
        <v>8</v>
      </c>
      <c r="F19" s="107" t="s">
        <v>263</v>
      </c>
      <c r="G19" s="225">
        <v>44050</v>
      </c>
      <c r="H19" s="225">
        <v>44050</v>
      </c>
      <c r="I19" s="225">
        <v>44050</v>
      </c>
      <c r="J19" s="225">
        <v>44055</v>
      </c>
      <c r="K19" s="225">
        <v>44056</v>
      </c>
      <c r="L19" s="225">
        <v>44057</v>
      </c>
      <c r="M19" s="225">
        <v>44061</v>
      </c>
      <c r="N19" s="225">
        <v>44061</v>
      </c>
      <c r="O19" s="225">
        <v>44064</v>
      </c>
      <c r="P19" s="225">
        <v>44064</v>
      </c>
      <c r="Q19" s="225">
        <v>44064</v>
      </c>
      <c r="R19" s="225">
        <v>44067</v>
      </c>
      <c r="S19" s="225">
        <v>44069</v>
      </c>
      <c r="T19" s="225">
        <v>44069</v>
      </c>
      <c r="U19" s="225">
        <v>44071</v>
      </c>
      <c r="V19" s="225">
        <v>44071</v>
      </c>
      <c r="W19" s="226"/>
      <c r="X19" s="226"/>
      <c r="Y19" s="226"/>
      <c r="Z19" s="107"/>
      <c r="AB19" s="109">
        <f>_xlfn.DAYS(AA19,B19)</f>
        <v>-44050</v>
      </c>
      <c r="AG19" s="107">
        <f>COUNTIFS(F:F,"Culled",A:A,LEFT(A19,LEN(A19)-3)&amp;"*")/COUNTIF(A:A,LEFT(A19,LEN(A19)-3)&amp;"*")*100</f>
        <v>0</v>
      </c>
      <c r="AH19" s="108">
        <f>(AD19-AF19)/(D19*$K$1*2)%</f>
        <v>0</v>
      </c>
      <c r="AI19" s="108">
        <f>(AE19+AF19)/(D19*$K$1*2)%</f>
        <v>0</v>
      </c>
    </row>
    <row r="20" spans="1:47" ht="12.75" hidden="1">
      <c r="A20" s="107" t="s">
        <v>285</v>
      </c>
      <c r="B20" s="226">
        <v>44050</v>
      </c>
      <c r="C20" s="224">
        <v>10000</v>
      </c>
      <c r="D20" s="107">
        <f>COUNTA(G20:Z20)*0.5</f>
        <v>8</v>
      </c>
      <c r="F20" s="107" t="s">
        <v>263</v>
      </c>
      <c r="G20" s="225">
        <v>44050</v>
      </c>
      <c r="H20" s="225">
        <v>44050</v>
      </c>
      <c r="I20" s="225">
        <v>44050</v>
      </c>
      <c r="J20" s="225">
        <v>44055</v>
      </c>
      <c r="K20" s="225">
        <v>44056</v>
      </c>
      <c r="L20" s="225">
        <v>44057</v>
      </c>
      <c r="M20" s="225">
        <v>44061</v>
      </c>
      <c r="N20" s="225">
        <v>44061</v>
      </c>
      <c r="O20" s="225">
        <v>44064</v>
      </c>
      <c r="P20" s="225">
        <v>44064</v>
      </c>
      <c r="Q20" s="225">
        <v>44064</v>
      </c>
      <c r="R20" s="225">
        <v>44067</v>
      </c>
      <c r="S20" s="225">
        <v>44069</v>
      </c>
      <c r="T20" s="225">
        <v>44069</v>
      </c>
      <c r="U20" s="225">
        <v>44071</v>
      </c>
      <c r="V20" s="225">
        <v>44071</v>
      </c>
      <c r="W20" s="226"/>
      <c r="X20" s="226"/>
      <c r="Y20" s="226"/>
      <c r="Z20" s="107"/>
      <c r="AB20" s="109">
        <f>_xlfn.DAYS(AA20,B20)</f>
        <v>-44050</v>
      </c>
      <c r="AG20" s="107">
        <f>COUNTIFS(F:F,"Culled",A:A,LEFT(A20,LEN(A20)-3)&amp;"*")/COUNTIF(A:A,LEFT(A20,LEN(A20)-3)&amp;"*")*100</f>
        <v>0</v>
      </c>
      <c r="AH20" s="108">
        <f>(AD20-AF20)/(D20*$K$1*2)%</f>
        <v>0</v>
      </c>
      <c r="AI20" s="108">
        <f>(AE20+AF20)/(D20*$K$1*2)%</f>
        <v>0</v>
      </c>
    </row>
    <row r="21" spans="1:47" ht="12.75" hidden="1">
      <c r="A21" s="110" t="s">
        <v>286</v>
      </c>
      <c r="B21" s="229">
        <v>43900</v>
      </c>
      <c r="C21" s="110">
        <v>10000</v>
      </c>
      <c r="D21" s="110">
        <v>9</v>
      </c>
      <c r="E21" s="110"/>
      <c r="F21" s="107" t="s">
        <v>263</v>
      </c>
      <c r="G21" s="107"/>
      <c r="H21" s="107"/>
      <c r="I21" s="107"/>
      <c r="J21" s="107"/>
      <c r="K21" s="107"/>
      <c r="L21" s="107"/>
      <c r="M21" s="107"/>
      <c r="N21" s="107"/>
      <c r="O21" s="107"/>
      <c r="P21" s="107"/>
      <c r="Q21" s="107"/>
      <c r="R21" s="107"/>
      <c r="S21" s="107"/>
      <c r="T21" s="107"/>
      <c r="U21" s="107"/>
      <c r="V21" s="107"/>
      <c r="W21" s="107"/>
      <c r="X21" s="107"/>
      <c r="Y21" s="107"/>
      <c r="Z21" s="107"/>
      <c r="AA21" s="167">
        <v>43921</v>
      </c>
      <c r="AB21" s="109">
        <f>_xlfn.DAYS(AA21,B21)</f>
        <v>21</v>
      </c>
      <c r="AC21" s="110">
        <v>20</v>
      </c>
      <c r="AD21" s="110">
        <v>1469</v>
      </c>
      <c r="AE21" s="110">
        <v>295</v>
      </c>
      <c r="AF21" s="110">
        <v>166</v>
      </c>
      <c r="AG21" s="10">
        <v>0</v>
      </c>
      <c r="AH21" s="108">
        <f>(AD21-AF21)/(D21*$K$1*2)%</f>
        <v>13.161616161616161</v>
      </c>
      <c r="AI21" s="108">
        <f>(AE21+AF21)/(D21*$K$1*2)%</f>
        <v>4.6565656565656566</v>
      </c>
    </row>
    <row r="22" spans="1:47" ht="12.75" hidden="1">
      <c r="A22" s="110" t="s">
        <v>287</v>
      </c>
      <c r="B22" s="229">
        <v>43900</v>
      </c>
      <c r="C22" s="110">
        <v>10000</v>
      </c>
      <c r="D22" s="110">
        <v>9</v>
      </c>
      <c r="E22" s="110"/>
      <c r="F22" s="107" t="s">
        <v>263</v>
      </c>
      <c r="G22" s="107"/>
      <c r="H22" s="107"/>
      <c r="I22" s="107"/>
      <c r="J22" s="107"/>
      <c r="K22" s="107"/>
      <c r="L22" s="107"/>
      <c r="M22" s="107"/>
      <c r="N22" s="107"/>
      <c r="O22" s="107"/>
      <c r="P22" s="107"/>
      <c r="Q22" s="107"/>
      <c r="R22" s="107"/>
      <c r="S22" s="107"/>
      <c r="T22" s="107"/>
      <c r="U22" s="107"/>
      <c r="V22" s="107"/>
      <c r="W22" s="107"/>
      <c r="X22" s="107"/>
      <c r="Y22" s="107"/>
      <c r="Z22" s="107"/>
      <c r="AA22" s="167">
        <v>43921</v>
      </c>
      <c r="AB22" s="109">
        <f>_xlfn.DAYS(AA22,B22)</f>
        <v>21</v>
      </c>
      <c r="AC22" s="110">
        <v>30</v>
      </c>
      <c r="AD22" s="110">
        <v>1438</v>
      </c>
      <c r="AE22" s="110">
        <v>283</v>
      </c>
      <c r="AF22" s="110">
        <v>101</v>
      </c>
      <c r="AG22" s="10">
        <v>0</v>
      </c>
      <c r="AH22" s="108">
        <f>(AD22-AF22)/(D22*$K$1*2)%</f>
        <v>13.505050505050505</v>
      </c>
      <c r="AI22" s="108">
        <f>(AE22+AF22)/(D22*$K$1*2)%</f>
        <v>3.8787878787878789</v>
      </c>
    </row>
    <row r="23" spans="1:47" ht="12.75" hidden="1">
      <c r="A23" s="110" t="s">
        <v>288</v>
      </c>
      <c r="B23" s="229">
        <v>43900</v>
      </c>
      <c r="C23" s="110">
        <v>10000</v>
      </c>
      <c r="D23" s="110">
        <v>9</v>
      </c>
      <c r="E23" s="110"/>
      <c r="F23" s="107" t="s">
        <v>263</v>
      </c>
      <c r="G23" s="107"/>
      <c r="H23" s="107"/>
      <c r="I23" s="107"/>
      <c r="J23" s="107"/>
      <c r="K23" s="107"/>
      <c r="L23" s="107"/>
      <c r="M23" s="107"/>
      <c r="N23" s="107"/>
      <c r="O23" s="107"/>
      <c r="P23" s="107"/>
      <c r="Q23" s="107"/>
      <c r="R23" s="107"/>
      <c r="S23" s="107"/>
      <c r="T23" s="107"/>
      <c r="U23" s="107"/>
      <c r="V23" s="107"/>
      <c r="W23" s="107"/>
      <c r="X23" s="107"/>
      <c r="Y23" s="107"/>
      <c r="Z23" s="107"/>
      <c r="AA23" s="167">
        <v>43922</v>
      </c>
      <c r="AB23" s="109">
        <f>_xlfn.DAYS(AA23,B23)</f>
        <v>22</v>
      </c>
      <c r="AC23" s="110">
        <v>36</v>
      </c>
      <c r="AD23" s="110">
        <v>1343</v>
      </c>
      <c r="AE23" s="110">
        <v>273</v>
      </c>
      <c r="AF23" s="110">
        <v>124.5</v>
      </c>
      <c r="AG23" s="10">
        <v>0</v>
      </c>
      <c r="AH23" s="108">
        <f>(AD23-AF23)/(D23*$K$1*2)%</f>
        <v>12.308080808080808</v>
      </c>
      <c r="AI23" s="108">
        <f>(AE23+AF23)/(D23*$K$1*2)%</f>
        <v>4.0151515151515156</v>
      </c>
    </row>
    <row r="24" spans="1:47" ht="12.75" hidden="1">
      <c r="A24" s="110" t="s">
        <v>289</v>
      </c>
      <c r="B24" s="229">
        <v>43900</v>
      </c>
      <c r="C24" s="110">
        <v>10000</v>
      </c>
      <c r="D24" s="110">
        <v>9</v>
      </c>
      <c r="E24" s="110"/>
      <c r="F24" s="107" t="s">
        <v>263</v>
      </c>
      <c r="G24" s="107"/>
      <c r="H24" s="107"/>
      <c r="I24" s="107"/>
      <c r="J24" s="107"/>
      <c r="K24" s="107"/>
      <c r="L24" s="107"/>
      <c r="M24" s="107"/>
      <c r="N24" s="107"/>
      <c r="O24" s="107"/>
      <c r="P24" s="107"/>
      <c r="Q24" s="107"/>
      <c r="R24" s="107"/>
      <c r="S24" s="107"/>
      <c r="T24" s="107"/>
      <c r="U24" s="107"/>
      <c r="V24" s="107"/>
      <c r="W24" s="107"/>
      <c r="X24" s="107"/>
      <c r="Y24" s="107"/>
      <c r="Z24" s="107"/>
      <c r="AA24" s="167">
        <v>43921</v>
      </c>
      <c r="AB24" s="109">
        <f>_xlfn.DAYS(AA24,B24)</f>
        <v>21</v>
      </c>
      <c r="AC24" s="110">
        <v>30</v>
      </c>
      <c r="AD24" s="110">
        <v>1400.5</v>
      </c>
      <c r="AE24" s="110">
        <v>283</v>
      </c>
      <c r="AF24" s="110">
        <v>123.5</v>
      </c>
      <c r="AG24" s="10">
        <v>0</v>
      </c>
      <c r="AH24" s="108">
        <f>(AD24-AF24)/(D24*$K$1*2)%</f>
        <v>12.8989898989899</v>
      </c>
      <c r="AI24" s="108">
        <f>(AE24+AF24)/(D24*$K$1*2)%</f>
        <v>4.1060606060606064</v>
      </c>
      <c r="AK24" s="110"/>
      <c r="AL24" s="110"/>
      <c r="AM24" s="110"/>
      <c r="AN24" s="110"/>
      <c r="AO24" s="110"/>
      <c r="AP24" s="110"/>
      <c r="AQ24" s="110"/>
      <c r="AR24" s="110"/>
      <c r="AS24" s="110"/>
      <c r="AT24" s="110"/>
      <c r="AU24" s="110"/>
    </row>
    <row r="25" spans="1:47" ht="12.75" hidden="1">
      <c r="A25" s="110" t="s">
        <v>290</v>
      </c>
      <c r="B25" s="229">
        <v>43900</v>
      </c>
      <c r="C25" s="110">
        <v>10000</v>
      </c>
      <c r="D25" s="110">
        <v>9</v>
      </c>
      <c r="E25" s="110"/>
      <c r="F25" s="107" t="s">
        <v>263</v>
      </c>
      <c r="G25" s="107"/>
      <c r="H25" s="107"/>
      <c r="I25" s="107"/>
      <c r="J25" s="107"/>
      <c r="K25" s="107"/>
      <c r="L25" s="107"/>
      <c r="M25" s="107"/>
      <c r="N25" s="107"/>
      <c r="O25" s="107"/>
      <c r="P25" s="107"/>
      <c r="Q25" s="107"/>
      <c r="R25" s="107"/>
      <c r="S25" s="107"/>
      <c r="T25" s="107"/>
      <c r="U25" s="107"/>
      <c r="V25" s="107"/>
      <c r="W25" s="107"/>
      <c r="X25" s="107"/>
      <c r="Y25" s="107"/>
      <c r="Z25" s="107"/>
      <c r="AA25" s="167">
        <v>43922</v>
      </c>
      <c r="AB25" s="109">
        <f>_xlfn.DAYS(AA25,B25)</f>
        <v>22</v>
      </c>
      <c r="AC25" s="110">
        <v>33</v>
      </c>
      <c r="AD25" s="110">
        <v>1316</v>
      </c>
      <c r="AE25" s="110">
        <v>335.5</v>
      </c>
      <c r="AF25" s="110">
        <v>139.5</v>
      </c>
      <c r="AG25" s="10">
        <v>0</v>
      </c>
      <c r="AH25" s="108">
        <f>(AD25-AF25)/(D25*$K$1*2)%</f>
        <v>11.883838383838384</v>
      </c>
      <c r="AI25" s="108">
        <f>(AE25+AF25)/(D25*$K$1*2)%</f>
        <v>4.7979797979797976</v>
      </c>
      <c r="AK25" s="110"/>
      <c r="AL25" s="110"/>
      <c r="AM25" s="110"/>
      <c r="AN25" s="110"/>
      <c r="AO25" s="110"/>
      <c r="AP25" s="110"/>
      <c r="AQ25" s="110"/>
      <c r="AR25" s="110"/>
      <c r="AS25" s="110"/>
      <c r="AT25" s="110"/>
      <c r="AU25" s="110"/>
    </row>
    <row r="26" spans="1:47" ht="12.75" hidden="1">
      <c r="A26" s="110" t="s">
        <v>291</v>
      </c>
      <c r="B26" s="229">
        <v>43900</v>
      </c>
      <c r="C26" s="110">
        <v>10000</v>
      </c>
      <c r="D26" s="110">
        <v>9</v>
      </c>
      <c r="E26" s="110"/>
      <c r="F26" s="107" t="s">
        <v>263</v>
      </c>
      <c r="G26" s="107"/>
      <c r="H26" s="107"/>
      <c r="I26" s="107"/>
      <c r="J26" s="107"/>
      <c r="K26" s="107"/>
      <c r="L26" s="107"/>
      <c r="M26" s="107"/>
      <c r="N26" s="107"/>
      <c r="O26" s="107"/>
      <c r="P26" s="107"/>
      <c r="Q26" s="107"/>
      <c r="R26" s="107"/>
      <c r="S26" s="107"/>
      <c r="T26" s="107"/>
      <c r="U26" s="107"/>
      <c r="V26" s="107"/>
      <c r="W26" s="107"/>
      <c r="X26" s="107"/>
      <c r="Y26" s="107"/>
      <c r="Z26" s="107"/>
      <c r="AA26" s="167">
        <v>43922</v>
      </c>
      <c r="AB26" s="109">
        <f>_xlfn.DAYS(AA26,B26)</f>
        <v>22</v>
      </c>
      <c r="AC26" s="110">
        <v>29</v>
      </c>
      <c r="AD26" s="110">
        <v>1175.5</v>
      </c>
      <c r="AE26" s="110">
        <v>347</v>
      </c>
      <c r="AF26" s="110">
        <v>96.5</v>
      </c>
      <c r="AG26" s="10">
        <v>0</v>
      </c>
      <c r="AH26" s="108">
        <f>(AD26-AF26)/(D26*$K$1*2)%</f>
        <v>10.8989898989899</v>
      </c>
      <c r="AI26" s="108">
        <f>(AE26+AF26)/(D26*$K$1*2)%</f>
        <v>4.4797979797979801</v>
      </c>
      <c r="AK26" s="110"/>
      <c r="AL26" s="110"/>
      <c r="AM26" s="110"/>
      <c r="AN26" s="110"/>
      <c r="AO26" s="110"/>
      <c r="AP26" s="110"/>
      <c r="AQ26" s="110"/>
      <c r="AR26" s="110"/>
      <c r="AS26" s="110"/>
      <c r="AT26" s="110"/>
      <c r="AU26" s="110"/>
    </row>
    <row r="27" spans="1:47" ht="12.75" hidden="1">
      <c r="A27" s="110" t="s">
        <v>292</v>
      </c>
      <c r="B27" s="229">
        <v>43900</v>
      </c>
      <c r="C27" s="110">
        <v>10000</v>
      </c>
      <c r="D27" s="110">
        <v>9</v>
      </c>
      <c r="E27" s="110"/>
      <c r="F27" s="107" t="s">
        <v>263</v>
      </c>
      <c r="G27" s="107"/>
      <c r="H27" s="107"/>
      <c r="I27" s="107"/>
      <c r="J27" s="107"/>
      <c r="K27" s="107"/>
      <c r="L27" s="107"/>
      <c r="M27" s="107"/>
      <c r="N27" s="107"/>
      <c r="O27" s="107"/>
      <c r="P27" s="107"/>
      <c r="Q27" s="107"/>
      <c r="R27" s="107"/>
      <c r="S27" s="107"/>
      <c r="T27" s="107"/>
      <c r="U27" s="107"/>
      <c r="V27" s="107"/>
      <c r="W27" s="107"/>
      <c r="X27" s="107"/>
      <c r="Y27" s="107"/>
      <c r="Z27" s="107"/>
      <c r="AA27" s="167">
        <v>43921</v>
      </c>
      <c r="AB27" s="109">
        <f>_xlfn.DAYS(AA27,B27)</f>
        <v>21</v>
      </c>
      <c r="AC27" s="110">
        <v>30</v>
      </c>
      <c r="AD27" s="110">
        <v>1322</v>
      </c>
      <c r="AE27" s="110">
        <v>352</v>
      </c>
      <c r="AF27" s="110">
        <v>128</v>
      </c>
      <c r="AG27" s="10">
        <v>0</v>
      </c>
      <c r="AH27" s="108">
        <f>(AD27-AF27)/(D27*$K$1*2)%</f>
        <v>12.060606060606061</v>
      </c>
      <c r="AI27" s="108">
        <f>(AE27+AF27)/(D27*$K$1*2)%</f>
        <v>4.8484848484848486</v>
      </c>
      <c r="AK27" s="110"/>
      <c r="AL27" s="110"/>
      <c r="AM27" s="110"/>
      <c r="AN27" s="110"/>
      <c r="AO27" s="110"/>
      <c r="AP27" s="110"/>
      <c r="AQ27" s="110"/>
      <c r="AR27" s="110"/>
      <c r="AS27" s="110"/>
      <c r="AT27" s="110"/>
      <c r="AU27" s="110"/>
    </row>
    <row r="28" spans="1:47" ht="12.75" hidden="1">
      <c r="A28" s="110" t="s">
        <v>293</v>
      </c>
      <c r="B28" s="229">
        <v>43900</v>
      </c>
      <c r="C28" s="110">
        <v>10000</v>
      </c>
      <c r="D28" s="110">
        <v>9</v>
      </c>
      <c r="E28" s="110"/>
      <c r="F28" s="107" t="s">
        <v>263</v>
      </c>
      <c r="G28" s="107"/>
      <c r="H28" s="107"/>
      <c r="I28" s="107"/>
      <c r="J28" s="107"/>
      <c r="K28" s="107"/>
      <c r="L28" s="107"/>
      <c r="M28" s="107"/>
      <c r="N28" s="107"/>
      <c r="O28" s="107"/>
      <c r="P28" s="107"/>
      <c r="Q28" s="107"/>
      <c r="R28" s="107"/>
      <c r="S28" s="107"/>
      <c r="T28" s="107"/>
      <c r="U28" s="107"/>
      <c r="V28" s="107"/>
      <c r="W28" s="107"/>
      <c r="X28" s="107"/>
      <c r="Y28" s="107"/>
      <c r="Z28" s="107"/>
      <c r="AA28" s="167">
        <v>43922</v>
      </c>
      <c r="AB28" s="109">
        <f>_xlfn.DAYS(AA28,B28)</f>
        <v>22</v>
      </c>
      <c r="AC28" s="110">
        <v>32</v>
      </c>
      <c r="AD28" s="110">
        <v>1312</v>
      </c>
      <c r="AE28" s="110">
        <v>268.5</v>
      </c>
      <c r="AF28" s="110">
        <v>125</v>
      </c>
      <c r="AG28" s="10">
        <v>0</v>
      </c>
      <c r="AH28" s="108">
        <f>(AD28-AF28)/(D28*$K$1*2)%</f>
        <v>11.98989898989899</v>
      </c>
      <c r="AI28" s="108">
        <f>(AE28+AF28)/(D28*$K$1*2)%</f>
        <v>3.9747474747474749</v>
      </c>
      <c r="AK28" s="110"/>
      <c r="AL28" s="110"/>
      <c r="AM28" s="110"/>
      <c r="AN28" s="110"/>
      <c r="AO28" s="110"/>
      <c r="AP28" s="110"/>
      <c r="AQ28" s="110"/>
      <c r="AR28" s="110"/>
      <c r="AS28" s="110"/>
      <c r="AT28" s="110"/>
      <c r="AU28" s="110"/>
    </row>
    <row r="29" spans="1:47" ht="12.75" hidden="1">
      <c r="A29" s="110" t="s">
        <v>294</v>
      </c>
      <c r="B29" s="229">
        <v>43900</v>
      </c>
      <c r="C29" s="110">
        <v>10000</v>
      </c>
      <c r="D29" s="110">
        <v>9</v>
      </c>
      <c r="E29" s="110"/>
      <c r="F29" s="107" t="s">
        <v>263</v>
      </c>
      <c r="G29" s="107"/>
      <c r="H29" s="107"/>
      <c r="I29" s="107"/>
      <c r="J29" s="107"/>
      <c r="K29" s="107"/>
      <c r="L29" s="107"/>
      <c r="M29" s="107"/>
      <c r="N29" s="107"/>
      <c r="O29" s="107"/>
      <c r="P29" s="107"/>
      <c r="Q29" s="107"/>
      <c r="R29" s="107"/>
      <c r="S29" s="107"/>
      <c r="T29" s="107"/>
      <c r="U29" s="107"/>
      <c r="V29" s="107"/>
      <c r="W29" s="107"/>
      <c r="X29" s="107"/>
      <c r="Y29" s="107"/>
      <c r="Z29" s="107"/>
      <c r="AA29" s="167">
        <v>43921</v>
      </c>
      <c r="AB29" s="109">
        <f>_xlfn.DAYS(AA29,B29)</f>
        <v>21</v>
      </c>
      <c r="AC29" s="110">
        <v>60</v>
      </c>
      <c r="AD29" s="110">
        <v>1389.5</v>
      </c>
      <c r="AE29" s="110">
        <v>290</v>
      </c>
      <c r="AF29" s="110">
        <v>200.5</v>
      </c>
      <c r="AG29" s="10">
        <v>0</v>
      </c>
      <c r="AH29" s="108">
        <f>(AD29-AF29)/(D29*$K$1*2)%</f>
        <v>12.01010101010101</v>
      </c>
      <c r="AI29" s="108">
        <f>(AE29+AF29)/(D29*$K$1*2)%</f>
        <v>4.9545454545454541</v>
      </c>
      <c r="AK29" s="110"/>
      <c r="AL29" s="110"/>
      <c r="AM29" s="110"/>
      <c r="AN29" s="110"/>
      <c r="AO29" s="110"/>
      <c r="AP29" s="110"/>
      <c r="AQ29" s="110"/>
      <c r="AR29" s="110"/>
      <c r="AS29" s="110"/>
      <c r="AT29" s="110"/>
      <c r="AU29" s="110"/>
    </row>
    <row r="30" spans="1:47" ht="12.75" hidden="1">
      <c r="A30" s="110" t="s">
        <v>295</v>
      </c>
      <c r="B30" s="229">
        <v>43900</v>
      </c>
      <c r="C30" s="110">
        <v>10000</v>
      </c>
      <c r="D30" s="110">
        <v>9</v>
      </c>
      <c r="E30" s="110"/>
      <c r="F30" s="107" t="s">
        <v>263</v>
      </c>
      <c r="G30" s="107"/>
      <c r="H30" s="107"/>
      <c r="I30" s="107"/>
      <c r="J30" s="107"/>
      <c r="K30" s="107"/>
      <c r="L30" s="107"/>
      <c r="M30" s="107"/>
      <c r="N30" s="107"/>
      <c r="O30" s="107"/>
      <c r="P30" s="107"/>
      <c r="Q30" s="107"/>
      <c r="R30" s="107"/>
      <c r="S30" s="107"/>
      <c r="T30" s="107"/>
      <c r="U30" s="107"/>
      <c r="V30" s="107"/>
      <c r="W30" s="107"/>
      <c r="X30" s="107"/>
      <c r="Y30" s="107"/>
      <c r="Z30" s="107"/>
      <c r="AA30" s="167">
        <v>43922</v>
      </c>
      <c r="AB30" s="109">
        <f>_xlfn.DAYS(AA30,B30)</f>
        <v>22</v>
      </c>
      <c r="AC30" s="110">
        <v>24</v>
      </c>
      <c r="AD30" s="110">
        <v>1308.5</v>
      </c>
      <c r="AE30" s="110">
        <v>330</v>
      </c>
      <c r="AF30" s="110">
        <v>152.5</v>
      </c>
      <c r="AG30" s="10">
        <v>0</v>
      </c>
      <c r="AH30" s="108">
        <f>(AD30-AF30)/(D30*$K$1*2)%</f>
        <v>11.676767676767676</v>
      </c>
      <c r="AI30" s="108">
        <f>(AE30+AF30)/(D30*$K$1*2)%</f>
        <v>4.8737373737373737</v>
      </c>
      <c r="AK30" s="110"/>
      <c r="AL30" s="110"/>
      <c r="AM30" s="110"/>
      <c r="AN30" s="110"/>
      <c r="AO30" s="110"/>
      <c r="AP30" s="110"/>
      <c r="AQ30" s="110"/>
      <c r="AR30" s="110"/>
      <c r="AS30" s="110"/>
      <c r="AT30" s="110"/>
      <c r="AU30" s="110"/>
    </row>
    <row r="31" spans="1:47" ht="12.75" hidden="1">
      <c r="A31" s="110" t="s">
        <v>296</v>
      </c>
      <c r="B31" s="229">
        <v>43900</v>
      </c>
      <c r="C31" s="110">
        <v>10000</v>
      </c>
      <c r="D31" s="110">
        <v>9</v>
      </c>
      <c r="E31" s="110"/>
      <c r="F31" s="107" t="s">
        <v>263</v>
      </c>
      <c r="G31" s="107"/>
      <c r="H31" s="107"/>
      <c r="I31" s="107"/>
      <c r="J31" s="107"/>
      <c r="K31" s="107"/>
      <c r="L31" s="107"/>
      <c r="M31" s="107"/>
      <c r="N31" s="107"/>
      <c r="O31" s="107"/>
      <c r="P31" s="107"/>
      <c r="Q31" s="107"/>
      <c r="R31" s="107"/>
      <c r="S31" s="107"/>
      <c r="T31" s="107"/>
      <c r="U31" s="107"/>
      <c r="V31" s="107"/>
      <c r="W31" s="107"/>
      <c r="X31" s="107"/>
      <c r="Y31" s="107"/>
      <c r="Z31" s="107"/>
      <c r="AA31" s="167">
        <v>43921</v>
      </c>
      <c r="AB31" s="109">
        <f>_xlfn.DAYS(AA31,B31)</f>
        <v>21</v>
      </c>
      <c r="AC31" s="110">
        <v>20</v>
      </c>
      <c r="AD31" s="110">
        <v>1291</v>
      </c>
      <c r="AE31" s="110">
        <v>339.5</v>
      </c>
      <c r="AF31" s="110">
        <v>117.5</v>
      </c>
      <c r="AG31" s="10">
        <v>0</v>
      </c>
      <c r="AH31" s="108">
        <f>(AD31-AF31)/(D31*$K$1*2)%</f>
        <v>11.853535353535353</v>
      </c>
      <c r="AI31" s="108">
        <f>(AE31+AF31)/(D31*$K$1*2)%</f>
        <v>4.6161616161616159</v>
      </c>
      <c r="AK31" s="110"/>
      <c r="AL31" s="110"/>
      <c r="AM31" s="110"/>
      <c r="AN31" s="110"/>
      <c r="AO31" s="110"/>
      <c r="AP31" s="110"/>
      <c r="AQ31" s="110"/>
      <c r="AR31" s="110"/>
      <c r="AS31" s="110"/>
      <c r="AT31" s="110"/>
      <c r="AU31" s="110"/>
    </row>
    <row r="32" spans="1:47" ht="12.75" hidden="1">
      <c r="A32" s="110" t="s">
        <v>297</v>
      </c>
      <c r="B32" s="229">
        <v>43900</v>
      </c>
      <c r="C32" s="110">
        <v>10000</v>
      </c>
      <c r="D32" s="110">
        <v>9</v>
      </c>
      <c r="E32" s="110"/>
      <c r="F32" s="107" t="s">
        <v>263</v>
      </c>
      <c r="G32" s="107"/>
      <c r="H32" s="107"/>
      <c r="I32" s="107"/>
      <c r="J32" s="107"/>
      <c r="K32" s="107"/>
      <c r="L32" s="107"/>
      <c r="M32" s="107"/>
      <c r="N32" s="107"/>
      <c r="O32" s="107"/>
      <c r="P32" s="107"/>
      <c r="Q32" s="107"/>
      <c r="R32" s="107"/>
      <c r="S32" s="107"/>
      <c r="T32" s="107"/>
      <c r="U32" s="107"/>
      <c r="V32" s="107"/>
      <c r="W32" s="107"/>
      <c r="X32" s="107"/>
      <c r="Y32" s="107"/>
      <c r="Z32" s="107"/>
      <c r="AA32" s="167">
        <v>43921</v>
      </c>
      <c r="AB32" s="109">
        <f>_xlfn.DAYS(AA32,B32)</f>
        <v>21</v>
      </c>
      <c r="AC32" s="110">
        <v>30</v>
      </c>
      <c r="AD32" s="110">
        <v>1400</v>
      </c>
      <c r="AE32" s="110">
        <v>302</v>
      </c>
      <c r="AF32" s="110">
        <v>110</v>
      </c>
      <c r="AG32" s="10">
        <v>0</v>
      </c>
      <c r="AH32" s="108">
        <f>(AD32-AF32)/(D32*$K$1*2)%</f>
        <v>13.030303030303031</v>
      </c>
      <c r="AI32" s="108">
        <f>(AE32+AF32)/(D32*$K$1*2)%</f>
        <v>4.1616161616161618</v>
      </c>
      <c r="AK32" s="110"/>
      <c r="AL32" s="110"/>
      <c r="AM32" s="110"/>
      <c r="AN32" s="110"/>
      <c r="AO32" s="110"/>
      <c r="AP32" s="110"/>
      <c r="AQ32" s="110"/>
      <c r="AR32" s="110"/>
      <c r="AS32" s="110"/>
      <c r="AT32" s="110"/>
      <c r="AU32" s="110"/>
    </row>
    <row r="33" spans="1:47" ht="12.75" hidden="1">
      <c r="A33" s="110" t="s">
        <v>298</v>
      </c>
      <c r="B33" s="229">
        <v>43900</v>
      </c>
      <c r="C33" s="110">
        <v>10000</v>
      </c>
      <c r="D33" s="110">
        <v>9</v>
      </c>
      <c r="E33" s="110"/>
      <c r="F33" s="107" t="s">
        <v>263</v>
      </c>
      <c r="G33" s="107"/>
      <c r="H33" s="107"/>
      <c r="I33" s="107"/>
      <c r="J33" s="107"/>
      <c r="K33" s="107"/>
      <c r="L33" s="107"/>
      <c r="M33" s="107"/>
      <c r="N33" s="107"/>
      <c r="O33" s="107"/>
      <c r="P33" s="107"/>
      <c r="Q33" s="107"/>
      <c r="R33" s="107"/>
      <c r="S33" s="107"/>
      <c r="T33" s="107"/>
      <c r="U33" s="107"/>
      <c r="V33" s="107"/>
      <c r="W33" s="107"/>
      <c r="X33" s="107"/>
      <c r="Y33" s="107"/>
      <c r="Z33" s="107"/>
      <c r="AA33" s="167">
        <v>43921</v>
      </c>
      <c r="AB33" s="109">
        <f>_xlfn.DAYS(AA33,B33)</f>
        <v>21</v>
      </c>
      <c r="AC33" s="110">
        <v>30</v>
      </c>
      <c r="AD33" s="110">
        <v>1331</v>
      </c>
      <c r="AE33" s="110">
        <v>270</v>
      </c>
      <c r="AF33" s="110">
        <v>126</v>
      </c>
      <c r="AG33" s="10">
        <v>0</v>
      </c>
      <c r="AH33" s="108">
        <f>(AD33-AF33)/(D33*$K$1*2)%</f>
        <v>12.171717171717171</v>
      </c>
      <c r="AI33" s="108">
        <f>(AE33+AF33)/(D33*$K$1*2)%</f>
        <v>4</v>
      </c>
      <c r="AK33" s="110"/>
      <c r="AL33" s="110"/>
      <c r="AM33" s="110"/>
      <c r="AN33" s="110"/>
      <c r="AO33" s="110"/>
      <c r="AP33" s="110"/>
      <c r="AQ33" s="110"/>
      <c r="AR33" s="110"/>
      <c r="AS33" s="110"/>
      <c r="AT33" s="110"/>
      <c r="AU33" s="110"/>
    </row>
    <row r="34" spans="1:47" ht="12.75" hidden="1">
      <c r="A34" s="110" t="s">
        <v>299</v>
      </c>
      <c r="B34" s="229">
        <v>43900</v>
      </c>
      <c r="C34" s="110">
        <v>10000</v>
      </c>
      <c r="D34" s="110">
        <v>9</v>
      </c>
      <c r="E34" s="110"/>
      <c r="F34" s="107" t="s">
        <v>263</v>
      </c>
      <c r="G34" s="107"/>
      <c r="H34" s="107"/>
      <c r="I34" s="107"/>
      <c r="J34" s="107"/>
      <c r="K34" s="107"/>
      <c r="L34" s="107"/>
      <c r="M34" s="107"/>
      <c r="N34" s="107"/>
      <c r="O34" s="107"/>
      <c r="P34" s="107"/>
      <c r="Q34" s="107"/>
      <c r="R34" s="107"/>
      <c r="S34" s="107"/>
      <c r="T34" s="107"/>
      <c r="U34" s="107"/>
      <c r="V34" s="107"/>
      <c r="W34" s="107"/>
      <c r="X34" s="107"/>
      <c r="Y34" s="107"/>
      <c r="Z34" s="107"/>
      <c r="AA34" s="167">
        <v>43921</v>
      </c>
      <c r="AB34" s="109">
        <f>_xlfn.DAYS(AA34,B34)</f>
        <v>21</v>
      </c>
      <c r="AC34" s="110">
        <v>30</v>
      </c>
      <c r="AD34" s="110">
        <v>1484.5</v>
      </c>
      <c r="AE34" s="110">
        <v>287</v>
      </c>
      <c r="AF34" s="110">
        <v>197.5</v>
      </c>
      <c r="AG34" s="10">
        <v>0</v>
      </c>
      <c r="AH34" s="108">
        <f>(AD34-AF34)/(D34*$K$1*2)%</f>
        <v>13</v>
      </c>
      <c r="AI34" s="108">
        <f>(AE34+AF34)/(D34*$K$1*2)%</f>
        <v>4.8939393939393936</v>
      </c>
    </row>
    <row r="35" spans="1:47" ht="12.75" hidden="1">
      <c r="A35" s="110" t="s">
        <v>300</v>
      </c>
      <c r="B35" s="229">
        <v>43900</v>
      </c>
      <c r="C35" s="110">
        <v>10000</v>
      </c>
      <c r="D35" s="110">
        <v>9</v>
      </c>
      <c r="E35" s="110"/>
      <c r="F35" s="107" t="s">
        <v>263</v>
      </c>
      <c r="G35" s="107"/>
      <c r="H35" s="107"/>
      <c r="I35" s="107"/>
      <c r="J35" s="107"/>
      <c r="K35" s="107"/>
      <c r="L35" s="107"/>
      <c r="M35" s="107"/>
      <c r="N35" s="107"/>
      <c r="O35" s="107"/>
      <c r="P35" s="107"/>
      <c r="Q35" s="107"/>
      <c r="R35" s="107"/>
      <c r="S35" s="107"/>
      <c r="T35" s="107"/>
      <c r="U35" s="107"/>
      <c r="V35" s="107"/>
      <c r="W35" s="107"/>
      <c r="X35" s="107"/>
      <c r="Y35" s="107"/>
      <c r="Z35" s="107"/>
      <c r="AA35" s="167">
        <v>43922</v>
      </c>
      <c r="AB35" s="109">
        <f>_xlfn.DAYS(AA35,B35)</f>
        <v>22</v>
      </c>
      <c r="AC35" s="110">
        <v>30</v>
      </c>
      <c r="AD35" s="110">
        <v>1290</v>
      </c>
      <c r="AE35" s="110">
        <v>309.5</v>
      </c>
      <c r="AF35" s="110">
        <v>135.5</v>
      </c>
      <c r="AG35" s="10">
        <v>0</v>
      </c>
      <c r="AH35" s="108">
        <f>(AD35-AF35)/(D35*$K$1*2)%</f>
        <v>11.661616161616161</v>
      </c>
      <c r="AI35" s="108">
        <f>(AE35+AF35)/(D35*$K$1*2)%</f>
        <v>4.4949494949494948</v>
      </c>
    </row>
    <row r="36" spans="1:47" ht="12.75" hidden="1">
      <c r="A36" s="110" t="s">
        <v>301</v>
      </c>
      <c r="B36" s="229">
        <v>43900</v>
      </c>
      <c r="C36" s="110">
        <v>10000</v>
      </c>
      <c r="D36" s="110">
        <v>9</v>
      </c>
      <c r="E36" s="110"/>
      <c r="F36" s="107" t="s">
        <v>263</v>
      </c>
      <c r="G36" s="107"/>
      <c r="H36" s="107"/>
      <c r="I36" s="107"/>
      <c r="J36" s="107"/>
      <c r="K36" s="107"/>
      <c r="L36" s="107"/>
      <c r="M36" s="107"/>
      <c r="N36" s="107"/>
      <c r="O36" s="107"/>
      <c r="P36" s="107"/>
      <c r="Q36" s="107"/>
      <c r="R36" s="107"/>
      <c r="S36" s="107"/>
      <c r="T36" s="107"/>
      <c r="U36" s="107"/>
      <c r="V36" s="107"/>
      <c r="W36" s="107"/>
      <c r="X36" s="107"/>
      <c r="Y36" s="107"/>
      <c r="Z36" s="107"/>
      <c r="AA36" s="167">
        <v>43921</v>
      </c>
      <c r="AB36" s="109">
        <f>_xlfn.DAYS(AA36,B36)</f>
        <v>21</v>
      </c>
      <c r="AC36" s="110">
        <v>20</v>
      </c>
      <c r="AD36" s="110">
        <v>1335</v>
      </c>
      <c r="AE36" s="110">
        <v>367</v>
      </c>
      <c r="AF36" s="110">
        <v>159</v>
      </c>
      <c r="AG36" s="10">
        <v>0</v>
      </c>
      <c r="AH36" s="108">
        <f>(AD36-AF36)/(D36*$K$1*2)%</f>
        <v>11.878787878787879</v>
      </c>
      <c r="AI36" s="108">
        <f>(AE36+AF36)/(D36*$K$1*2)%</f>
        <v>5.3131313131313131</v>
      </c>
    </row>
    <row r="37" spans="1:47" ht="12.75" hidden="1">
      <c r="A37" s="110" t="s">
        <v>302</v>
      </c>
      <c r="B37" s="229">
        <v>43903</v>
      </c>
      <c r="C37" s="110">
        <v>10000</v>
      </c>
      <c r="D37" s="110">
        <v>9.5</v>
      </c>
      <c r="E37" s="110"/>
      <c r="F37" s="107" t="s">
        <v>263</v>
      </c>
      <c r="G37" s="107"/>
      <c r="H37" s="107"/>
      <c r="I37" s="107"/>
      <c r="J37" s="107"/>
      <c r="K37" s="107"/>
      <c r="L37" s="107"/>
      <c r="M37" s="107"/>
      <c r="N37" s="107"/>
      <c r="O37" s="107"/>
      <c r="P37" s="107"/>
      <c r="Q37" s="107"/>
      <c r="R37" s="107"/>
      <c r="S37" s="107"/>
      <c r="T37" s="107"/>
      <c r="U37" s="107"/>
      <c r="V37" s="107"/>
      <c r="W37" s="107"/>
      <c r="X37" s="107"/>
      <c r="Y37" s="107"/>
      <c r="Z37" s="107"/>
      <c r="AA37" s="167">
        <v>43927</v>
      </c>
      <c r="AB37" s="109">
        <f>_xlfn.DAYS(AA37,B37)</f>
        <v>24</v>
      </c>
      <c r="AC37" s="110">
        <f>(6/29+3/22+2/20)/3*100</f>
        <v>14.775339602925808</v>
      </c>
      <c r="AD37" s="110">
        <v>1588.5</v>
      </c>
      <c r="AE37" s="110">
        <v>412</v>
      </c>
      <c r="AF37" s="110">
        <v>176</v>
      </c>
      <c r="AG37" s="10">
        <v>0</v>
      </c>
      <c r="AH37" s="108">
        <f>(AD37-AF37)/(D37*$K$1*2)%</f>
        <v>13.516746411483254</v>
      </c>
      <c r="AI37" s="108">
        <f>(AE37+AF37)/(D37*$K$1*2)%</f>
        <v>5.6267942583732058</v>
      </c>
    </row>
    <row r="38" spans="1:47" ht="12.75" hidden="1">
      <c r="A38" s="110" t="s">
        <v>303</v>
      </c>
      <c r="B38" s="229">
        <v>43903</v>
      </c>
      <c r="C38" s="110">
        <v>10000</v>
      </c>
      <c r="D38" s="110">
        <v>8.5</v>
      </c>
      <c r="E38" s="110"/>
      <c r="F38" s="107" t="s">
        <v>263</v>
      </c>
      <c r="G38" s="107"/>
      <c r="H38" s="107"/>
      <c r="I38" s="107"/>
      <c r="J38" s="107"/>
      <c r="K38" s="107"/>
      <c r="L38" s="107"/>
      <c r="M38" s="107"/>
      <c r="N38" s="107"/>
      <c r="O38" s="107"/>
      <c r="P38" s="107"/>
      <c r="Q38" s="107"/>
      <c r="R38" s="107"/>
      <c r="S38" s="107"/>
      <c r="T38" s="107"/>
      <c r="U38" s="107"/>
      <c r="V38" s="107"/>
      <c r="W38" s="107"/>
      <c r="X38" s="107"/>
      <c r="Y38" s="107"/>
      <c r="Z38" s="107"/>
      <c r="AA38" s="167">
        <v>43927</v>
      </c>
      <c r="AB38" s="109">
        <f>_xlfn.DAYS(AA38,B38)</f>
        <v>24</v>
      </c>
      <c r="AC38" s="110">
        <f>(5/23+9/27+7/23)/3*100</f>
        <v>28.502415458937197</v>
      </c>
      <c r="AD38" s="110">
        <v>1373.5</v>
      </c>
      <c r="AE38" s="110">
        <v>384.5</v>
      </c>
      <c r="AF38" s="110">
        <v>184</v>
      </c>
      <c r="AG38" s="10">
        <v>0</v>
      </c>
      <c r="AH38" s="108">
        <f>(AD38-AF38)/(D38*$K$1*2)%</f>
        <v>12.72192513368984</v>
      </c>
      <c r="AI38" s="108">
        <f>(AE38+AF38)/(D38*$K$1*2)%</f>
        <v>6.0802139037433154</v>
      </c>
    </row>
    <row r="39" spans="1:47" ht="12.75" hidden="1">
      <c r="A39" s="110" t="s">
        <v>304</v>
      </c>
      <c r="B39" s="229">
        <v>43903</v>
      </c>
      <c r="C39" s="110">
        <v>10000</v>
      </c>
      <c r="D39" s="110">
        <v>9.5</v>
      </c>
      <c r="E39" s="110"/>
      <c r="F39" s="107" t="s">
        <v>263</v>
      </c>
      <c r="G39" s="107"/>
      <c r="H39" s="107"/>
      <c r="I39" s="107"/>
      <c r="J39" s="107"/>
      <c r="K39" s="107"/>
      <c r="L39" s="107"/>
      <c r="M39" s="107"/>
      <c r="N39" s="107"/>
      <c r="O39" s="107"/>
      <c r="P39" s="107"/>
      <c r="Q39" s="107"/>
      <c r="R39" s="107"/>
      <c r="S39" s="107"/>
      <c r="T39" s="107"/>
      <c r="U39" s="107"/>
      <c r="V39" s="107"/>
      <c r="W39" s="107"/>
      <c r="X39" s="107"/>
      <c r="Y39" s="107"/>
      <c r="Z39" s="107"/>
      <c r="AA39" s="167">
        <v>43927</v>
      </c>
      <c r="AB39" s="109">
        <f>_xlfn.DAYS(AA39,B39)</f>
        <v>24</v>
      </c>
      <c r="AC39" s="110">
        <f>(1/15+6/15+4/28)/3*100</f>
        <v>20.31746031746032</v>
      </c>
      <c r="AD39" s="110">
        <v>1715.5</v>
      </c>
      <c r="AE39" s="110">
        <v>403.5</v>
      </c>
      <c r="AF39" s="110">
        <v>163.5</v>
      </c>
      <c r="AG39" s="10">
        <v>0</v>
      </c>
      <c r="AH39" s="108">
        <f>(AD39-AF39)/(D39*$K$1*2)%</f>
        <v>14.851674641148325</v>
      </c>
      <c r="AI39" s="108">
        <f>(AE39+AF39)/(D39*$K$1*2)%</f>
        <v>5.4258373205741623</v>
      </c>
      <c r="AK39" s="110"/>
      <c r="AL39" s="110"/>
      <c r="AM39" s="110"/>
      <c r="AN39" s="110"/>
      <c r="AO39" s="110"/>
      <c r="AP39" s="110"/>
      <c r="AQ39" s="110"/>
      <c r="AR39" s="110"/>
      <c r="AS39" s="110"/>
      <c r="AT39" s="110"/>
      <c r="AU39" s="110"/>
    </row>
    <row r="40" spans="1:47" ht="12.75" hidden="1">
      <c r="A40" s="110" t="s">
        <v>305</v>
      </c>
      <c r="B40" s="229">
        <v>43903</v>
      </c>
      <c r="C40" s="110">
        <v>10000</v>
      </c>
      <c r="D40" s="110">
        <v>9</v>
      </c>
      <c r="E40" s="110"/>
      <c r="F40" s="107" t="s">
        <v>263</v>
      </c>
      <c r="G40" s="107"/>
      <c r="H40" s="107"/>
      <c r="I40" s="107"/>
      <c r="J40" s="107"/>
      <c r="K40" s="107"/>
      <c r="L40" s="107"/>
      <c r="M40" s="107"/>
      <c r="N40" s="107"/>
      <c r="O40" s="107"/>
      <c r="P40" s="107"/>
      <c r="Q40" s="107"/>
      <c r="R40" s="107"/>
      <c r="S40" s="107"/>
      <c r="T40" s="107"/>
      <c r="U40" s="107"/>
      <c r="V40" s="107"/>
      <c r="W40" s="107"/>
      <c r="X40" s="107"/>
      <c r="Y40" s="107"/>
      <c r="Z40" s="107"/>
      <c r="AA40" s="167">
        <v>43927</v>
      </c>
      <c r="AB40" s="109">
        <f>_xlfn.DAYS(AA40,B40)</f>
        <v>24</v>
      </c>
      <c r="AC40" s="110">
        <f>(4/23+4/25+3/23)/3*100</f>
        <v>15.478260869565219</v>
      </c>
      <c r="AD40" s="110">
        <v>1615</v>
      </c>
      <c r="AE40" s="110">
        <v>406.5</v>
      </c>
      <c r="AF40" s="110">
        <v>138</v>
      </c>
      <c r="AG40" s="10">
        <v>0</v>
      </c>
      <c r="AH40" s="108">
        <f>(AD40-AF40)/(D40*$K$1*2)%</f>
        <v>14.919191919191919</v>
      </c>
      <c r="AI40" s="108">
        <f>(AE40+AF40)/(D40*$K$1*2)%</f>
        <v>5.5</v>
      </c>
      <c r="AK40" s="110"/>
      <c r="AL40" s="110"/>
      <c r="AM40" s="110"/>
      <c r="AN40" s="110"/>
      <c r="AO40" s="110"/>
      <c r="AP40" s="110"/>
      <c r="AQ40" s="110"/>
      <c r="AR40" s="110"/>
      <c r="AS40" s="110"/>
      <c r="AT40" s="110"/>
      <c r="AU40" s="110"/>
    </row>
    <row r="41" spans="1:47" ht="12.75" hidden="1">
      <c r="A41" s="110" t="s">
        <v>306</v>
      </c>
      <c r="B41" s="229">
        <v>43903</v>
      </c>
      <c r="C41" s="110">
        <v>10000</v>
      </c>
      <c r="D41" s="110">
        <v>9</v>
      </c>
      <c r="E41" s="110"/>
      <c r="F41" s="107" t="s">
        <v>263</v>
      </c>
      <c r="G41" s="107"/>
      <c r="H41" s="107"/>
      <c r="I41" s="107"/>
      <c r="J41" s="107"/>
      <c r="K41" s="107"/>
      <c r="L41" s="107"/>
      <c r="M41" s="107"/>
      <c r="N41" s="107"/>
      <c r="O41" s="107"/>
      <c r="P41" s="107"/>
      <c r="Q41" s="107"/>
      <c r="R41" s="107"/>
      <c r="S41" s="107"/>
      <c r="T41" s="107"/>
      <c r="U41" s="107"/>
      <c r="V41" s="107"/>
      <c r="W41" s="107"/>
      <c r="X41" s="107"/>
      <c r="Y41" s="107"/>
      <c r="Z41" s="107"/>
      <c r="AA41" s="167">
        <v>43927</v>
      </c>
      <c r="AB41" s="109">
        <f>_xlfn.DAYS(AA41,B41)</f>
        <v>24</v>
      </c>
      <c r="AC41" s="110">
        <f>((7/29)+(3/23)+(4/20))/3*100</f>
        <v>19.060469765117443</v>
      </c>
      <c r="AD41" s="110">
        <v>1620.5</v>
      </c>
      <c r="AE41" s="110">
        <v>369</v>
      </c>
      <c r="AF41" s="110">
        <v>132</v>
      </c>
      <c r="AG41" s="10">
        <v>0</v>
      </c>
      <c r="AH41" s="108">
        <f>(AD41-AF41)/(D41*$K$1*2)%</f>
        <v>15.035353535353535</v>
      </c>
      <c r="AI41" s="108">
        <f>(AE41+AF41)/(D41*$K$1*2)%</f>
        <v>5.0606060606060606</v>
      </c>
      <c r="AK41" s="110"/>
      <c r="AL41" s="110"/>
      <c r="AM41" s="110"/>
      <c r="AN41" s="110"/>
      <c r="AO41" s="110"/>
      <c r="AP41" s="110"/>
      <c r="AQ41" s="110"/>
      <c r="AR41" s="110"/>
      <c r="AS41" s="110"/>
      <c r="AT41" s="110"/>
      <c r="AU41" s="110"/>
    </row>
    <row r="42" spans="1:47" ht="12.75" hidden="1">
      <c r="A42" s="110" t="s">
        <v>307</v>
      </c>
      <c r="B42" s="229">
        <v>43908</v>
      </c>
      <c r="C42" s="110">
        <v>10000</v>
      </c>
      <c r="D42" s="110">
        <v>6.5</v>
      </c>
      <c r="E42" s="110"/>
      <c r="F42" s="107" t="s">
        <v>263</v>
      </c>
      <c r="G42" s="107"/>
      <c r="H42" s="107"/>
      <c r="I42" s="107"/>
      <c r="J42" s="107"/>
      <c r="K42" s="107"/>
      <c r="L42" s="107"/>
      <c r="M42" s="107"/>
      <c r="N42" s="107"/>
      <c r="O42" s="107"/>
      <c r="P42" s="107"/>
      <c r="Q42" s="107"/>
      <c r="R42" s="107"/>
      <c r="S42" s="107"/>
      <c r="T42" s="107"/>
      <c r="U42" s="107"/>
      <c r="V42" s="107"/>
      <c r="W42" s="107"/>
      <c r="X42" s="107"/>
      <c r="Y42" s="107"/>
      <c r="Z42" s="107"/>
      <c r="AA42" s="167">
        <v>43934</v>
      </c>
      <c r="AB42" s="109">
        <f>_xlfn.DAYS(AA42,B42)</f>
        <v>26</v>
      </c>
      <c r="AC42" s="110">
        <v>50</v>
      </c>
      <c r="AD42" s="110">
        <v>1279</v>
      </c>
      <c r="AE42" s="110">
        <v>351</v>
      </c>
      <c r="AF42" s="110">
        <v>152.5</v>
      </c>
      <c r="AG42" s="10">
        <v>0</v>
      </c>
      <c r="AH42" s="108">
        <f>(AD42-AF42)/(D42*$K$1*2)%</f>
        <v>15.755244755244755</v>
      </c>
      <c r="AI42" s="108">
        <f>(AE42+AF42)/(D42*$K$1*2)%</f>
        <v>7.0419580419580416</v>
      </c>
      <c r="AJ42" s="110"/>
      <c r="AK42" s="110"/>
      <c r="AL42" s="110"/>
      <c r="AM42" s="110"/>
      <c r="AN42" s="110"/>
      <c r="AO42" s="110"/>
      <c r="AP42" s="110"/>
      <c r="AQ42" s="110"/>
      <c r="AR42" s="110"/>
      <c r="AS42" s="110"/>
      <c r="AT42" s="110"/>
      <c r="AU42" s="110"/>
    </row>
    <row r="43" spans="1:47" ht="12.75" hidden="1">
      <c r="A43" s="110" t="s">
        <v>308</v>
      </c>
      <c r="B43" s="229">
        <v>43908</v>
      </c>
      <c r="C43" s="110">
        <v>10000</v>
      </c>
      <c r="D43" s="110">
        <v>6.5</v>
      </c>
      <c r="E43" s="110"/>
      <c r="F43" s="107" t="s">
        <v>263</v>
      </c>
      <c r="G43" s="107"/>
      <c r="H43" s="107"/>
      <c r="I43" s="107"/>
      <c r="J43" s="107"/>
      <c r="K43" s="107"/>
      <c r="L43" s="107"/>
      <c r="M43" s="107"/>
      <c r="N43" s="107"/>
      <c r="O43" s="107"/>
      <c r="P43" s="107"/>
      <c r="Q43" s="107"/>
      <c r="R43" s="107"/>
      <c r="S43" s="107"/>
      <c r="T43" s="107"/>
      <c r="U43" s="107"/>
      <c r="V43" s="107"/>
      <c r="W43" s="107"/>
      <c r="X43" s="107"/>
      <c r="Y43" s="107"/>
      <c r="Z43" s="107"/>
      <c r="AA43" s="167">
        <v>43934</v>
      </c>
      <c r="AB43" s="109">
        <f>_xlfn.DAYS(AA43,B43)</f>
        <v>26</v>
      </c>
      <c r="AC43" s="110">
        <v>45</v>
      </c>
      <c r="AD43" s="110">
        <v>1152</v>
      </c>
      <c r="AE43" s="110">
        <v>397</v>
      </c>
      <c r="AF43" s="110">
        <v>209</v>
      </c>
      <c r="AG43" s="10">
        <v>0</v>
      </c>
      <c r="AH43" s="108">
        <f>(AD43-AF43)/(D43*$K$1*2)%</f>
        <v>13.188811188811188</v>
      </c>
      <c r="AI43" s="108">
        <f>(AE43+AF43)/(D43*$K$1*2)%</f>
        <v>8.475524475524475</v>
      </c>
      <c r="AJ43" s="110"/>
      <c r="AK43" s="110"/>
      <c r="AL43" s="110"/>
      <c r="AM43" s="110"/>
      <c r="AN43" s="110"/>
      <c r="AO43" s="110"/>
      <c r="AP43" s="110"/>
      <c r="AQ43" s="110"/>
      <c r="AR43" s="110"/>
      <c r="AS43" s="110"/>
      <c r="AT43" s="110"/>
      <c r="AU43" s="110"/>
    </row>
    <row r="44" spans="1:47" ht="12.75" hidden="1">
      <c r="A44" s="110" t="s">
        <v>309</v>
      </c>
      <c r="B44" s="229">
        <v>43908</v>
      </c>
      <c r="C44" s="110">
        <v>10000</v>
      </c>
      <c r="D44" s="110">
        <v>6.5</v>
      </c>
      <c r="E44" s="110"/>
      <c r="F44" s="107" t="s">
        <v>263</v>
      </c>
      <c r="G44" s="107"/>
      <c r="H44" s="107"/>
      <c r="I44" s="107"/>
      <c r="J44" s="107"/>
      <c r="K44" s="107"/>
      <c r="L44" s="107"/>
      <c r="M44" s="107"/>
      <c r="N44" s="107"/>
      <c r="O44" s="107"/>
      <c r="P44" s="107"/>
      <c r="Q44" s="107"/>
      <c r="R44" s="107"/>
      <c r="S44" s="107"/>
      <c r="T44" s="107"/>
      <c r="U44" s="107"/>
      <c r="V44" s="107"/>
      <c r="W44" s="107"/>
      <c r="X44" s="107"/>
      <c r="Y44" s="107"/>
      <c r="Z44" s="107"/>
      <c r="AA44" s="167">
        <v>43934</v>
      </c>
      <c r="AB44" s="109">
        <f>_xlfn.DAYS(AA44,B44)</f>
        <v>26</v>
      </c>
      <c r="AC44" s="110">
        <v>42</v>
      </c>
      <c r="AD44" s="110">
        <v>1035</v>
      </c>
      <c r="AE44" s="110">
        <v>344</v>
      </c>
      <c r="AF44" s="110">
        <v>142.5</v>
      </c>
      <c r="AG44" s="10">
        <v>0</v>
      </c>
      <c r="AH44" s="108">
        <f>(AD44-AF44)/(D44*$K$1*2)%</f>
        <v>12.482517482517483</v>
      </c>
      <c r="AI44" s="108">
        <f>(AE44+AF44)/(D44*$K$1*2)%</f>
        <v>6.8041958041958042</v>
      </c>
      <c r="AJ44" s="110"/>
    </row>
    <row r="45" spans="1:47" ht="12.75" hidden="1">
      <c r="A45" s="110" t="s">
        <v>310</v>
      </c>
      <c r="B45" s="229">
        <v>43908</v>
      </c>
      <c r="C45" s="110">
        <v>10000</v>
      </c>
      <c r="D45" s="110">
        <v>6.5</v>
      </c>
      <c r="E45" s="110"/>
      <c r="F45" s="107" t="s">
        <v>263</v>
      </c>
      <c r="G45" s="107"/>
      <c r="H45" s="107"/>
      <c r="I45" s="107"/>
      <c r="J45" s="107"/>
      <c r="K45" s="107"/>
      <c r="L45" s="107"/>
      <c r="M45" s="107"/>
      <c r="N45" s="107"/>
      <c r="O45" s="107"/>
      <c r="P45" s="107"/>
      <c r="Q45" s="107"/>
      <c r="R45" s="107"/>
      <c r="S45" s="107"/>
      <c r="T45" s="107"/>
      <c r="U45" s="107"/>
      <c r="V45" s="107"/>
      <c r="W45" s="107"/>
      <c r="X45" s="107"/>
      <c r="Y45" s="107"/>
      <c r="Z45" s="107"/>
      <c r="AA45" s="167">
        <v>43934</v>
      </c>
      <c r="AB45" s="109">
        <f>_xlfn.DAYS(AA45,B45)</f>
        <v>26</v>
      </c>
      <c r="AC45" s="110">
        <v>55</v>
      </c>
      <c r="AD45" s="110">
        <v>1355</v>
      </c>
      <c r="AE45" s="110">
        <v>360</v>
      </c>
      <c r="AF45" s="110">
        <v>138</v>
      </c>
      <c r="AG45" s="10">
        <v>0</v>
      </c>
      <c r="AH45" s="108">
        <f>(AD45-AF45)/(D45*$K$1*2)%</f>
        <v>17.02097902097902</v>
      </c>
      <c r="AI45" s="108">
        <f>(AE45+AF45)/(D45*$K$1*2)%</f>
        <v>6.965034965034965</v>
      </c>
      <c r="AJ45" s="110"/>
    </row>
    <row r="46" spans="1:47" ht="12.75" hidden="1">
      <c r="A46" s="110" t="s">
        <v>311</v>
      </c>
      <c r="B46" s="229">
        <v>43908</v>
      </c>
      <c r="C46" s="110">
        <v>10000</v>
      </c>
      <c r="D46" s="110">
        <v>6.5</v>
      </c>
      <c r="E46" s="110"/>
      <c r="F46" s="107" t="s">
        <v>263</v>
      </c>
      <c r="G46" s="107"/>
      <c r="H46" s="107"/>
      <c r="I46" s="107"/>
      <c r="J46" s="107"/>
      <c r="K46" s="107"/>
      <c r="L46" s="107"/>
      <c r="M46" s="107"/>
      <c r="N46" s="107"/>
      <c r="O46" s="107"/>
      <c r="P46" s="107"/>
      <c r="Q46" s="107"/>
      <c r="R46" s="107"/>
      <c r="S46" s="107"/>
      <c r="T46" s="107"/>
      <c r="U46" s="107"/>
      <c r="V46" s="107"/>
      <c r="W46" s="107"/>
      <c r="X46" s="107"/>
      <c r="Y46" s="107"/>
      <c r="Z46" s="107"/>
      <c r="AA46" s="167">
        <v>43934</v>
      </c>
      <c r="AB46" s="109">
        <f>_xlfn.DAYS(AA46,B46)</f>
        <v>26</v>
      </c>
      <c r="AC46" s="110">
        <v>52.5</v>
      </c>
      <c r="AD46" s="110">
        <v>979</v>
      </c>
      <c r="AE46" s="110">
        <v>361</v>
      </c>
      <c r="AF46" s="110">
        <v>102</v>
      </c>
      <c r="AG46" s="10">
        <v>0</v>
      </c>
      <c r="AH46" s="108">
        <f>(AD46-AF46)/(D46*$K$1*2)%</f>
        <v>12.265734265734265</v>
      </c>
      <c r="AI46" s="108">
        <f>(AE46+AF46)/(D46*$K$1*2)%</f>
        <v>6.4755244755244759</v>
      </c>
      <c r="AJ46" s="110"/>
    </row>
    <row r="47" spans="1:47" ht="12.75" hidden="1">
      <c r="A47" s="110" t="s">
        <v>312</v>
      </c>
      <c r="B47" s="229">
        <v>43916</v>
      </c>
      <c r="C47" s="110">
        <v>10000</v>
      </c>
      <c r="D47" s="110">
        <v>7.5</v>
      </c>
      <c r="E47" s="110"/>
      <c r="F47" s="107" t="s">
        <v>263</v>
      </c>
      <c r="G47" s="107"/>
      <c r="H47" s="107"/>
      <c r="I47" s="107"/>
      <c r="J47" s="107"/>
      <c r="K47" s="107"/>
      <c r="L47" s="107"/>
      <c r="M47" s="107"/>
      <c r="N47" s="107"/>
      <c r="O47" s="107"/>
      <c r="P47" s="107"/>
      <c r="Q47" s="107"/>
      <c r="R47" s="107"/>
      <c r="S47" s="107"/>
      <c r="T47" s="107"/>
      <c r="U47" s="107"/>
      <c r="V47" s="107"/>
      <c r="W47" s="107"/>
      <c r="X47" s="107"/>
      <c r="Y47" s="107"/>
      <c r="Z47" s="107"/>
      <c r="AA47" s="167">
        <v>43942</v>
      </c>
      <c r="AB47" s="109">
        <f>_xlfn.DAYS(AA47,B47)</f>
        <v>26</v>
      </c>
      <c r="AC47" s="110">
        <v>34.799999999999997</v>
      </c>
      <c r="AD47" s="110">
        <v>839.5</v>
      </c>
      <c r="AE47" s="110">
        <v>339</v>
      </c>
      <c r="AF47" s="110">
        <v>115.5</v>
      </c>
      <c r="AG47" s="110">
        <v>0</v>
      </c>
      <c r="AH47" s="108">
        <f>(AD47-AF47)/(D47*$K$1*2)%</f>
        <v>8.7757575757575754</v>
      </c>
      <c r="AI47" s="108">
        <f>(AE47+AF47)/(D47*$K$1*2)%</f>
        <v>5.5090909090909088</v>
      </c>
      <c r="AJ47" s="110"/>
    </row>
    <row r="48" spans="1:47" ht="12.75" hidden="1">
      <c r="A48" s="110" t="s">
        <v>313</v>
      </c>
      <c r="B48" s="229">
        <v>43916</v>
      </c>
      <c r="C48" s="110">
        <v>10000</v>
      </c>
      <c r="D48" s="110">
        <v>7.5</v>
      </c>
      <c r="E48" s="110"/>
      <c r="F48" s="107" t="s">
        <v>263</v>
      </c>
      <c r="G48" s="107"/>
      <c r="H48" s="107"/>
      <c r="I48" s="107"/>
      <c r="J48" s="107"/>
      <c r="K48" s="107"/>
      <c r="L48" s="107"/>
      <c r="M48" s="107"/>
      <c r="N48" s="107"/>
      <c r="O48" s="107"/>
      <c r="P48" s="107"/>
      <c r="Q48" s="107"/>
      <c r="R48" s="107"/>
      <c r="S48" s="107"/>
      <c r="T48" s="107"/>
      <c r="U48" s="107"/>
      <c r="V48" s="107"/>
      <c r="W48" s="107"/>
      <c r="X48" s="107"/>
      <c r="Y48" s="107"/>
      <c r="Z48" s="107"/>
      <c r="AA48" s="167">
        <v>43942</v>
      </c>
      <c r="AB48" s="109">
        <f>_xlfn.DAYS(AA48,B48)</f>
        <v>26</v>
      </c>
      <c r="AC48" s="110">
        <v>30.4</v>
      </c>
      <c r="AD48" s="110">
        <v>1083.5</v>
      </c>
      <c r="AE48" s="110">
        <v>335.5</v>
      </c>
      <c r="AF48" s="110">
        <v>168.5</v>
      </c>
      <c r="AG48" s="110">
        <v>0</v>
      </c>
      <c r="AH48" s="108">
        <f>(AD48-AF48)/(D48*$K$1*2)%</f>
        <v>11.090909090909092</v>
      </c>
      <c r="AI48" s="108">
        <f>(AE48+AF48)/(D48*$K$1*2)%</f>
        <v>6.1090909090909093</v>
      </c>
      <c r="AJ48" s="110"/>
    </row>
    <row r="49" spans="1:47" ht="12.75" hidden="1">
      <c r="A49" s="110" t="s">
        <v>314</v>
      </c>
      <c r="B49" s="229">
        <v>43916</v>
      </c>
      <c r="C49" s="110">
        <v>10000</v>
      </c>
      <c r="D49" s="110">
        <v>7.5</v>
      </c>
      <c r="E49" s="110"/>
      <c r="F49" s="107" t="s">
        <v>263</v>
      </c>
      <c r="G49" s="107"/>
      <c r="H49" s="107"/>
      <c r="I49" s="107"/>
      <c r="J49" s="107"/>
      <c r="K49" s="107"/>
      <c r="L49" s="107"/>
      <c r="M49" s="107"/>
      <c r="N49" s="107"/>
      <c r="O49" s="107"/>
      <c r="P49" s="107"/>
      <c r="Q49" s="107"/>
      <c r="R49" s="107"/>
      <c r="S49" s="107"/>
      <c r="T49" s="107"/>
      <c r="U49" s="107"/>
      <c r="V49" s="107"/>
      <c r="W49" s="107"/>
      <c r="X49" s="107"/>
      <c r="Y49" s="107"/>
      <c r="Z49" s="107"/>
      <c r="AA49" s="167">
        <v>43942</v>
      </c>
      <c r="AB49" s="109">
        <f>_xlfn.DAYS(AA49,B49)</f>
        <v>26</v>
      </c>
      <c r="AC49" s="110">
        <v>48</v>
      </c>
      <c r="AD49" s="110">
        <v>950.5</v>
      </c>
      <c r="AE49" s="110">
        <v>411.5</v>
      </c>
      <c r="AF49" s="110">
        <v>110</v>
      </c>
      <c r="AG49" s="110">
        <v>0</v>
      </c>
      <c r="AH49" s="108">
        <f>(AD49-AF49)/(D49*$K$1*2)%</f>
        <v>10.187878787878788</v>
      </c>
      <c r="AI49" s="108">
        <f>(AE49+AF49)/(D49*$K$1*2)%</f>
        <v>6.3212121212121213</v>
      </c>
      <c r="AJ49" s="110"/>
      <c r="AK49" s="110"/>
      <c r="AL49" s="110"/>
      <c r="AM49" s="110"/>
      <c r="AN49" s="110"/>
      <c r="AO49" s="110"/>
      <c r="AP49" s="110"/>
      <c r="AQ49" s="110"/>
      <c r="AR49" s="110"/>
      <c r="AS49" s="110"/>
      <c r="AT49" s="110"/>
      <c r="AU49" s="110"/>
    </row>
    <row r="50" spans="1:47" ht="12.75" hidden="1">
      <c r="A50" s="110" t="s">
        <v>315</v>
      </c>
      <c r="B50" s="229">
        <v>43916</v>
      </c>
      <c r="C50" s="110">
        <v>10000</v>
      </c>
      <c r="D50" s="110">
        <v>7.5</v>
      </c>
      <c r="E50" s="110"/>
      <c r="F50" s="107" t="s">
        <v>263</v>
      </c>
      <c r="G50" s="107"/>
      <c r="H50" s="107"/>
      <c r="I50" s="107"/>
      <c r="J50" s="107"/>
      <c r="K50" s="107"/>
      <c r="L50" s="107"/>
      <c r="M50" s="107"/>
      <c r="N50" s="107"/>
      <c r="O50" s="107"/>
      <c r="P50" s="107"/>
      <c r="Q50" s="107"/>
      <c r="R50" s="107"/>
      <c r="S50" s="107"/>
      <c r="T50" s="107"/>
      <c r="U50" s="107"/>
      <c r="V50" s="107"/>
      <c r="W50" s="107"/>
      <c r="X50" s="107"/>
      <c r="Y50" s="107"/>
      <c r="Z50" s="107"/>
      <c r="AA50" s="167">
        <v>43942</v>
      </c>
      <c r="AB50" s="109">
        <f>_xlfn.DAYS(AA50,B50)</f>
        <v>26</v>
      </c>
      <c r="AC50" s="110">
        <v>44.4</v>
      </c>
      <c r="AD50" s="110">
        <v>965</v>
      </c>
      <c r="AE50" s="110">
        <v>311.5</v>
      </c>
      <c r="AF50" s="110">
        <v>126</v>
      </c>
      <c r="AG50" s="110">
        <v>0</v>
      </c>
      <c r="AH50" s="108">
        <f>(AD50-AF50)/(D50*$K$1*2)%</f>
        <v>10.16969696969697</v>
      </c>
      <c r="AI50" s="108">
        <f>(AE50+AF50)/(D50*$K$1*2)%</f>
        <v>5.3030303030303028</v>
      </c>
      <c r="AJ50" s="110"/>
      <c r="AK50" s="110"/>
      <c r="AL50" s="110"/>
      <c r="AM50" s="110"/>
      <c r="AN50" s="110"/>
      <c r="AO50" s="110"/>
      <c r="AP50" s="110"/>
      <c r="AQ50" s="110"/>
      <c r="AR50" s="110"/>
      <c r="AS50" s="110"/>
      <c r="AT50" s="110"/>
      <c r="AU50" s="110"/>
    </row>
    <row r="51" spans="1:47" ht="12.75" hidden="1">
      <c r="A51" s="110" t="s">
        <v>316</v>
      </c>
      <c r="B51" s="229">
        <v>43916</v>
      </c>
      <c r="C51" s="110">
        <v>10000</v>
      </c>
      <c r="D51" s="110">
        <v>7.5</v>
      </c>
      <c r="E51" s="110"/>
      <c r="F51" s="107" t="s">
        <v>263</v>
      </c>
      <c r="G51" s="107"/>
      <c r="H51" s="107"/>
      <c r="I51" s="107"/>
      <c r="J51" s="107"/>
      <c r="K51" s="107"/>
      <c r="L51" s="107"/>
      <c r="M51" s="107"/>
      <c r="N51" s="107"/>
      <c r="O51" s="107"/>
      <c r="P51" s="107"/>
      <c r="Q51" s="107"/>
      <c r="R51" s="107"/>
      <c r="S51" s="107"/>
      <c r="T51" s="107"/>
      <c r="U51" s="107"/>
      <c r="V51" s="107"/>
      <c r="W51" s="107"/>
      <c r="X51" s="107"/>
      <c r="Y51" s="107"/>
      <c r="Z51" s="107"/>
      <c r="AA51" s="167">
        <v>43942</v>
      </c>
      <c r="AB51" s="109">
        <f>_xlfn.DAYS(AA51,B51)</f>
        <v>26</v>
      </c>
      <c r="AC51" s="110">
        <v>25</v>
      </c>
      <c r="AD51" s="110">
        <v>1029.5</v>
      </c>
      <c r="AE51" s="110">
        <v>316</v>
      </c>
      <c r="AF51" s="110">
        <v>128</v>
      </c>
      <c r="AG51" s="110">
        <v>0</v>
      </c>
      <c r="AH51" s="108">
        <f>(AD51-AF51)/(D51*$K$1*2)%</f>
        <v>10.927272727272728</v>
      </c>
      <c r="AI51" s="108">
        <f>(AE51+AF51)/(D51*$K$1*2)%</f>
        <v>5.3818181818181818</v>
      </c>
      <c r="AJ51" s="110"/>
      <c r="AK51" s="110"/>
      <c r="AL51" s="110"/>
      <c r="AM51" s="110"/>
      <c r="AN51" s="110"/>
      <c r="AO51" s="110"/>
      <c r="AP51" s="110"/>
      <c r="AQ51" s="110"/>
      <c r="AR51" s="110"/>
      <c r="AS51" s="110"/>
      <c r="AT51" s="110"/>
      <c r="AU51" s="110"/>
    </row>
    <row r="52" spans="1:47" ht="12.75" hidden="1">
      <c r="A52" s="110" t="s">
        <v>317</v>
      </c>
      <c r="B52" s="229">
        <v>43949</v>
      </c>
      <c r="C52" s="110">
        <v>10000</v>
      </c>
      <c r="D52" s="110">
        <v>5.5</v>
      </c>
      <c r="E52" s="110"/>
      <c r="F52" s="107" t="s">
        <v>263</v>
      </c>
      <c r="G52" s="107"/>
      <c r="H52" s="107"/>
      <c r="I52" s="107"/>
      <c r="J52" s="107"/>
      <c r="K52" s="107"/>
      <c r="L52" s="107"/>
      <c r="M52" s="107"/>
      <c r="N52" s="107"/>
      <c r="O52" s="107"/>
      <c r="P52" s="107"/>
      <c r="Q52" s="107"/>
      <c r="R52" s="107"/>
      <c r="S52" s="107"/>
      <c r="T52" s="107"/>
      <c r="U52" s="107"/>
      <c r="V52" s="107"/>
      <c r="W52" s="107"/>
      <c r="X52" s="107"/>
      <c r="Y52" s="107"/>
      <c r="Z52" s="107"/>
      <c r="AA52" s="167">
        <v>43973</v>
      </c>
      <c r="AB52" s="109">
        <f>_xlfn.DAYS(AA52,B52)</f>
        <v>24</v>
      </c>
      <c r="AC52" s="10">
        <f>5/13%</f>
        <v>38.46153846153846</v>
      </c>
      <c r="AD52" s="10">
        <v>931.5</v>
      </c>
      <c r="AE52" s="10">
        <v>435.5</v>
      </c>
      <c r="AF52" s="10">
        <v>21</v>
      </c>
      <c r="AG52" s="10">
        <v>0</v>
      </c>
      <c r="AH52" s="108">
        <f>(AD52-AF52)/(D52*$K$1*2)%</f>
        <v>15.049586776859504</v>
      </c>
      <c r="AI52" s="108">
        <f>(AE52+AF52)/(D52*$K$1*2)%</f>
        <v>7.5454545454545459</v>
      </c>
      <c r="AK52" s="110"/>
      <c r="AL52" s="110"/>
      <c r="AM52" s="110"/>
      <c r="AN52" s="110"/>
      <c r="AO52" s="110"/>
      <c r="AP52" s="110"/>
      <c r="AQ52" s="110"/>
      <c r="AR52" s="110"/>
      <c r="AS52" s="110"/>
      <c r="AT52" s="110"/>
      <c r="AU52" s="110"/>
    </row>
    <row r="53" spans="1:47" ht="12.75" hidden="1">
      <c r="A53" s="110" t="s">
        <v>318</v>
      </c>
      <c r="B53" s="229">
        <v>43949</v>
      </c>
      <c r="C53" s="110">
        <v>10000</v>
      </c>
      <c r="D53" s="110">
        <v>7</v>
      </c>
      <c r="E53" s="110"/>
      <c r="F53" s="107" t="s">
        <v>263</v>
      </c>
      <c r="G53" s="107"/>
      <c r="H53" s="107"/>
      <c r="I53" s="107"/>
      <c r="J53" s="107"/>
      <c r="K53" s="107"/>
      <c r="L53" s="107"/>
      <c r="M53" s="107"/>
      <c r="N53" s="107"/>
      <c r="O53" s="107"/>
      <c r="P53" s="107"/>
      <c r="Q53" s="107"/>
      <c r="R53" s="107"/>
      <c r="S53" s="107"/>
      <c r="T53" s="107"/>
      <c r="U53" s="107"/>
      <c r="V53" s="107"/>
      <c r="W53" s="107"/>
      <c r="X53" s="107"/>
      <c r="Y53" s="107"/>
      <c r="Z53" s="107"/>
      <c r="AA53" s="167">
        <v>43979</v>
      </c>
      <c r="AB53" s="109">
        <f>_xlfn.DAYS(AA53,B53)</f>
        <v>30</v>
      </c>
      <c r="AC53" s="10">
        <f>4/16*100</f>
        <v>25</v>
      </c>
      <c r="AD53" s="10">
        <v>1082.5</v>
      </c>
      <c r="AE53" s="10">
        <v>549.5</v>
      </c>
      <c r="AF53" s="10">
        <v>43</v>
      </c>
      <c r="AG53" s="10">
        <v>0</v>
      </c>
      <c r="AH53" s="108">
        <f>(AD53-AF53)/(D53*$K$1*2)%</f>
        <v>13.5</v>
      </c>
      <c r="AI53" s="108">
        <f>(AE53+AF53)/(D53*$K$1*2)%</f>
        <v>7.6948051948051948</v>
      </c>
      <c r="AK53" s="110"/>
      <c r="AL53" s="110"/>
      <c r="AM53" s="110"/>
      <c r="AN53" s="110"/>
      <c r="AO53" s="110"/>
      <c r="AP53" s="110"/>
      <c r="AQ53" s="110"/>
      <c r="AR53" s="110"/>
      <c r="AS53" s="110"/>
      <c r="AT53" s="110"/>
      <c r="AU53" s="110"/>
    </row>
    <row r="54" spans="1:47" ht="12.75" hidden="1">
      <c r="A54" s="110" t="s">
        <v>319</v>
      </c>
      <c r="B54" s="229">
        <v>43949</v>
      </c>
      <c r="C54" s="110">
        <v>10000</v>
      </c>
      <c r="D54" s="110">
        <v>7</v>
      </c>
      <c r="E54" s="110"/>
      <c r="F54" s="107" t="s">
        <v>263</v>
      </c>
      <c r="G54" s="107"/>
      <c r="H54" s="107"/>
      <c r="I54" s="107"/>
      <c r="J54" s="107"/>
      <c r="K54" s="107"/>
      <c r="L54" s="107"/>
      <c r="M54" s="107"/>
      <c r="N54" s="107"/>
      <c r="O54" s="107"/>
      <c r="P54" s="107"/>
      <c r="Q54" s="107"/>
      <c r="R54" s="107"/>
      <c r="S54" s="107"/>
      <c r="T54" s="107"/>
      <c r="U54" s="107"/>
      <c r="V54" s="107"/>
      <c r="W54" s="107"/>
      <c r="X54" s="107"/>
      <c r="Y54" s="107"/>
      <c r="Z54" s="107"/>
      <c r="AA54" s="167">
        <v>43979</v>
      </c>
      <c r="AB54" s="109">
        <f>_xlfn.DAYS(AA54,B54)</f>
        <v>30</v>
      </c>
      <c r="AC54" s="10">
        <f>6/29*100</f>
        <v>20.689655172413794</v>
      </c>
      <c r="AD54" s="10">
        <v>1052.5</v>
      </c>
      <c r="AE54" s="10">
        <v>490</v>
      </c>
      <c r="AF54" s="10">
        <v>43.5</v>
      </c>
      <c r="AG54" s="10">
        <v>0</v>
      </c>
      <c r="AH54" s="108">
        <f>(AD54-AF54)/(D54*$K$1*2)%</f>
        <v>13.103896103896103</v>
      </c>
      <c r="AI54" s="108">
        <f>(AE54+AF54)/(D54*$K$1*2)%</f>
        <v>6.9285714285714288</v>
      </c>
    </row>
    <row r="55" spans="1:47" ht="12.75" hidden="1">
      <c r="A55" s="110" t="s">
        <v>320</v>
      </c>
      <c r="B55" s="229">
        <v>43949</v>
      </c>
      <c r="C55" s="110">
        <v>10000</v>
      </c>
      <c r="D55" s="110">
        <v>7</v>
      </c>
      <c r="E55" s="110"/>
      <c r="F55" s="107" t="s">
        <v>263</v>
      </c>
      <c r="G55" s="107"/>
      <c r="H55" s="107"/>
      <c r="I55" s="107"/>
      <c r="J55" s="107"/>
      <c r="K55" s="107"/>
      <c r="L55" s="107"/>
      <c r="M55" s="107"/>
      <c r="N55" s="107"/>
      <c r="O55" s="107"/>
      <c r="P55" s="107"/>
      <c r="Q55" s="107"/>
      <c r="R55" s="107"/>
      <c r="S55" s="107"/>
      <c r="T55" s="107"/>
      <c r="U55" s="107"/>
      <c r="V55" s="107"/>
      <c r="W55" s="107"/>
      <c r="X55" s="107"/>
      <c r="Y55" s="107"/>
      <c r="Z55" s="107"/>
      <c r="AA55" s="167">
        <v>43979</v>
      </c>
      <c r="AB55" s="109">
        <f>_xlfn.DAYS(AA55,B55)</f>
        <v>30</v>
      </c>
      <c r="AC55" s="10">
        <f>7/19*100</f>
        <v>36.84210526315789</v>
      </c>
      <c r="AD55" s="10">
        <v>945</v>
      </c>
      <c r="AE55" s="10">
        <v>563.5</v>
      </c>
      <c r="AF55" s="10">
        <v>48.5</v>
      </c>
      <c r="AG55" s="10">
        <v>0</v>
      </c>
      <c r="AH55" s="108">
        <f>(AD55-AF55)/(D55*$K$1*2)%</f>
        <v>11.642857142857142</v>
      </c>
      <c r="AI55" s="108">
        <f>(AE55+AF55)/(D55*$K$1*2)%</f>
        <v>7.9480519480519485</v>
      </c>
    </row>
    <row r="56" spans="1:47" ht="12.75" hidden="1">
      <c r="A56" s="110" t="s">
        <v>321</v>
      </c>
      <c r="B56" s="229">
        <v>43949</v>
      </c>
      <c r="C56" s="110">
        <v>10000</v>
      </c>
      <c r="D56" s="110">
        <v>5.5</v>
      </c>
      <c r="E56" s="110"/>
      <c r="F56" s="107" t="s">
        <v>263</v>
      </c>
      <c r="G56" s="107"/>
      <c r="H56" s="107"/>
      <c r="I56" s="107"/>
      <c r="J56" s="107"/>
      <c r="K56" s="107"/>
      <c r="L56" s="107"/>
      <c r="M56" s="107"/>
      <c r="N56" s="107"/>
      <c r="O56" s="107"/>
      <c r="P56" s="107"/>
      <c r="Q56" s="107"/>
      <c r="R56" s="107"/>
      <c r="S56" s="107"/>
      <c r="T56" s="107"/>
      <c r="U56" s="107"/>
      <c r="V56" s="107"/>
      <c r="W56" s="107"/>
      <c r="X56" s="107"/>
      <c r="Y56" s="107"/>
      <c r="Z56" s="107"/>
      <c r="AA56" s="167">
        <v>43973</v>
      </c>
      <c r="AB56" s="109">
        <f>_xlfn.DAYS(AA56,B56)</f>
        <v>24</v>
      </c>
      <c r="AC56" s="10">
        <f>6/17%</f>
        <v>35.294117647058819</v>
      </c>
      <c r="AD56" s="10">
        <v>719</v>
      </c>
      <c r="AE56" s="10">
        <v>386.5</v>
      </c>
      <c r="AF56" s="10">
        <v>34.5</v>
      </c>
      <c r="AG56" s="10">
        <v>0</v>
      </c>
      <c r="AH56" s="108">
        <f>(AD56-AF56)/(D56*$K$1*2)%</f>
        <v>11.314049586776859</v>
      </c>
      <c r="AI56" s="108">
        <f>(AE56+AF56)/(D56*$K$1*2)%</f>
        <v>6.9586776859504136</v>
      </c>
    </row>
    <row r="57" spans="1:47" ht="12.75" hidden="1">
      <c r="A57" s="110" t="s">
        <v>322</v>
      </c>
      <c r="B57" s="229">
        <v>43944</v>
      </c>
      <c r="C57" s="110">
        <v>10000</v>
      </c>
      <c r="D57" s="110">
        <v>3</v>
      </c>
      <c r="E57" s="110"/>
      <c r="F57" s="107" t="s">
        <v>323</v>
      </c>
      <c r="G57" s="107"/>
      <c r="H57" s="107"/>
      <c r="I57" s="107"/>
      <c r="J57" s="107"/>
      <c r="K57" s="107"/>
      <c r="L57" s="107"/>
      <c r="M57" s="107"/>
      <c r="N57" s="107"/>
      <c r="O57" s="107"/>
      <c r="P57" s="107"/>
      <c r="Q57" s="107"/>
      <c r="R57" s="107"/>
      <c r="S57" s="107"/>
      <c r="T57" s="107"/>
      <c r="U57" s="107"/>
      <c r="V57" s="107"/>
      <c r="W57" s="107"/>
      <c r="X57" s="107"/>
      <c r="Y57" s="107"/>
      <c r="Z57" s="107"/>
      <c r="AA57" s="167">
        <v>43956</v>
      </c>
      <c r="AB57" s="109">
        <f>_xlfn.DAYS(AA57,B57)</f>
        <v>12</v>
      </c>
      <c r="AC57" s="110"/>
      <c r="AD57" s="110"/>
      <c r="AE57" s="110"/>
      <c r="AF57" s="110"/>
      <c r="AG57" s="110">
        <v>20</v>
      </c>
      <c r="AH57" s="107"/>
      <c r="AJ57" s="110"/>
      <c r="AK57" s="110"/>
      <c r="AL57" s="110"/>
      <c r="AM57" s="110"/>
      <c r="AN57" s="110"/>
      <c r="AO57" s="110"/>
      <c r="AP57" s="110"/>
      <c r="AQ57" s="110"/>
      <c r="AR57" s="110"/>
      <c r="AS57" s="110"/>
      <c r="AT57" s="110"/>
      <c r="AU57" s="110"/>
    </row>
    <row r="58" spans="1:47" ht="12.75" hidden="1">
      <c r="A58" s="107" t="s">
        <v>324</v>
      </c>
      <c r="B58" s="226">
        <v>44064</v>
      </c>
      <c r="C58" s="230">
        <v>11875</v>
      </c>
      <c r="D58" s="107">
        <f>COUNTA(G58:Z58)*0.5</f>
        <v>6.5</v>
      </c>
      <c r="F58" s="107" t="s">
        <v>263</v>
      </c>
      <c r="G58" s="178">
        <v>44064</v>
      </c>
      <c r="H58" s="178">
        <v>44064</v>
      </c>
      <c r="I58" s="178">
        <v>44067</v>
      </c>
      <c r="J58" s="178">
        <v>44069</v>
      </c>
      <c r="K58" s="178">
        <v>44069</v>
      </c>
      <c r="L58" s="178">
        <v>44071</v>
      </c>
      <c r="M58" s="178">
        <v>44071</v>
      </c>
      <c r="N58" s="178">
        <v>44074</v>
      </c>
      <c r="O58" s="178">
        <v>44076</v>
      </c>
      <c r="P58" s="178">
        <v>44078</v>
      </c>
      <c r="Q58" s="178">
        <v>44081</v>
      </c>
      <c r="R58" s="178">
        <v>44083</v>
      </c>
      <c r="S58" s="178">
        <v>44088</v>
      </c>
      <c r="AB58" s="109">
        <f>_xlfn.DAYS(AA58,B58)</f>
        <v>-44064</v>
      </c>
      <c r="AG58" s="107">
        <f>COUNTIFS(F:F,"Culled",A:A,LEFT(A58,LEN(A58)-3)&amp;"*")/COUNTIF(A:A,LEFT(A58,LEN(A58)-3)&amp;"*")*100</f>
        <v>16.666666666666664</v>
      </c>
      <c r="AH58" s="108">
        <f>(AD58-AF58)/(D58*$K$1*2)%</f>
        <v>0</v>
      </c>
      <c r="AI58" s="108">
        <f>(AE58+AF58)/(D58*$K$1*2)%</f>
        <v>0</v>
      </c>
    </row>
    <row r="59" spans="1:47" ht="12.75" hidden="1">
      <c r="A59" s="107" t="s">
        <v>325</v>
      </c>
      <c r="B59" s="226">
        <v>44098</v>
      </c>
      <c r="C59" s="230">
        <v>9478</v>
      </c>
      <c r="D59" s="107">
        <f>COUNTA(G59:Z59)*0.5</f>
        <v>2.5</v>
      </c>
      <c r="F59" s="107" t="s">
        <v>323</v>
      </c>
      <c r="G59" s="178" t="s">
        <v>326</v>
      </c>
      <c r="H59" s="178" t="s">
        <v>326</v>
      </c>
      <c r="I59" s="178">
        <v>44102</v>
      </c>
      <c r="J59" s="178">
        <v>44104</v>
      </c>
      <c r="K59" s="178">
        <v>44106</v>
      </c>
      <c r="AA59" s="166">
        <v>43961</v>
      </c>
      <c r="AG59" s="107">
        <f>COUNTIFS(F:F,"Culled",A:A,LEFT(A59,LEN(A59)-3)&amp;"*")/COUNTIF(A:A,LEFT(A59,LEN(A59)-3)&amp;"*")*100</f>
        <v>100</v>
      </c>
      <c r="AH59" s="107"/>
    </row>
    <row r="60" spans="1:47" ht="12.75" hidden="1">
      <c r="A60" s="107" t="s">
        <v>327</v>
      </c>
      <c r="B60" s="226">
        <v>44098</v>
      </c>
      <c r="C60" s="230">
        <v>9478</v>
      </c>
      <c r="D60" s="107">
        <f>COUNTA(G60:Z60)*0.5</f>
        <v>2.5</v>
      </c>
      <c r="F60" s="107" t="s">
        <v>323</v>
      </c>
      <c r="G60" s="178" t="s">
        <v>326</v>
      </c>
      <c r="H60" s="178" t="s">
        <v>326</v>
      </c>
      <c r="I60" s="178">
        <v>44102</v>
      </c>
      <c r="J60" s="178">
        <v>44104</v>
      </c>
      <c r="K60" s="178">
        <v>44106</v>
      </c>
      <c r="AA60" s="166">
        <v>43961</v>
      </c>
      <c r="AG60" s="107">
        <f>COUNTIFS(F:F,"Culled",A:A,LEFT(A60,LEN(A60)-3)&amp;"*")/COUNTIF(A:A,LEFT(A60,LEN(A60)-3)&amp;"*")*100</f>
        <v>100</v>
      </c>
      <c r="AH60" s="107"/>
    </row>
    <row r="61" spans="1:47" ht="12.75" hidden="1">
      <c r="A61" s="107" t="s">
        <v>328</v>
      </c>
      <c r="B61" s="226">
        <v>44064</v>
      </c>
      <c r="C61" s="230">
        <v>11875</v>
      </c>
      <c r="D61" s="107">
        <f>COUNTA(G61:Z61)*0.5</f>
        <v>6</v>
      </c>
      <c r="F61" s="107" t="s">
        <v>263</v>
      </c>
      <c r="G61" s="178">
        <v>44064</v>
      </c>
      <c r="H61" s="178">
        <v>44064</v>
      </c>
      <c r="I61" s="178">
        <v>44067</v>
      </c>
      <c r="J61" s="178">
        <v>44069</v>
      </c>
      <c r="K61" s="178">
        <v>44069</v>
      </c>
      <c r="L61" s="178">
        <v>44071</v>
      </c>
      <c r="M61" s="178">
        <v>44071</v>
      </c>
      <c r="N61" s="178">
        <v>44074</v>
      </c>
      <c r="O61" s="178">
        <v>44076</v>
      </c>
      <c r="P61" s="178">
        <v>44078</v>
      </c>
      <c r="Q61" s="178">
        <v>44081</v>
      </c>
      <c r="R61" s="178">
        <v>44083</v>
      </c>
      <c r="AA61" s="166">
        <v>44095</v>
      </c>
      <c r="AB61" s="109">
        <f>_xlfn.DAYS(AA61,B61)</f>
        <v>31</v>
      </c>
      <c r="AC61" s="107">
        <f>AVERAGE(12/20,13/19)</f>
        <v>0.64210526315789473</v>
      </c>
      <c r="AD61" s="107">
        <v>833.5</v>
      </c>
      <c r="AE61" s="107">
        <v>306</v>
      </c>
      <c r="AG61" s="107">
        <f>COUNTIFS(F:F,"Culled",A:A,LEFT(A61,LEN(A61)-3)&amp;"*")/COUNTIF(A:A,LEFT(A61,LEN(A61)-3)&amp;"*")*100</f>
        <v>16.666666666666664</v>
      </c>
      <c r="AH61" s="108">
        <f>(AD61-AF61)/(D61*$K$1*2)%</f>
        <v>12.628787878787879</v>
      </c>
      <c r="AI61" s="108">
        <f>(AE61+AF61)/(D61*$K$1*2)%</f>
        <v>4.6363636363636367</v>
      </c>
    </row>
    <row r="62" spans="1:47" ht="12.75" hidden="1">
      <c r="A62" s="107" t="s">
        <v>329</v>
      </c>
      <c r="B62" s="226">
        <v>44064</v>
      </c>
      <c r="C62" s="230">
        <v>11875</v>
      </c>
      <c r="D62" s="107">
        <f>COUNTA(G62:Z62)*0.5</f>
        <v>6.5</v>
      </c>
      <c r="F62" s="107" t="s">
        <v>263</v>
      </c>
      <c r="G62" s="178">
        <v>44064</v>
      </c>
      <c r="H62" s="178">
        <v>44064</v>
      </c>
      <c r="I62" s="178">
        <v>44067</v>
      </c>
      <c r="J62" s="178">
        <v>44069</v>
      </c>
      <c r="K62" s="178">
        <v>44069</v>
      </c>
      <c r="L62" s="178">
        <v>44071</v>
      </c>
      <c r="M62" s="178">
        <v>44071</v>
      </c>
      <c r="N62" s="178">
        <v>44074</v>
      </c>
      <c r="O62" s="178">
        <v>44076</v>
      </c>
      <c r="P62" s="178">
        <v>44078</v>
      </c>
      <c r="Q62" s="178">
        <v>44081</v>
      </c>
      <c r="R62" s="178">
        <v>44083</v>
      </c>
      <c r="S62" s="178">
        <v>44088</v>
      </c>
      <c r="AB62" s="109">
        <f>_xlfn.DAYS(AA62,B62)</f>
        <v>-44064</v>
      </c>
      <c r="AG62" s="107">
        <f>COUNTIFS(F:F,"Culled",A:A,LEFT(A62,LEN(A62)-3)&amp;"*")/COUNTIF(A:A,LEFT(A62,LEN(A62)-3)&amp;"*")*100</f>
        <v>16.666666666666664</v>
      </c>
      <c r="AH62" s="108">
        <f>(AD62-AF62)/(D62*$K$1*2)%</f>
        <v>0</v>
      </c>
      <c r="AI62" s="108">
        <f>(AE62+AF62)/(D62*$K$1*2)%</f>
        <v>0</v>
      </c>
    </row>
    <row r="63" spans="1:47" ht="12.75" hidden="1">
      <c r="A63" s="107" t="s">
        <v>330</v>
      </c>
      <c r="B63" s="226">
        <v>44064</v>
      </c>
      <c r="C63" s="230">
        <v>11875</v>
      </c>
      <c r="D63" s="107">
        <f>COUNTA(G63:Z63)*0.5</f>
        <v>7</v>
      </c>
      <c r="F63" s="107" t="s">
        <v>263</v>
      </c>
      <c r="G63" s="178">
        <v>44064</v>
      </c>
      <c r="H63" s="178">
        <v>44064</v>
      </c>
      <c r="I63" s="178">
        <v>44067</v>
      </c>
      <c r="J63" s="178">
        <v>44069</v>
      </c>
      <c r="K63" s="178">
        <v>44069</v>
      </c>
      <c r="L63" s="178">
        <v>44071</v>
      </c>
      <c r="M63" s="178">
        <v>44071</v>
      </c>
      <c r="N63" s="178">
        <v>44074</v>
      </c>
      <c r="O63" s="178">
        <v>44076</v>
      </c>
      <c r="P63" s="178">
        <v>44078</v>
      </c>
      <c r="Q63" s="178">
        <v>44081</v>
      </c>
      <c r="R63" s="178">
        <v>44083</v>
      </c>
      <c r="S63" s="178">
        <v>44088</v>
      </c>
      <c r="T63" s="178">
        <v>44090</v>
      </c>
      <c r="AA63" s="166">
        <v>44095</v>
      </c>
      <c r="AB63" s="109">
        <f>_xlfn.DAYS(AA63,B63)</f>
        <v>31</v>
      </c>
      <c r="AC63" s="107">
        <f>AVERAGE(18/22,22/34)</f>
        <v>0.73262032085561501</v>
      </c>
      <c r="AD63" s="107">
        <v>941</v>
      </c>
      <c r="AE63" s="107">
        <v>351.5</v>
      </c>
      <c r="AG63" s="107">
        <f>COUNTIFS(F:F,"Culled",A:A,LEFT(A63,LEN(A63)-3)&amp;"*")/COUNTIF(A:A,LEFT(A63,LEN(A63)-3)&amp;"*")*100</f>
        <v>16.666666666666664</v>
      </c>
      <c r="AH63" s="108">
        <f>(AD63-AF63)/(D63*$K$1*2)%</f>
        <v>12.220779220779221</v>
      </c>
      <c r="AI63" s="108">
        <f>(AE63+AF63)/(D63*$K$1*2)%</f>
        <v>4.5649350649350646</v>
      </c>
    </row>
    <row r="64" spans="1:47" ht="12.75" hidden="1">
      <c r="A64" s="107" t="s">
        <v>331</v>
      </c>
      <c r="B64" s="226">
        <v>44064</v>
      </c>
      <c r="C64" s="231">
        <v>12913.254667128758</v>
      </c>
      <c r="D64" s="107">
        <f>COUNTA(G64:Z64)*0.5</f>
        <v>7</v>
      </c>
      <c r="F64" s="107" t="s">
        <v>263</v>
      </c>
      <c r="G64" s="178">
        <v>44064</v>
      </c>
      <c r="H64" s="178">
        <v>44064</v>
      </c>
      <c r="I64" s="178">
        <v>44067</v>
      </c>
      <c r="J64" s="178">
        <v>44069</v>
      </c>
      <c r="K64" s="178">
        <v>44069</v>
      </c>
      <c r="L64" s="178">
        <v>44071</v>
      </c>
      <c r="M64" s="178">
        <v>44071</v>
      </c>
      <c r="N64" s="178">
        <v>44074</v>
      </c>
      <c r="O64" s="178">
        <v>44076</v>
      </c>
      <c r="P64" s="178">
        <v>44078</v>
      </c>
      <c r="Q64" s="178">
        <v>44081</v>
      </c>
      <c r="R64" s="178">
        <v>44083</v>
      </c>
      <c r="S64" s="178">
        <v>44088</v>
      </c>
      <c r="T64" s="178">
        <v>44090</v>
      </c>
      <c r="AA64" s="166">
        <v>44095</v>
      </c>
      <c r="AB64" s="109">
        <f>_xlfn.DAYS(AA64,B64)</f>
        <v>31</v>
      </c>
      <c r="AC64" s="107">
        <f>19/27</f>
        <v>0.70370370370370372</v>
      </c>
      <c r="AD64" s="107">
        <v>1030.5</v>
      </c>
      <c r="AE64" s="107">
        <v>367</v>
      </c>
      <c r="AG64" s="107">
        <f>COUNTIFS(F:F,"Culled",A:A,LEFT(A64,LEN(A64)-3)&amp;"*")/COUNTIF(A:A,LEFT(A64,LEN(A64)-3)&amp;"*")*100</f>
        <v>16.666666666666664</v>
      </c>
      <c r="AH64" s="108">
        <f>(AD64-AF64)/(D64*$K$1*2)%</f>
        <v>13.383116883116884</v>
      </c>
      <c r="AI64" s="108">
        <f>(AE64+AF64)/(D64*$K$1*2)%</f>
        <v>4.7662337662337659</v>
      </c>
    </row>
    <row r="65" spans="1:47" ht="12.75" hidden="1">
      <c r="A65" s="110" t="s">
        <v>332</v>
      </c>
      <c r="B65" s="229">
        <v>43923</v>
      </c>
      <c r="C65" s="110">
        <v>10000</v>
      </c>
      <c r="D65" s="110">
        <v>6.5</v>
      </c>
      <c r="E65" s="110"/>
      <c r="F65" s="107" t="s">
        <v>263</v>
      </c>
      <c r="G65" s="107"/>
      <c r="H65" s="107"/>
      <c r="I65" s="107"/>
      <c r="J65" s="107"/>
      <c r="K65" s="107"/>
      <c r="L65" s="107"/>
      <c r="M65" s="107"/>
      <c r="N65" s="107"/>
      <c r="O65" s="107"/>
      <c r="P65" s="107"/>
      <c r="Q65" s="107"/>
      <c r="R65" s="107"/>
      <c r="S65" s="107"/>
      <c r="T65" s="107"/>
      <c r="U65" s="107"/>
      <c r="V65" s="107"/>
      <c r="W65" s="107"/>
      <c r="X65" s="107"/>
      <c r="Y65" s="107"/>
      <c r="Z65" s="107"/>
      <c r="AA65" s="167" t="s">
        <v>333</v>
      </c>
      <c r="AB65" s="109">
        <f>_xlfn.DAYS(AA65,B65)</f>
        <v>25</v>
      </c>
      <c r="AC65" s="110">
        <v>17.100000000000001</v>
      </c>
      <c r="AD65" s="110">
        <v>1457</v>
      </c>
      <c r="AE65" s="110">
        <v>347.5</v>
      </c>
      <c r="AF65" s="110">
        <v>124.5</v>
      </c>
      <c r="AG65" s="110">
        <v>0</v>
      </c>
      <c r="AH65" s="108">
        <f>(AD65-AF65)/(D65*$K$1*2)%</f>
        <v>18.636363636363637</v>
      </c>
      <c r="AI65" s="108">
        <f>(AE65+AF65)/(D65*$K$1*2)%</f>
        <v>6.6013986013986017</v>
      </c>
      <c r="AJ65" s="110"/>
    </row>
    <row r="66" spans="1:47" ht="12.75" hidden="1">
      <c r="A66" s="110" t="s">
        <v>334</v>
      </c>
      <c r="B66" s="229">
        <v>43923</v>
      </c>
      <c r="C66" s="110">
        <v>10000</v>
      </c>
      <c r="D66" s="110">
        <v>6.5</v>
      </c>
      <c r="E66" s="110"/>
      <c r="F66" s="107" t="s">
        <v>263</v>
      </c>
      <c r="G66" s="107"/>
      <c r="H66" s="107"/>
      <c r="I66" s="107"/>
      <c r="J66" s="107"/>
      <c r="K66" s="107"/>
      <c r="L66" s="107"/>
      <c r="M66" s="107"/>
      <c r="N66" s="107"/>
      <c r="O66" s="107"/>
      <c r="P66" s="107"/>
      <c r="Q66" s="107"/>
      <c r="R66" s="107"/>
      <c r="S66" s="107"/>
      <c r="T66" s="107"/>
      <c r="U66" s="107"/>
      <c r="V66" s="107"/>
      <c r="W66" s="107"/>
      <c r="X66" s="107"/>
      <c r="Y66" s="107"/>
      <c r="Z66" s="107"/>
      <c r="AA66" s="167" t="s">
        <v>333</v>
      </c>
      <c r="AB66" s="109">
        <f>_xlfn.DAYS(AA66,B66)</f>
        <v>25</v>
      </c>
      <c r="AC66" s="110">
        <v>25</v>
      </c>
      <c r="AD66" s="110">
        <v>1064</v>
      </c>
      <c r="AE66" s="110">
        <v>361.5</v>
      </c>
      <c r="AF66" s="110">
        <v>190</v>
      </c>
      <c r="AG66" s="110">
        <v>0</v>
      </c>
      <c r="AH66" s="108">
        <f>(AD66-AF66)/(D66*$K$1*2)%</f>
        <v>12.223776223776223</v>
      </c>
      <c r="AI66" s="108">
        <f>(AE66+AF66)/(D66*$K$1*2)%</f>
        <v>7.7132867132867133</v>
      </c>
      <c r="AJ66" s="110"/>
    </row>
    <row r="67" spans="1:47" ht="12.75" hidden="1">
      <c r="A67" s="110" t="s">
        <v>335</v>
      </c>
      <c r="B67" s="229">
        <v>43923</v>
      </c>
      <c r="C67" s="110">
        <v>10000</v>
      </c>
      <c r="D67" s="110">
        <v>6.5</v>
      </c>
      <c r="E67" s="110"/>
      <c r="F67" s="107" t="s">
        <v>263</v>
      </c>
      <c r="G67" s="107"/>
      <c r="H67" s="107"/>
      <c r="I67" s="107"/>
      <c r="J67" s="107"/>
      <c r="K67" s="107"/>
      <c r="L67" s="107"/>
      <c r="M67" s="107"/>
      <c r="N67" s="107"/>
      <c r="O67" s="107"/>
      <c r="P67" s="107"/>
      <c r="Q67" s="107"/>
      <c r="R67" s="107"/>
      <c r="S67" s="107"/>
      <c r="T67" s="107"/>
      <c r="U67" s="107"/>
      <c r="V67" s="107"/>
      <c r="W67" s="107"/>
      <c r="X67" s="107"/>
      <c r="Y67" s="107"/>
      <c r="Z67" s="107"/>
      <c r="AA67" s="167" t="s">
        <v>333</v>
      </c>
      <c r="AB67" s="109">
        <f>_xlfn.DAYS(AA67,B67)</f>
        <v>25</v>
      </c>
      <c r="AC67" s="110">
        <v>35.299999999999997</v>
      </c>
      <c r="AD67" s="110">
        <v>1235.5</v>
      </c>
      <c r="AE67" s="110">
        <v>346.5</v>
      </c>
      <c r="AF67" s="110">
        <v>183</v>
      </c>
      <c r="AG67" s="110">
        <v>0</v>
      </c>
      <c r="AH67" s="108">
        <f>(AD67-AF67)/(D67*$K$1*2)%</f>
        <v>14.72027972027972</v>
      </c>
      <c r="AI67" s="108">
        <f>(AE67+AF67)/(D67*$K$1*2)%</f>
        <v>7.4055944055944058</v>
      </c>
      <c r="AJ67" s="110"/>
    </row>
    <row r="68" spans="1:47" ht="12.75" hidden="1">
      <c r="A68" s="110" t="s">
        <v>336</v>
      </c>
      <c r="B68" s="229">
        <v>43923</v>
      </c>
      <c r="C68" s="110">
        <v>10000</v>
      </c>
      <c r="D68" s="110">
        <v>6.5</v>
      </c>
      <c r="E68" s="110"/>
      <c r="F68" s="107" t="s">
        <v>263</v>
      </c>
      <c r="G68" s="107"/>
      <c r="H68" s="107"/>
      <c r="I68" s="107"/>
      <c r="J68" s="107"/>
      <c r="K68" s="107"/>
      <c r="L68" s="107"/>
      <c r="M68" s="107"/>
      <c r="N68" s="107"/>
      <c r="O68" s="107"/>
      <c r="P68" s="107"/>
      <c r="Q68" s="107"/>
      <c r="R68" s="107"/>
      <c r="S68" s="107"/>
      <c r="T68" s="107"/>
      <c r="U68" s="107"/>
      <c r="V68" s="107"/>
      <c r="W68" s="107"/>
      <c r="X68" s="107"/>
      <c r="Y68" s="107"/>
      <c r="Z68" s="107"/>
      <c r="AA68" s="167" t="s">
        <v>333</v>
      </c>
      <c r="AB68" s="109">
        <f>_xlfn.DAYS(AA68,B68)</f>
        <v>25</v>
      </c>
      <c r="AC68" s="110">
        <v>31.25</v>
      </c>
      <c r="AD68" s="110">
        <v>1274</v>
      </c>
      <c r="AE68" s="110">
        <v>367</v>
      </c>
      <c r="AF68" s="110">
        <v>151.5</v>
      </c>
      <c r="AG68" s="110">
        <v>0</v>
      </c>
      <c r="AH68" s="108">
        <f>(AD68-AF68)/(D68*$K$1*2)%</f>
        <v>15.6993006993007</v>
      </c>
      <c r="AI68" s="108">
        <f>(AE68+AF68)/(D68*$K$1*2)%</f>
        <v>7.2517482517482517</v>
      </c>
      <c r="AJ68" s="110"/>
    </row>
    <row r="69" spans="1:47" ht="12.75" hidden="1">
      <c r="A69" s="110" t="s">
        <v>337</v>
      </c>
      <c r="B69" s="229">
        <v>43923</v>
      </c>
      <c r="C69" s="110">
        <v>10000</v>
      </c>
      <c r="D69" s="110">
        <v>6.5</v>
      </c>
      <c r="E69" s="110"/>
      <c r="F69" s="107" t="s">
        <v>263</v>
      </c>
      <c r="G69" s="107"/>
      <c r="H69" s="107"/>
      <c r="I69" s="107"/>
      <c r="J69" s="107"/>
      <c r="K69" s="107"/>
      <c r="L69" s="107"/>
      <c r="M69" s="107"/>
      <c r="N69" s="107"/>
      <c r="O69" s="107"/>
      <c r="P69" s="107"/>
      <c r="Q69" s="107"/>
      <c r="R69" s="107"/>
      <c r="S69" s="107"/>
      <c r="T69" s="107"/>
      <c r="U69" s="107"/>
      <c r="V69" s="107"/>
      <c r="W69" s="107"/>
      <c r="X69" s="107"/>
      <c r="Y69" s="107"/>
      <c r="Z69" s="107"/>
      <c r="AA69" s="167" t="s">
        <v>333</v>
      </c>
      <c r="AB69" s="109">
        <f>_xlfn.DAYS(AA69,B69)</f>
        <v>25</v>
      </c>
      <c r="AC69" s="110">
        <v>27.78</v>
      </c>
      <c r="AD69" s="110">
        <v>1304.5</v>
      </c>
      <c r="AE69" s="110">
        <v>373</v>
      </c>
      <c r="AF69" s="110">
        <v>174.5</v>
      </c>
      <c r="AG69" s="110">
        <v>0</v>
      </c>
      <c r="AH69" s="108">
        <f>(AD69-AF69)/(D69*$K$1*2)%</f>
        <v>15.804195804195805</v>
      </c>
      <c r="AI69" s="108">
        <f>(AE69+AF69)/(D69*$K$1*2)%</f>
        <v>7.6573426573426575</v>
      </c>
      <c r="AJ69" s="110"/>
    </row>
    <row r="70" spans="1:47" ht="12.75" hidden="1">
      <c r="A70" s="107" t="s">
        <v>338</v>
      </c>
      <c r="B70" s="226">
        <v>44106</v>
      </c>
      <c r="C70" s="230">
        <v>15000</v>
      </c>
      <c r="D70" s="107">
        <v>1</v>
      </c>
      <c r="F70" s="107" t="s">
        <v>323</v>
      </c>
      <c r="G70" s="178">
        <v>44106</v>
      </c>
      <c r="H70" s="178">
        <v>44106</v>
      </c>
      <c r="AA70" s="166">
        <v>43961</v>
      </c>
      <c r="AH70" s="107"/>
      <c r="AP70" s="110"/>
      <c r="AQ70" s="110"/>
      <c r="AR70" s="110"/>
      <c r="AS70" s="110"/>
      <c r="AT70" s="110"/>
      <c r="AU70" s="110"/>
    </row>
    <row r="71" spans="1:47" ht="12.75" hidden="1">
      <c r="A71" s="107" t="s">
        <v>339</v>
      </c>
      <c r="B71" s="226">
        <v>44106</v>
      </c>
      <c r="C71" s="111">
        <v>12951.75</v>
      </c>
      <c r="D71" s="107">
        <v>1</v>
      </c>
      <c r="F71" s="107" t="s">
        <v>323</v>
      </c>
      <c r="G71" s="178">
        <v>44106</v>
      </c>
      <c r="H71" s="178">
        <v>44106</v>
      </c>
      <c r="M71" s="178">
        <v>44110</v>
      </c>
      <c r="N71" s="178">
        <v>44113</v>
      </c>
      <c r="O71" s="178">
        <v>44116</v>
      </c>
      <c r="AA71" s="166">
        <v>43961</v>
      </c>
      <c r="AH71" s="107"/>
      <c r="AP71" s="110"/>
      <c r="AQ71" s="110"/>
      <c r="AR71" s="110"/>
      <c r="AS71" s="110"/>
      <c r="AT71" s="110"/>
      <c r="AU71" s="110"/>
    </row>
    <row r="72" spans="1:47" ht="12.75" hidden="1">
      <c r="A72" s="10" t="s">
        <v>340</v>
      </c>
      <c r="B72" s="229">
        <v>43952</v>
      </c>
      <c r="C72" s="10">
        <v>10000</v>
      </c>
      <c r="D72" s="10">
        <v>5</v>
      </c>
      <c r="E72" s="10"/>
      <c r="F72" s="107" t="s">
        <v>323</v>
      </c>
      <c r="G72" s="107"/>
      <c r="H72" s="107"/>
      <c r="I72" s="107"/>
      <c r="J72" s="107"/>
      <c r="K72" s="107"/>
      <c r="L72" s="107"/>
      <c r="M72" s="107"/>
      <c r="N72" s="107"/>
      <c r="O72" s="107"/>
      <c r="P72" s="107"/>
      <c r="Q72" s="107"/>
      <c r="R72" s="107"/>
      <c r="S72" s="107"/>
      <c r="T72" s="107"/>
      <c r="U72" s="107"/>
      <c r="V72" s="107"/>
      <c r="W72" s="107"/>
      <c r="X72" s="107"/>
      <c r="Y72" s="107"/>
      <c r="Z72" s="107"/>
      <c r="AA72" s="167">
        <v>43973</v>
      </c>
      <c r="AB72" s="109">
        <f>_xlfn.DAYS(AA72,B72)</f>
        <v>21</v>
      </c>
      <c r="AG72" s="10">
        <v>100</v>
      </c>
      <c r="AH72" s="107"/>
      <c r="AP72" s="110"/>
      <c r="AQ72" s="110"/>
      <c r="AR72" s="110"/>
      <c r="AS72" s="110"/>
      <c r="AT72" s="110"/>
      <c r="AU72" s="110"/>
    </row>
    <row r="73" spans="1:47" ht="12.75" hidden="1">
      <c r="A73" s="110" t="s">
        <v>341</v>
      </c>
      <c r="B73" s="229">
        <v>43900</v>
      </c>
      <c r="C73" s="110">
        <v>10000</v>
      </c>
      <c r="D73" s="110">
        <v>9</v>
      </c>
      <c r="E73" s="110"/>
      <c r="F73" s="107" t="s">
        <v>263</v>
      </c>
      <c r="G73" s="107"/>
      <c r="H73" s="107"/>
      <c r="I73" s="107"/>
      <c r="J73" s="107"/>
      <c r="K73" s="107"/>
      <c r="L73" s="107"/>
      <c r="M73" s="107"/>
      <c r="N73" s="107"/>
      <c r="O73" s="107"/>
      <c r="P73" s="107"/>
      <c r="Q73" s="107"/>
      <c r="R73" s="107"/>
      <c r="S73" s="107"/>
      <c r="T73" s="107"/>
      <c r="U73" s="107"/>
      <c r="V73" s="107"/>
      <c r="W73" s="107"/>
      <c r="X73" s="107"/>
      <c r="Y73" s="107"/>
      <c r="Z73" s="107"/>
      <c r="AA73" s="167">
        <v>43924</v>
      </c>
      <c r="AB73" s="109">
        <f>_xlfn.DAYS(AA73,B73)</f>
        <v>24</v>
      </c>
      <c r="AC73" s="110">
        <v>35</v>
      </c>
      <c r="AD73" s="110">
        <v>1136.5</v>
      </c>
      <c r="AE73" s="110">
        <v>268</v>
      </c>
      <c r="AF73" s="110">
        <v>77</v>
      </c>
      <c r="AG73" s="10">
        <v>0</v>
      </c>
      <c r="AH73" s="108">
        <f>(AD73-AF73)/(D73*$K$1*2)%</f>
        <v>10.702020202020202</v>
      </c>
      <c r="AI73" s="108">
        <f>(AE73+AF73)/(D73*$K$1*2)%</f>
        <v>3.4848484848484849</v>
      </c>
      <c r="AP73" s="110"/>
      <c r="AQ73" s="110"/>
      <c r="AR73" s="110"/>
      <c r="AS73" s="110"/>
      <c r="AT73" s="110"/>
      <c r="AU73" s="110"/>
    </row>
    <row r="74" spans="1:47" ht="12.75" hidden="1">
      <c r="A74" s="110" t="s">
        <v>342</v>
      </c>
      <c r="B74" s="229">
        <v>43900</v>
      </c>
      <c r="C74" s="110">
        <v>10000</v>
      </c>
      <c r="D74" s="110">
        <v>9</v>
      </c>
      <c r="E74" s="110"/>
      <c r="F74" s="107" t="s">
        <v>263</v>
      </c>
      <c r="G74" s="107"/>
      <c r="H74" s="107"/>
      <c r="I74" s="107"/>
      <c r="J74" s="107"/>
      <c r="K74" s="107"/>
      <c r="L74" s="107"/>
      <c r="M74" s="107"/>
      <c r="N74" s="107"/>
      <c r="O74" s="107"/>
      <c r="P74" s="107"/>
      <c r="Q74" s="107"/>
      <c r="R74" s="107"/>
      <c r="S74" s="107"/>
      <c r="T74" s="107"/>
      <c r="U74" s="107"/>
      <c r="V74" s="107"/>
      <c r="W74" s="107"/>
      <c r="X74" s="107"/>
      <c r="Y74" s="107"/>
      <c r="Z74" s="107"/>
      <c r="AA74" s="167">
        <v>43924</v>
      </c>
      <c r="AB74" s="109">
        <f>_xlfn.DAYS(AA74,B74)</f>
        <v>24</v>
      </c>
      <c r="AC74" s="110">
        <v>30</v>
      </c>
      <c r="AD74" s="110">
        <v>1267</v>
      </c>
      <c r="AE74" s="110">
        <v>369</v>
      </c>
      <c r="AF74" s="110">
        <v>118.5</v>
      </c>
      <c r="AG74" s="10">
        <v>0</v>
      </c>
      <c r="AH74" s="108">
        <f>(AD74-AF74)/(D74*$K$1*2)%</f>
        <v>11.6010101010101</v>
      </c>
      <c r="AI74" s="108">
        <f>(AE74+AF74)/(D74*$K$1*2)%</f>
        <v>4.9242424242424239</v>
      </c>
      <c r="AP74" s="110"/>
      <c r="AQ74" s="110"/>
      <c r="AR74" s="110"/>
      <c r="AS74" s="110"/>
      <c r="AT74" s="110"/>
      <c r="AU74" s="110"/>
    </row>
    <row r="75" spans="1:47" ht="12.75" hidden="1">
      <c r="A75" s="110" t="s">
        <v>343</v>
      </c>
      <c r="B75" s="229">
        <v>43900</v>
      </c>
      <c r="C75" s="110">
        <v>10000</v>
      </c>
      <c r="D75" s="110">
        <v>9</v>
      </c>
      <c r="E75" s="110"/>
      <c r="F75" s="107" t="s">
        <v>263</v>
      </c>
      <c r="G75" s="107"/>
      <c r="H75" s="107"/>
      <c r="I75" s="107"/>
      <c r="J75" s="107"/>
      <c r="K75" s="107"/>
      <c r="L75" s="107"/>
      <c r="M75" s="107"/>
      <c r="N75" s="107"/>
      <c r="O75" s="107"/>
      <c r="P75" s="107"/>
      <c r="Q75" s="107"/>
      <c r="R75" s="107"/>
      <c r="S75" s="107"/>
      <c r="T75" s="107"/>
      <c r="U75" s="107"/>
      <c r="V75" s="107"/>
      <c r="W75" s="107"/>
      <c r="X75" s="107"/>
      <c r="Y75" s="107"/>
      <c r="Z75" s="107"/>
      <c r="AA75" s="167">
        <v>43924</v>
      </c>
      <c r="AB75" s="109">
        <f>_xlfn.DAYS(AA75,B75)</f>
        <v>24</v>
      </c>
      <c r="AC75" s="110">
        <v>35</v>
      </c>
      <c r="AD75" s="110">
        <v>1161.5</v>
      </c>
      <c r="AE75" s="110">
        <v>266</v>
      </c>
      <c r="AF75" s="110">
        <v>86.5</v>
      </c>
      <c r="AG75" s="10">
        <v>0</v>
      </c>
      <c r="AH75" s="108">
        <f>(AD75-AF75)/(D75*$K$1*2)%</f>
        <v>10.858585858585858</v>
      </c>
      <c r="AI75" s="108">
        <f>(AE75+AF75)/(D75*$K$1*2)%</f>
        <v>3.5606060606060606</v>
      </c>
      <c r="AK75" s="110"/>
      <c r="AL75" s="110"/>
      <c r="AM75" s="110"/>
      <c r="AN75" s="110"/>
      <c r="AO75" s="110"/>
      <c r="AP75" s="110"/>
      <c r="AQ75" s="110"/>
      <c r="AR75" s="110"/>
      <c r="AS75" s="110"/>
      <c r="AT75" s="110"/>
      <c r="AU75" s="110"/>
    </row>
    <row r="76" spans="1:47" ht="12.75" hidden="1">
      <c r="A76" s="110" t="s">
        <v>344</v>
      </c>
      <c r="B76" s="229">
        <v>43900</v>
      </c>
      <c r="C76" s="110">
        <v>10000</v>
      </c>
      <c r="D76" s="110">
        <v>9</v>
      </c>
      <c r="E76" s="110"/>
      <c r="F76" s="107" t="s">
        <v>263</v>
      </c>
      <c r="G76" s="107"/>
      <c r="H76" s="107"/>
      <c r="I76" s="107"/>
      <c r="J76" s="107"/>
      <c r="K76" s="107"/>
      <c r="L76" s="107"/>
      <c r="M76" s="107"/>
      <c r="N76" s="107"/>
      <c r="O76" s="107"/>
      <c r="P76" s="107"/>
      <c r="Q76" s="107"/>
      <c r="R76" s="107"/>
      <c r="S76" s="107"/>
      <c r="T76" s="107"/>
      <c r="U76" s="107"/>
      <c r="V76" s="107"/>
      <c r="W76" s="107"/>
      <c r="X76" s="107"/>
      <c r="Y76" s="107"/>
      <c r="Z76" s="107"/>
      <c r="AA76" s="167">
        <v>43924</v>
      </c>
      <c r="AB76" s="109">
        <f>_xlfn.DAYS(AA76,B76)</f>
        <v>24</v>
      </c>
      <c r="AC76" s="110">
        <v>33</v>
      </c>
      <c r="AD76" s="110">
        <v>1359</v>
      </c>
      <c r="AE76" s="110">
        <v>371</v>
      </c>
      <c r="AF76" s="110">
        <v>98</v>
      </c>
      <c r="AG76" s="10">
        <v>0</v>
      </c>
      <c r="AH76" s="108">
        <f>(AD76-AF76)/(D76*$K$1*2)%</f>
        <v>12.737373737373737</v>
      </c>
      <c r="AI76" s="108">
        <f>(AE76+AF76)/(D76*$K$1*2)%</f>
        <v>4.737373737373737</v>
      </c>
      <c r="AK76" s="110"/>
      <c r="AL76" s="110"/>
      <c r="AM76" s="110"/>
      <c r="AN76" s="110"/>
      <c r="AO76" s="110"/>
      <c r="AP76" s="110"/>
      <c r="AQ76" s="110"/>
      <c r="AR76" s="110"/>
      <c r="AS76" s="110"/>
      <c r="AT76" s="110"/>
      <c r="AU76" s="110"/>
    </row>
    <row r="77" spans="1:47" ht="12.75" hidden="1">
      <c r="A77" s="10" t="s">
        <v>345</v>
      </c>
      <c r="B77" s="229">
        <v>43952</v>
      </c>
      <c r="C77" s="10">
        <v>10000</v>
      </c>
      <c r="D77" s="10">
        <v>5.5</v>
      </c>
      <c r="E77" s="10"/>
      <c r="F77" s="107" t="s">
        <v>323</v>
      </c>
      <c r="G77" s="107"/>
      <c r="H77" s="107"/>
      <c r="I77" s="107"/>
      <c r="J77" s="107"/>
      <c r="K77" s="107"/>
      <c r="L77" s="107"/>
      <c r="M77" s="107"/>
      <c r="N77" s="107"/>
      <c r="O77" s="107"/>
      <c r="P77" s="107"/>
      <c r="Q77" s="107"/>
      <c r="R77" s="107"/>
      <c r="S77" s="107"/>
      <c r="T77" s="107"/>
      <c r="U77" s="107"/>
      <c r="V77" s="107"/>
      <c r="W77" s="107"/>
      <c r="X77" s="107"/>
      <c r="Y77" s="107"/>
      <c r="Z77" s="107"/>
      <c r="AA77" s="167">
        <v>43973</v>
      </c>
      <c r="AB77" s="109">
        <f>_xlfn.DAYS(AA77,B77)</f>
        <v>21</v>
      </c>
      <c r="AG77" s="10">
        <v>100</v>
      </c>
      <c r="AH77" s="107"/>
    </row>
    <row r="78" spans="1:47" ht="12.75" hidden="1">
      <c r="A78" s="10" t="s">
        <v>346</v>
      </c>
      <c r="B78" s="229">
        <v>43949</v>
      </c>
      <c r="C78" s="10">
        <v>10000</v>
      </c>
      <c r="D78" s="10">
        <v>3</v>
      </c>
      <c r="E78" s="10"/>
      <c r="F78" s="107" t="s">
        <v>323</v>
      </c>
      <c r="G78" s="107"/>
      <c r="H78" s="107"/>
      <c r="I78" s="107"/>
      <c r="J78" s="107"/>
      <c r="K78" s="107"/>
      <c r="L78" s="107"/>
      <c r="M78" s="107"/>
      <c r="N78" s="107"/>
      <c r="O78" s="107"/>
      <c r="P78" s="107"/>
      <c r="Q78" s="107"/>
      <c r="R78" s="107"/>
      <c r="S78" s="107"/>
      <c r="T78" s="107"/>
      <c r="U78" s="107"/>
      <c r="V78" s="107"/>
      <c r="W78" s="107"/>
      <c r="X78" s="107"/>
      <c r="Y78" s="107"/>
      <c r="Z78" s="107"/>
      <c r="AA78" s="167">
        <v>43973</v>
      </c>
      <c r="AB78" s="109">
        <f>_xlfn.DAYS(AA78,B78)</f>
        <v>24</v>
      </c>
      <c r="AG78" s="10">
        <v>100</v>
      </c>
      <c r="AH78" s="107"/>
    </row>
    <row r="79" spans="1:47" ht="12.75" hidden="1">
      <c r="A79" s="110" t="s">
        <v>347</v>
      </c>
      <c r="B79" s="229">
        <v>43900</v>
      </c>
      <c r="C79" s="110">
        <v>10000</v>
      </c>
      <c r="D79" s="110">
        <v>9</v>
      </c>
      <c r="E79" s="110"/>
      <c r="F79" s="107" t="s">
        <v>263</v>
      </c>
      <c r="G79" s="107"/>
      <c r="H79" s="107"/>
      <c r="I79" s="107"/>
      <c r="J79" s="107"/>
      <c r="K79" s="107"/>
      <c r="L79" s="107"/>
      <c r="M79" s="107"/>
      <c r="N79" s="107"/>
      <c r="O79" s="107"/>
      <c r="P79" s="107"/>
      <c r="Q79" s="107"/>
      <c r="R79" s="107"/>
      <c r="S79" s="107"/>
      <c r="T79" s="107"/>
      <c r="U79" s="107"/>
      <c r="V79" s="107"/>
      <c r="W79" s="107"/>
      <c r="X79" s="107"/>
      <c r="Y79" s="107"/>
      <c r="Z79" s="107"/>
      <c r="AA79" s="167">
        <v>43924</v>
      </c>
      <c r="AB79" s="109">
        <f>_xlfn.DAYS(AA79,B79)</f>
        <v>24</v>
      </c>
      <c r="AC79" s="110">
        <v>30</v>
      </c>
      <c r="AD79" s="110">
        <v>1320</v>
      </c>
      <c r="AE79" s="110">
        <v>334.5</v>
      </c>
      <c r="AF79" s="110">
        <v>78</v>
      </c>
      <c r="AG79" s="10">
        <v>0</v>
      </c>
      <c r="AH79" s="108">
        <f>(AD79-AF79)/(D79*$K$1*2)%</f>
        <v>12.545454545454545</v>
      </c>
      <c r="AI79" s="108">
        <f>(AE79+AF79)/(D79*$K$1*2)%</f>
        <v>4.166666666666667</v>
      </c>
      <c r="AK79" s="110"/>
      <c r="AL79" s="110"/>
      <c r="AM79" s="110"/>
      <c r="AN79" s="110"/>
      <c r="AO79" s="110"/>
      <c r="AP79" s="110"/>
      <c r="AQ79" s="110"/>
      <c r="AR79" s="110"/>
      <c r="AS79" s="110"/>
      <c r="AT79" s="110"/>
      <c r="AU79" s="110"/>
    </row>
    <row r="80" spans="1:47" ht="12.75" hidden="1">
      <c r="A80" s="10" t="s">
        <v>348</v>
      </c>
      <c r="B80" s="229">
        <v>43962</v>
      </c>
      <c r="C80" s="10" t="s">
        <v>349</v>
      </c>
      <c r="D80" s="10">
        <v>1</v>
      </c>
      <c r="E80" s="10"/>
      <c r="F80" s="107" t="s">
        <v>263</v>
      </c>
      <c r="G80" s="107"/>
      <c r="H80" s="107"/>
      <c r="I80" s="107"/>
      <c r="J80" s="107"/>
      <c r="K80" s="107"/>
      <c r="L80" s="107"/>
      <c r="M80" s="107"/>
      <c r="N80" s="107"/>
      <c r="O80" s="107"/>
      <c r="P80" s="107"/>
      <c r="Q80" s="107"/>
      <c r="R80" s="107"/>
      <c r="S80" s="107"/>
      <c r="T80" s="107"/>
      <c r="U80" s="107"/>
      <c r="V80" s="107"/>
      <c r="W80" s="107"/>
      <c r="X80" s="107"/>
      <c r="Y80" s="107"/>
      <c r="Z80" s="107"/>
      <c r="AA80" s="167">
        <v>43966</v>
      </c>
      <c r="AB80" s="109">
        <f>_xlfn.DAYS(AA80,B80)</f>
        <v>4</v>
      </c>
      <c r="AG80" s="10">
        <v>100</v>
      </c>
      <c r="AH80" s="108">
        <f>(AD80-AF80)/(D80*$K$1*2)%</f>
        <v>0</v>
      </c>
      <c r="AI80" s="108">
        <f>(AE80+AF80)/(D80*$K$1*2)%</f>
        <v>0</v>
      </c>
      <c r="AJ80" s="110"/>
      <c r="AK80" s="110"/>
      <c r="AL80" s="110"/>
      <c r="AM80" s="110"/>
      <c r="AN80" s="110"/>
      <c r="AO80" s="110"/>
      <c r="AP80" s="110"/>
      <c r="AQ80" s="110"/>
      <c r="AR80" s="110"/>
      <c r="AS80" s="110"/>
      <c r="AT80" s="110"/>
      <c r="AU80" s="110"/>
    </row>
    <row r="81" spans="1:47" ht="12.75" hidden="1">
      <c r="A81" s="107" t="s">
        <v>350</v>
      </c>
      <c r="B81" s="114">
        <v>44057</v>
      </c>
      <c r="C81" s="230">
        <v>10000</v>
      </c>
      <c r="D81" s="107">
        <f>COUNTA(G81:Z81)*0.5</f>
        <v>6</v>
      </c>
      <c r="F81" s="107" t="s">
        <v>263</v>
      </c>
      <c r="G81" s="177">
        <v>44057</v>
      </c>
      <c r="H81" s="177">
        <v>44057</v>
      </c>
      <c r="I81" s="177">
        <v>44061</v>
      </c>
      <c r="J81" s="177">
        <v>44061</v>
      </c>
      <c r="K81" s="177">
        <v>44064</v>
      </c>
      <c r="L81" s="177">
        <v>44064</v>
      </c>
      <c r="M81" s="177">
        <v>44064</v>
      </c>
      <c r="N81" s="177">
        <v>44067</v>
      </c>
      <c r="O81" s="177">
        <v>44069</v>
      </c>
      <c r="P81" s="177">
        <v>44069</v>
      </c>
      <c r="Q81" s="177">
        <v>44071</v>
      </c>
      <c r="R81" s="177">
        <v>44071</v>
      </c>
      <c r="S81" s="107"/>
      <c r="T81" s="107"/>
      <c r="U81" s="107"/>
      <c r="V81" s="107"/>
      <c r="W81" s="107"/>
      <c r="X81" s="107"/>
      <c r="Y81" s="107"/>
      <c r="Z81" s="107"/>
      <c r="AA81" s="166">
        <v>44077</v>
      </c>
      <c r="AB81" s="109">
        <f>_xlfn.DAYS(AA81,B81)</f>
        <v>20</v>
      </c>
      <c r="AC81" s="107">
        <f>AVERAGE(13/17,11/18)*100</f>
        <v>68.790849673202615</v>
      </c>
      <c r="AD81" s="107">
        <v>1008.5</v>
      </c>
      <c r="AE81" s="107">
        <v>346</v>
      </c>
      <c r="AF81" s="107">
        <v>34</v>
      </c>
      <c r="AG81" s="107">
        <f>COUNTIFS(F:F,"Culled",A:A,LEFT(A81,LEN(A81)-3)&amp;"*")/COUNTIF(A:A,LEFT(A81,LEN(A81)-3)&amp;"*")*100</f>
        <v>0</v>
      </c>
      <c r="AH81" s="108">
        <f>(AD81-AF81)/(D81*$K$1*2)%</f>
        <v>14.765151515151516</v>
      </c>
      <c r="AI81" s="108">
        <f>(AE81+AF81)/(D81*$K$1*2)%</f>
        <v>5.7575757575757578</v>
      </c>
      <c r="AK81" s="110"/>
      <c r="AL81" s="110"/>
      <c r="AM81" s="110"/>
      <c r="AN81" s="110"/>
      <c r="AO81" s="110"/>
      <c r="AP81" s="110"/>
      <c r="AQ81" s="110"/>
      <c r="AR81" s="110"/>
      <c r="AS81" s="110"/>
      <c r="AT81" s="110"/>
      <c r="AU81" s="110"/>
    </row>
    <row r="82" spans="1:47" ht="12.75" hidden="1">
      <c r="A82" s="107" t="s">
        <v>351</v>
      </c>
      <c r="B82" s="114">
        <v>44057</v>
      </c>
      <c r="C82" s="230">
        <v>10000</v>
      </c>
      <c r="D82" s="107">
        <f>COUNTA(G82:Z82)*0.5</f>
        <v>6</v>
      </c>
      <c r="F82" s="107" t="s">
        <v>263</v>
      </c>
      <c r="G82" s="177">
        <v>44057</v>
      </c>
      <c r="H82" s="177">
        <v>44057</v>
      </c>
      <c r="I82" s="177">
        <v>44061</v>
      </c>
      <c r="J82" s="177">
        <v>44061</v>
      </c>
      <c r="K82" s="177">
        <v>44064</v>
      </c>
      <c r="L82" s="177">
        <v>44064</v>
      </c>
      <c r="M82" s="177">
        <v>44064</v>
      </c>
      <c r="N82" s="177">
        <v>44067</v>
      </c>
      <c r="O82" s="177">
        <v>44069</v>
      </c>
      <c r="P82" s="177">
        <v>44069</v>
      </c>
      <c r="Q82" s="177">
        <v>44071</v>
      </c>
      <c r="R82" s="177">
        <v>44071</v>
      </c>
      <c r="S82" s="107"/>
      <c r="T82" s="107"/>
      <c r="U82" s="107"/>
      <c r="V82" s="107"/>
      <c r="W82" s="107"/>
      <c r="X82" s="107"/>
      <c r="Y82" s="107"/>
      <c r="Z82" s="107"/>
      <c r="AA82" s="166">
        <v>44077</v>
      </c>
      <c r="AB82" s="109">
        <f>_xlfn.DAYS(AA82,B82)</f>
        <v>20</v>
      </c>
      <c r="AC82" s="107">
        <f>AVERAGE(16/21,10/21)*100</f>
        <v>61.904761904761905</v>
      </c>
      <c r="AD82" s="107">
        <v>1085.5</v>
      </c>
      <c r="AE82" s="107">
        <v>331</v>
      </c>
      <c r="AF82" s="107">
        <v>29</v>
      </c>
      <c r="AG82" s="107">
        <f>COUNTIFS(F:F,"Culled",A:A,LEFT(A82,LEN(A82)-3)&amp;"*")/COUNTIF(A:A,LEFT(A82,LEN(A82)-3)&amp;"*")*100</f>
        <v>0</v>
      </c>
      <c r="AH82" s="108">
        <f>(AD82-AF82)/(D82*$K$1*2)%</f>
        <v>16.007575757575758</v>
      </c>
      <c r="AI82" s="108">
        <f>(AE82+AF82)/(D82*$K$1*2)%</f>
        <v>5.4545454545454541</v>
      </c>
      <c r="AK82" s="110"/>
      <c r="AL82" s="110"/>
      <c r="AM82" s="110"/>
      <c r="AN82" s="110"/>
      <c r="AO82" s="110"/>
      <c r="AP82" s="110"/>
      <c r="AQ82" s="110"/>
      <c r="AR82" s="110"/>
      <c r="AS82" s="110"/>
      <c r="AT82" s="110"/>
      <c r="AU82" s="110"/>
    </row>
    <row r="83" spans="1:47" ht="12.75" hidden="1">
      <c r="A83" s="107" t="s">
        <v>352</v>
      </c>
      <c r="B83" s="114">
        <v>44057</v>
      </c>
      <c r="C83" s="230">
        <v>10000</v>
      </c>
      <c r="D83" s="107">
        <f>COUNTA(G83:Z83)*0.5</f>
        <v>6</v>
      </c>
      <c r="F83" s="107" t="s">
        <v>263</v>
      </c>
      <c r="G83" s="177">
        <v>44057</v>
      </c>
      <c r="H83" s="177">
        <v>44057</v>
      </c>
      <c r="I83" s="177">
        <v>44061</v>
      </c>
      <c r="J83" s="177">
        <v>44061</v>
      </c>
      <c r="K83" s="177">
        <v>44064</v>
      </c>
      <c r="L83" s="177">
        <v>44064</v>
      </c>
      <c r="M83" s="177">
        <v>44064</v>
      </c>
      <c r="N83" s="177">
        <v>44067</v>
      </c>
      <c r="O83" s="177">
        <v>44069</v>
      </c>
      <c r="P83" s="177">
        <v>44069</v>
      </c>
      <c r="Q83" s="177">
        <v>44071</v>
      </c>
      <c r="R83" s="177">
        <v>44071</v>
      </c>
      <c r="S83" s="107"/>
      <c r="T83" s="107"/>
      <c r="U83" s="107"/>
      <c r="V83" s="107"/>
      <c r="W83" s="107"/>
      <c r="X83" s="107"/>
      <c r="Y83" s="107"/>
      <c r="Z83" s="107"/>
      <c r="AA83" s="166">
        <v>44077</v>
      </c>
      <c r="AB83" s="109">
        <f>_xlfn.DAYS(AA83,B83)</f>
        <v>20</v>
      </c>
      <c r="AC83" s="107">
        <f>AVERAGE(10/13,18/26)*100</f>
        <v>73.07692307692308</v>
      </c>
      <c r="AD83" s="107">
        <v>1094</v>
      </c>
      <c r="AE83" s="107">
        <v>338.5</v>
      </c>
      <c r="AF83" s="107">
        <v>37</v>
      </c>
      <c r="AG83" s="107">
        <f>COUNTIFS(F:F,"Culled",A:A,LEFT(A83,LEN(A83)-3)&amp;"*")/COUNTIF(A:A,LEFT(A83,LEN(A83)-3)&amp;"*")*100</f>
        <v>0</v>
      </c>
      <c r="AH83" s="108">
        <f>(AD83-AF83)/(D83*$K$1*2)%</f>
        <v>16.015151515151516</v>
      </c>
      <c r="AI83" s="108">
        <f>(AE83+AF83)/(D83*$K$1*2)%</f>
        <v>5.6893939393939394</v>
      </c>
      <c r="AK83" s="110"/>
      <c r="AL83" s="110"/>
      <c r="AM83" s="110"/>
      <c r="AN83" s="110"/>
      <c r="AO83" s="110"/>
      <c r="AP83" s="110"/>
      <c r="AQ83" s="110"/>
      <c r="AR83" s="110"/>
      <c r="AS83" s="110"/>
      <c r="AT83" s="110"/>
      <c r="AU83" s="110"/>
    </row>
    <row r="84" spans="1:47" ht="12.75" hidden="1">
      <c r="A84" s="107" t="s">
        <v>353</v>
      </c>
      <c r="B84" s="114">
        <v>44057</v>
      </c>
      <c r="C84" s="230">
        <v>10000</v>
      </c>
      <c r="D84" s="107">
        <f>COUNTA(G84:Z84)*0.5</f>
        <v>6</v>
      </c>
      <c r="F84" s="107" t="s">
        <v>263</v>
      </c>
      <c r="G84" s="177">
        <v>44057</v>
      </c>
      <c r="H84" s="177">
        <v>44057</v>
      </c>
      <c r="I84" s="177">
        <v>44061</v>
      </c>
      <c r="J84" s="177">
        <v>44061</v>
      </c>
      <c r="K84" s="177">
        <v>44064</v>
      </c>
      <c r="L84" s="177">
        <v>44064</v>
      </c>
      <c r="M84" s="177">
        <v>44064</v>
      </c>
      <c r="N84" s="177">
        <v>44067</v>
      </c>
      <c r="O84" s="177">
        <v>44069</v>
      </c>
      <c r="P84" s="177">
        <v>44069</v>
      </c>
      <c r="Q84" s="177">
        <v>44071</v>
      </c>
      <c r="R84" s="177">
        <v>44071</v>
      </c>
      <c r="S84" s="107"/>
      <c r="T84" s="107"/>
      <c r="U84" s="107"/>
      <c r="V84" s="107"/>
      <c r="W84" s="107"/>
      <c r="X84" s="107"/>
      <c r="Y84" s="107"/>
      <c r="Z84" s="107"/>
      <c r="AA84" s="166">
        <v>44077</v>
      </c>
      <c r="AB84" s="109">
        <f>_xlfn.DAYS(AA84,B84)</f>
        <v>20</v>
      </c>
      <c r="AC84" s="107">
        <f>AVERAGE(6/20,9/18)*100</f>
        <v>40</v>
      </c>
      <c r="AD84" s="107">
        <v>988.5</v>
      </c>
      <c r="AE84" s="107">
        <v>322.5</v>
      </c>
      <c r="AF84" s="107">
        <v>41</v>
      </c>
      <c r="AG84" s="107">
        <f>COUNTIFS(F:F,"Culled",A:A,LEFT(A84,LEN(A84)-3)&amp;"*")/COUNTIF(A:A,LEFT(A84,LEN(A84)-3)&amp;"*")*100</f>
        <v>0</v>
      </c>
      <c r="AH84" s="108">
        <f>(AD84-AF84)/(D84*$K$1*2)%</f>
        <v>14.356060606060606</v>
      </c>
      <c r="AI84" s="108">
        <f>(AE84+AF84)/(D84*$K$1*2)%</f>
        <v>5.5075757575757578</v>
      </c>
      <c r="AK84" s="110"/>
      <c r="AL84" s="110"/>
      <c r="AM84" s="110"/>
      <c r="AN84" s="110"/>
      <c r="AO84" s="110"/>
      <c r="AP84" s="110"/>
      <c r="AQ84" s="110"/>
      <c r="AR84" s="110"/>
      <c r="AS84" s="110"/>
      <c r="AT84" s="110"/>
      <c r="AU84" s="110"/>
    </row>
    <row r="85" spans="1:47" ht="12.75" hidden="1">
      <c r="A85" s="107" t="s">
        <v>354</v>
      </c>
      <c r="B85" s="226">
        <v>44057</v>
      </c>
      <c r="C85" s="230" t="s">
        <v>355</v>
      </c>
      <c r="D85" s="107">
        <f>COUNTA(G85:Z85)*0.5</f>
        <v>4</v>
      </c>
      <c r="F85" s="107" t="s">
        <v>263</v>
      </c>
      <c r="G85" s="225">
        <v>44057</v>
      </c>
      <c r="H85" s="225">
        <v>44057</v>
      </c>
      <c r="I85" s="225">
        <v>44061</v>
      </c>
      <c r="J85" s="225">
        <v>44061</v>
      </c>
      <c r="K85" s="225">
        <v>44064</v>
      </c>
      <c r="L85" s="225">
        <v>44064</v>
      </c>
      <c r="M85" s="225">
        <v>44064</v>
      </c>
      <c r="N85" s="226"/>
      <c r="O85" s="226"/>
      <c r="P85" s="226"/>
      <c r="Q85" s="226"/>
      <c r="R85" s="226"/>
      <c r="S85" s="226"/>
      <c r="T85" s="226"/>
      <c r="U85" s="226">
        <f>COUNTA(A73:A79,A86:A97,A72,A123:A124,A129:A150,A185:A190,A191,A216:A227)</f>
        <v>63</v>
      </c>
      <c r="V85" s="226"/>
      <c r="W85" s="226"/>
      <c r="X85" s="226"/>
      <c r="Y85" s="226"/>
      <c r="Z85" s="107"/>
      <c r="AB85" s="109">
        <f>_xlfn.DAYS(AA85,B85)</f>
        <v>-44057</v>
      </c>
      <c r="AG85" s="107">
        <f>COUNTIFS(F:F,"Culled",A:A,LEFT(A85,LEN(A85)-3)&amp;"*")/COUNTIF(A:A,LEFT(A85,LEN(A85)-3)&amp;"*")*100</f>
        <v>0</v>
      </c>
      <c r="AH85" s="108">
        <f>(AD85-AF85)/(D85*$K$1*2)%</f>
        <v>0</v>
      </c>
      <c r="AI85" s="108">
        <f>(AE85+AF85)/(D85*$K$1*2)%</f>
        <v>0</v>
      </c>
      <c r="AK85" s="110"/>
      <c r="AL85" s="110"/>
      <c r="AM85" s="110"/>
      <c r="AN85" s="110"/>
      <c r="AO85" s="110"/>
      <c r="AP85" s="110"/>
      <c r="AQ85" s="110"/>
      <c r="AR85" s="110"/>
      <c r="AS85" s="110"/>
      <c r="AT85" s="110"/>
      <c r="AU85" s="110"/>
    </row>
    <row r="86" spans="1:47" ht="12.75" hidden="1">
      <c r="A86" s="107" t="s">
        <v>356</v>
      </c>
      <c r="B86" s="226">
        <v>44061</v>
      </c>
      <c r="C86" s="230">
        <v>10000</v>
      </c>
      <c r="D86" s="107">
        <f>COUNTA(G86:Z86)*0.5</f>
        <v>8</v>
      </c>
      <c r="F86" s="107" t="s">
        <v>263</v>
      </c>
      <c r="G86" s="178">
        <v>44061</v>
      </c>
      <c r="H86" s="178">
        <v>44061</v>
      </c>
      <c r="I86" s="178">
        <v>44064</v>
      </c>
      <c r="J86" s="178">
        <v>44064</v>
      </c>
      <c r="K86" s="178">
        <v>44064</v>
      </c>
      <c r="L86" s="178">
        <v>44067</v>
      </c>
      <c r="M86" s="178">
        <v>44069</v>
      </c>
      <c r="N86" s="178">
        <v>44069</v>
      </c>
      <c r="O86" s="178">
        <v>44071</v>
      </c>
      <c r="P86" s="178">
        <v>44071</v>
      </c>
      <c r="Q86" s="178">
        <v>44076</v>
      </c>
      <c r="R86" s="178">
        <v>44078</v>
      </c>
      <c r="S86" s="178">
        <v>44081</v>
      </c>
      <c r="T86" s="178">
        <v>44083</v>
      </c>
      <c r="U86" s="178">
        <v>44088</v>
      </c>
      <c r="V86" s="178">
        <v>44090</v>
      </c>
      <c r="AB86" s="109">
        <f>_xlfn.DAYS(AA86,B86)</f>
        <v>-44061</v>
      </c>
      <c r="AG86" s="107">
        <f>COUNTIFS(F:F,"Culled",A:A,LEFT(A86,LEN(A86)-3)&amp;"*")/COUNTIF(A:A,LEFT(A86,LEN(A86)-3)&amp;"*")*100</f>
        <v>50</v>
      </c>
      <c r="AH86" s="108">
        <f>(AD86-AF86)/(D86*$K$1*2)%</f>
        <v>0</v>
      </c>
      <c r="AI86" s="108">
        <f>(AE86+AF86)/(D86*$K$1*2)%</f>
        <v>0</v>
      </c>
      <c r="AP86" s="110"/>
      <c r="AQ86" s="110"/>
      <c r="AR86" s="110"/>
      <c r="AS86" s="110"/>
      <c r="AT86" s="110"/>
      <c r="AU86" s="110"/>
    </row>
    <row r="87" spans="1:47" ht="12.75" hidden="1">
      <c r="A87" s="107" t="s">
        <v>357</v>
      </c>
      <c r="B87" s="226">
        <v>44061</v>
      </c>
      <c r="C87" s="230">
        <v>10000</v>
      </c>
      <c r="D87" s="107">
        <f>COUNTA(G87:Z87)*0.5</f>
        <v>5.5</v>
      </c>
      <c r="F87" s="107" t="s">
        <v>263</v>
      </c>
      <c r="G87" s="178">
        <v>44061</v>
      </c>
      <c r="H87" s="178">
        <v>44061</v>
      </c>
      <c r="I87" s="178">
        <v>44064</v>
      </c>
      <c r="J87" s="178">
        <v>44064</v>
      </c>
      <c r="K87" s="178">
        <v>44064</v>
      </c>
      <c r="L87" s="178">
        <v>44067</v>
      </c>
      <c r="M87" s="178">
        <v>44069</v>
      </c>
      <c r="N87" s="178">
        <v>44069</v>
      </c>
      <c r="O87" s="178">
        <v>44071</v>
      </c>
      <c r="P87" s="178">
        <v>44071</v>
      </c>
      <c r="Q87" s="178">
        <v>44076</v>
      </c>
      <c r="AA87" s="166">
        <v>44095</v>
      </c>
      <c r="AB87" s="109">
        <f>_xlfn.DAYS(AA87,B87)</f>
        <v>34</v>
      </c>
      <c r="AC87" s="107">
        <f>AVERAGE(24/26,23/25)</f>
        <v>0.92153846153846164</v>
      </c>
      <c r="AD87" s="107">
        <v>577</v>
      </c>
      <c r="AE87" s="107">
        <v>229.5</v>
      </c>
      <c r="AG87" s="107">
        <f>COUNTIFS(F:F,"Culled",A:A,LEFT(A87,LEN(A87)-3)&amp;"*")/COUNTIF(A:A,LEFT(A87,LEN(A87)-3)&amp;"*")*100</f>
        <v>50</v>
      </c>
      <c r="AH87" s="108">
        <f>(AD87-AF87)/(D87*$K$1*2)%</f>
        <v>9.5371900826446279</v>
      </c>
      <c r="AI87" s="108">
        <f>(AE87+AF87)/(D87*$K$1*2)%</f>
        <v>3.7933884297520661</v>
      </c>
      <c r="AK87" s="110"/>
      <c r="AL87" s="110"/>
      <c r="AM87" s="110"/>
      <c r="AN87" s="110"/>
      <c r="AO87" s="110"/>
      <c r="AP87" s="110"/>
      <c r="AQ87" s="110"/>
      <c r="AR87" s="110"/>
      <c r="AS87" s="110"/>
      <c r="AT87" s="110"/>
      <c r="AU87" s="110"/>
    </row>
    <row r="88" spans="1:47" ht="12.75" hidden="1">
      <c r="A88" s="107" t="s">
        <v>358</v>
      </c>
      <c r="B88" s="226">
        <v>44061</v>
      </c>
      <c r="C88" s="230">
        <v>10000</v>
      </c>
      <c r="D88" s="107">
        <f>COUNTA(G88:Z88)*0.5</f>
        <v>7</v>
      </c>
      <c r="F88" s="107" t="s">
        <v>263</v>
      </c>
      <c r="G88" s="178">
        <v>44061</v>
      </c>
      <c r="H88" s="178">
        <v>44061</v>
      </c>
      <c r="I88" s="178">
        <v>44064</v>
      </c>
      <c r="J88" s="178">
        <v>44064</v>
      </c>
      <c r="K88" s="178">
        <v>44064</v>
      </c>
      <c r="L88" s="178">
        <v>44067</v>
      </c>
      <c r="M88" s="178">
        <v>44069</v>
      </c>
      <c r="N88" s="178">
        <v>44069</v>
      </c>
      <c r="O88" s="178">
        <v>44071</v>
      </c>
      <c r="P88" s="178">
        <v>44071</v>
      </c>
      <c r="Q88" s="178">
        <v>44076</v>
      </c>
      <c r="R88" s="178">
        <v>44078</v>
      </c>
      <c r="S88" s="178">
        <v>44081</v>
      </c>
      <c r="T88" s="178">
        <v>44088</v>
      </c>
      <c r="AA88" s="166">
        <v>44095</v>
      </c>
      <c r="AB88" s="109">
        <f>_xlfn.DAYS(AA88,B88)</f>
        <v>34</v>
      </c>
      <c r="AC88" s="107">
        <f>15/22</f>
        <v>0.68181818181818177</v>
      </c>
      <c r="AD88" s="107">
        <v>966.5</v>
      </c>
      <c r="AE88" s="107">
        <v>290</v>
      </c>
      <c r="AG88" s="107">
        <f>COUNTIFS(F:F,"Culled",A:A,LEFT(A88,LEN(A88)-3)&amp;"*")/COUNTIF(A:A,LEFT(A88,LEN(A88)-3)&amp;"*")*100</f>
        <v>50</v>
      </c>
      <c r="AH88" s="108">
        <f>(AD88-AF88)/(D88*$K$1*2)%</f>
        <v>12.551948051948052</v>
      </c>
      <c r="AI88" s="108">
        <f>(AE88+AF88)/(D88*$K$1*2)%</f>
        <v>3.7662337662337664</v>
      </c>
      <c r="AK88" s="110"/>
      <c r="AL88" s="110"/>
      <c r="AM88" s="110"/>
      <c r="AN88" s="110"/>
      <c r="AO88" s="110"/>
      <c r="AP88" s="110"/>
      <c r="AQ88" s="110"/>
      <c r="AR88" s="110"/>
      <c r="AS88" s="110"/>
      <c r="AT88" s="110"/>
      <c r="AU88" s="110"/>
    </row>
    <row r="89" spans="1:47" ht="12.75" hidden="1">
      <c r="A89" s="110" t="s">
        <v>359</v>
      </c>
      <c r="B89" s="229">
        <v>43909</v>
      </c>
      <c r="C89" s="110">
        <v>10000</v>
      </c>
      <c r="D89" s="110">
        <v>7</v>
      </c>
      <c r="E89" s="110"/>
      <c r="F89" s="107" t="s">
        <v>263</v>
      </c>
      <c r="G89" s="107"/>
      <c r="H89" s="107"/>
      <c r="I89" s="107"/>
      <c r="J89" s="107"/>
      <c r="K89" s="107"/>
      <c r="L89" s="107"/>
      <c r="M89" s="107"/>
      <c r="N89" s="107"/>
      <c r="O89" s="107"/>
      <c r="P89" s="107"/>
      <c r="Q89" s="107"/>
      <c r="R89" s="107"/>
      <c r="S89" s="107"/>
      <c r="T89" s="107"/>
      <c r="U89" s="107"/>
      <c r="V89" s="107"/>
      <c r="W89" s="107"/>
      <c r="X89" s="107"/>
      <c r="Y89" s="107"/>
      <c r="Z89" s="107"/>
      <c r="AA89" s="167">
        <v>43936</v>
      </c>
      <c r="AB89" s="109">
        <f>_xlfn.DAYS(AA89,B89)</f>
        <v>27</v>
      </c>
      <c r="AC89" s="110">
        <v>25</v>
      </c>
      <c r="AD89" s="110">
        <v>1126.5</v>
      </c>
      <c r="AE89" s="110">
        <v>370.5</v>
      </c>
      <c r="AF89" s="110">
        <v>52</v>
      </c>
      <c r="AG89" s="110">
        <v>66.599999999999994</v>
      </c>
      <c r="AH89" s="108">
        <f>(AD89-AF89)/(D89*$K$1*2)%</f>
        <v>13.954545454545455</v>
      </c>
      <c r="AI89" s="108">
        <f>(AE89+AF89)/(D89*$K$1*2)%</f>
        <v>5.4870129870129869</v>
      </c>
      <c r="AJ89" s="110"/>
      <c r="AK89" s="110"/>
      <c r="AL89" s="110"/>
      <c r="AM89" s="110"/>
      <c r="AN89" s="110"/>
      <c r="AO89" s="110"/>
      <c r="AP89" s="110"/>
      <c r="AQ89" s="110"/>
      <c r="AR89" s="110"/>
      <c r="AS89" s="110"/>
      <c r="AT89" s="110"/>
      <c r="AU89" s="110"/>
    </row>
    <row r="90" spans="1:47" ht="12.75" hidden="1">
      <c r="A90" s="110" t="s">
        <v>360</v>
      </c>
      <c r="B90" s="229">
        <v>43909</v>
      </c>
      <c r="C90" s="110">
        <v>10000</v>
      </c>
      <c r="D90" s="110">
        <v>7</v>
      </c>
      <c r="E90" s="110"/>
      <c r="F90" s="107" t="s">
        <v>263</v>
      </c>
      <c r="G90" s="107"/>
      <c r="H90" s="107"/>
      <c r="I90" s="107"/>
      <c r="J90" s="107"/>
      <c r="K90" s="107"/>
      <c r="L90" s="107"/>
      <c r="M90" s="107"/>
      <c r="N90" s="107"/>
      <c r="O90" s="107"/>
      <c r="P90" s="107"/>
      <c r="Q90" s="107"/>
      <c r="R90" s="107"/>
      <c r="S90" s="107"/>
      <c r="T90" s="107"/>
      <c r="U90" s="107"/>
      <c r="V90" s="107"/>
      <c r="W90" s="107"/>
      <c r="X90" s="107"/>
      <c r="Y90" s="107"/>
      <c r="Z90" s="107"/>
      <c r="AA90" s="167">
        <v>43936</v>
      </c>
      <c r="AB90" s="109">
        <f>_xlfn.DAYS(AA90,B90)</f>
        <v>27</v>
      </c>
      <c r="AC90" s="110">
        <v>15</v>
      </c>
      <c r="AD90" s="110">
        <v>1202</v>
      </c>
      <c r="AE90" s="110">
        <v>333</v>
      </c>
      <c r="AF90" s="110">
        <v>60</v>
      </c>
      <c r="AG90" s="110">
        <v>66.599999999999994</v>
      </c>
      <c r="AH90" s="108">
        <f>(AD90-AF90)/(D90*$K$1*2)%</f>
        <v>14.831168831168831</v>
      </c>
      <c r="AI90" s="108">
        <f>(AE90+AF90)/(D90*$K$1*2)%</f>
        <v>5.1038961038961039</v>
      </c>
      <c r="AJ90" s="110"/>
      <c r="AK90" s="110"/>
      <c r="AL90" s="110"/>
      <c r="AM90" s="110"/>
      <c r="AN90" s="110"/>
      <c r="AO90" s="110"/>
      <c r="AP90" s="110"/>
      <c r="AQ90" s="110"/>
      <c r="AR90" s="110"/>
      <c r="AS90" s="110"/>
      <c r="AT90" s="110"/>
      <c r="AU90" s="110"/>
    </row>
    <row r="91" spans="1:47" ht="12.75" hidden="1">
      <c r="A91" s="110" t="s">
        <v>361</v>
      </c>
      <c r="B91" s="229">
        <v>43909</v>
      </c>
      <c r="C91" s="110">
        <v>10000</v>
      </c>
      <c r="D91" s="110">
        <v>8</v>
      </c>
      <c r="E91" s="110"/>
      <c r="F91" s="107" t="s">
        <v>263</v>
      </c>
      <c r="G91" s="107"/>
      <c r="H91" s="107"/>
      <c r="I91" s="107"/>
      <c r="J91" s="107"/>
      <c r="K91" s="107"/>
      <c r="L91" s="107"/>
      <c r="M91" s="107"/>
      <c r="N91" s="107"/>
      <c r="O91" s="107"/>
      <c r="P91" s="107"/>
      <c r="Q91" s="107"/>
      <c r="R91" s="107"/>
      <c r="S91" s="107"/>
      <c r="T91" s="107"/>
      <c r="U91" s="107"/>
      <c r="V91" s="107"/>
      <c r="W91" s="107"/>
      <c r="X91" s="107"/>
      <c r="Y91" s="107"/>
      <c r="Z91" s="107"/>
      <c r="AA91" s="167">
        <v>43936</v>
      </c>
      <c r="AB91" s="109">
        <f>_xlfn.DAYS(AA91,B91)</f>
        <v>27</v>
      </c>
      <c r="AC91" s="110">
        <v>24</v>
      </c>
      <c r="AD91" s="110">
        <v>1375</v>
      </c>
      <c r="AE91" s="110">
        <v>391.5</v>
      </c>
      <c r="AF91" s="110">
        <v>100.5</v>
      </c>
      <c r="AG91" s="110">
        <v>66.599999999999994</v>
      </c>
      <c r="AH91" s="108">
        <f>(AD91-AF91)/(D91*$K$1*2)%</f>
        <v>14.482954545454545</v>
      </c>
      <c r="AI91" s="108">
        <f>(AE91+AF91)/(D91*$K$1*2)%</f>
        <v>5.5909090909090908</v>
      </c>
      <c r="AJ91" s="110"/>
      <c r="AK91" s="110"/>
      <c r="AL91" s="110"/>
      <c r="AM91" s="110"/>
      <c r="AN91" s="110"/>
      <c r="AO91" s="110"/>
      <c r="AP91" s="110"/>
      <c r="AQ91" s="110"/>
      <c r="AR91" s="110"/>
      <c r="AS91" s="110"/>
      <c r="AT91" s="110"/>
      <c r="AU91" s="110"/>
    </row>
    <row r="92" spans="1:47" ht="12.75" hidden="1">
      <c r="A92" s="110" t="s">
        <v>362</v>
      </c>
      <c r="B92" s="229">
        <v>43909</v>
      </c>
      <c r="C92" s="110">
        <v>10000</v>
      </c>
      <c r="D92" s="110">
        <v>8</v>
      </c>
      <c r="E92" s="110"/>
      <c r="F92" s="107" t="s">
        <v>263</v>
      </c>
      <c r="G92" s="107"/>
      <c r="H92" s="107"/>
      <c r="I92" s="107"/>
      <c r="J92" s="107"/>
      <c r="K92" s="107"/>
      <c r="L92" s="107"/>
      <c r="M92" s="107"/>
      <c r="N92" s="107"/>
      <c r="O92" s="107"/>
      <c r="P92" s="107"/>
      <c r="Q92" s="107"/>
      <c r="R92" s="107"/>
      <c r="S92" s="107"/>
      <c r="T92" s="107"/>
      <c r="U92" s="107"/>
      <c r="V92" s="107"/>
      <c r="W92" s="107"/>
      <c r="X92" s="107"/>
      <c r="Y92" s="107"/>
      <c r="Z92" s="107"/>
      <c r="AA92" s="167">
        <v>43936</v>
      </c>
      <c r="AB92" s="109">
        <f>_xlfn.DAYS(AA92,B92)</f>
        <v>27</v>
      </c>
      <c r="AC92" s="110">
        <v>33</v>
      </c>
      <c r="AD92" s="110">
        <v>1317</v>
      </c>
      <c r="AE92" s="110">
        <v>382.5</v>
      </c>
      <c r="AF92" s="110">
        <v>51.5</v>
      </c>
      <c r="AG92" s="110">
        <v>66.599999999999994</v>
      </c>
      <c r="AH92" s="108">
        <f>(AD92-AF92)/(D92*$K$1*2)%</f>
        <v>14.380681818181818</v>
      </c>
      <c r="AI92" s="108">
        <f>(AE92+AF92)/(D92*$K$1*2)%</f>
        <v>4.9318181818181817</v>
      </c>
      <c r="AJ92" s="110"/>
      <c r="AK92" s="110"/>
      <c r="AL92" s="110"/>
      <c r="AM92" s="110"/>
      <c r="AN92" s="110"/>
      <c r="AO92" s="110"/>
      <c r="AP92" s="110"/>
      <c r="AQ92" s="110"/>
      <c r="AR92" s="110"/>
      <c r="AS92" s="110"/>
      <c r="AT92" s="110"/>
      <c r="AU92" s="110"/>
    </row>
    <row r="93" spans="1:47" ht="12.75" hidden="1">
      <c r="A93" s="110" t="s">
        <v>363</v>
      </c>
      <c r="B93" s="229">
        <v>44004</v>
      </c>
      <c r="C93" s="110">
        <v>9500</v>
      </c>
      <c r="D93" s="110">
        <v>6.5</v>
      </c>
      <c r="E93" s="110"/>
      <c r="F93" s="107" t="s">
        <v>263</v>
      </c>
      <c r="G93" s="107"/>
      <c r="H93" s="107"/>
      <c r="I93" s="107"/>
      <c r="J93" s="107"/>
      <c r="K93" s="107"/>
      <c r="L93" s="107"/>
      <c r="M93" s="107"/>
      <c r="N93" s="107"/>
      <c r="O93" s="107"/>
      <c r="P93" s="107"/>
      <c r="Q93" s="107"/>
      <c r="R93" s="107"/>
      <c r="S93" s="107"/>
      <c r="T93" s="107"/>
      <c r="U93" s="107"/>
      <c r="V93" s="107"/>
      <c r="W93" s="107"/>
      <c r="X93" s="107"/>
      <c r="Y93" s="107"/>
      <c r="Z93" s="107"/>
      <c r="AA93" s="167">
        <v>44033</v>
      </c>
      <c r="AB93" s="109">
        <f>_xlfn.DAYS(AA93,B93)</f>
        <v>29</v>
      </c>
      <c r="AC93" s="110">
        <f>AVERAGE(15/28,19/31)*100</f>
        <v>57.430875576036868</v>
      </c>
      <c r="AD93" s="110">
        <v>907.5</v>
      </c>
      <c r="AE93" s="110">
        <v>313.5</v>
      </c>
      <c r="AF93" s="110"/>
      <c r="AG93" s="110">
        <v>0</v>
      </c>
      <c r="AH93" s="108">
        <f>(AD93-AF93)/(D93*$K$1*2)%</f>
        <v>12.692307692307692</v>
      </c>
      <c r="AI93" s="108">
        <f>(AE93+AF93)/(D93*$K$1*2)%</f>
        <v>4.384615384615385</v>
      </c>
      <c r="AK93" s="110"/>
      <c r="AL93" s="110"/>
      <c r="AM93" s="110"/>
      <c r="AN93" s="110"/>
      <c r="AO93" s="110"/>
      <c r="AP93" s="110"/>
      <c r="AQ93" s="110"/>
      <c r="AR93" s="110"/>
      <c r="AS93" s="110"/>
      <c r="AT93" s="110"/>
      <c r="AU93" s="110"/>
    </row>
    <row r="94" spans="1:47" ht="12.75" hidden="1">
      <c r="A94" s="110" t="s">
        <v>364</v>
      </c>
      <c r="B94" s="229">
        <v>44004</v>
      </c>
      <c r="C94" s="110">
        <v>9500</v>
      </c>
      <c r="D94" s="110">
        <v>6.5</v>
      </c>
      <c r="E94" s="110"/>
      <c r="F94" s="107" t="s">
        <v>263</v>
      </c>
      <c r="G94" s="107"/>
      <c r="H94" s="107"/>
      <c r="I94" s="107"/>
      <c r="J94" s="107"/>
      <c r="K94" s="107"/>
      <c r="L94" s="107"/>
      <c r="M94" s="107"/>
      <c r="N94" s="107"/>
      <c r="O94" s="107"/>
      <c r="P94" s="107"/>
      <c r="Q94" s="107"/>
      <c r="R94" s="107"/>
      <c r="S94" s="107"/>
      <c r="T94" s="107"/>
      <c r="U94" s="107"/>
      <c r="V94" s="107"/>
      <c r="W94" s="107"/>
      <c r="X94" s="107"/>
      <c r="Y94" s="107"/>
      <c r="Z94" s="107"/>
      <c r="AA94" s="167">
        <v>44033</v>
      </c>
      <c r="AB94" s="109">
        <f>_xlfn.DAYS(AA94,B94)</f>
        <v>29</v>
      </c>
      <c r="AC94" s="110">
        <f>AVERAGE(20/38,9/25)*100</f>
        <v>44.315789473684205</v>
      </c>
      <c r="AD94" s="110">
        <v>833</v>
      </c>
      <c r="AE94" s="110">
        <v>286.5</v>
      </c>
      <c r="AF94" s="110"/>
      <c r="AG94" s="110">
        <v>0</v>
      </c>
      <c r="AH94" s="108">
        <f>(AD94-AF94)/(D94*$K$1*2)%</f>
        <v>11.65034965034965</v>
      </c>
      <c r="AI94" s="108">
        <f>(AE94+AF94)/(D94*$K$1*2)%</f>
        <v>4.0069930069930066</v>
      </c>
      <c r="AK94" s="110"/>
      <c r="AL94" s="110"/>
      <c r="AM94" s="110"/>
      <c r="AN94" s="110"/>
      <c r="AO94" s="110"/>
      <c r="AP94" s="110"/>
      <c r="AQ94" s="110"/>
      <c r="AR94" s="110"/>
      <c r="AS94" s="110"/>
      <c r="AT94" s="110"/>
      <c r="AU94" s="110"/>
    </row>
    <row r="95" spans="1:47" ht="12.75" hidden="1">
      <c r="A95" s="110" t="s">
        <v>365</v>
      </c>
      <c r="B95" s="229">
        <v>43944</v>
      </c>
      <c r="C95" s="110">
        <v>10000</v>
      </c>
      <c r="D95" s="110">
        <v>5</v>
      </c>
      <c r="E95" s="110"/>
      <c r="F95" s="107" t="s">
        <v>263</v>
      </c>
      <c r="G95" s="107"/>
      <c r="H95" s="107"/>
      <c r="I95" s="107"/>
      <c r="J95" s="107"/>
      <c r="K95" s="107"/>
      <c r="L95" s="107"/>
      <c r="M95" s="107"/>
      <c r="N95" s="107"/>
      <c r="O95" s="107"/>
      <c r="P95" s="107"/>
      <c r="Q95" s="107"/>
      <c r="R95" s="107"/>
      <c r="S95" s="107"/>
      <c r="T95" s="107"/>
      <c r="U95" s="107"/>
      <c r="V95" s="107"/>
      <c r="W95" s="107"/>
      <c r="X95" s="107"/>
      <c r="Y95" s="107"/>
      <c r="Z95" s="107"/>
      <c r="AA95" s="167">
        <v>43966</v>
      </c>
      <c r="AB95" s="109">
        <f>_xlfn.DAYS(AA95,B95)</f>
        <v>22</v>
      </c>
      <c r="AC95" s="10">
        <f>(3/15%)</f>
        <v>20</v>
      </c>
      <c r="AD95" s="10">
        <v>947.5</v>
      </c>
      <c r="AE95" s="10">
        <v>214.5</v>
      </c>
      <c r="AF95" s="10">
        <v>45.5</v>
      </c>
      <c r="AG95" s="10">
        <v>20</v>
      </c>
      <c r="AH95" s="108">
        <f>(AD95-AF95)/(D95*$K$1*2)%</f>
        <v>16.399999999999999</v>
      </c>
      <c r="AI95" s="108">
        <f>(AE95+AF95)/(D95*$K$1*2)%</f>
        <v>4.7272727272727275</v>
      </c>
      <c r="AK95" s="110"/>
      <c r="AL95" s="110"/>
      <c r="AM95" s="110"/>
      <c r="AN95" s="110"/>
      <c r="AO95" s="110"/>
      <c r="AP95" s="110"/>
      <c r="AQ95" s="110"/>
      <c r="AR95" s="110"/>
      <c r="AS95" s="110"/>
      <c r="AT95" s="110"/>
      <c r="AU95" s="110"/>
    </row>
    <row r="96" spans="1:47" ht="12.75" hidden="1">
      <c r="A96" s="110" t="s">
        <v>366</v>
      </c>
      <c r="B96" s="229">
        <v>43944</v>
      </c>
      <c r="C96" s="110">
        <v>10000</v>
      </c>
      <c r="D96" s="110">
        <v>4.5</v>
      </c>
      <c r="E96" s="110"/>
      <c r="F96" s="107" t="s">
        <v>263</v>
      </c>
      <c r="G96" s="107"/>
      <c r="H96" s="107"/>
      <c r="I96" s="107"/>
      <c r="J96" s="107"/>
      <c r="K96" s="107"/>
      <c r="L96" s="107"/>
      <c r="M96" s="107"/>
      <c r="N96" s="107"/>
      <c r="O96" s="107"/>
      <c r="P96" s="107"/>
      <c r="Q96" s="107"/>
      <c r="R96" s="107"/>
      <c r="S96" s="107"/>
      <c r="T96" s="107"/>
      <c r="U96" s="107"/>
      <c r="V96" s="107"/>
      <c r="W96" s="107"/>
      <c r="X96" s="107"/>
      <c r="Y96" s="107"/>
      <c r="Z96" s="107"/>
      <c r="AA96" s="167">
        <v>43966</v>
      </c>
      <c r="AB96" s="109">
        <f>_xlfn.DAYS(AA96,B96)</f>
        <v>22</v>
      </c>
      <c r="AC96" s="10">
        <f>5/24%</f>
        <v>20.833333333333336</v>
      </c>
      <c r="AD96" s="10">
        <v>983</v>
      </c>
      <c r="AE96" s="10">
        <v>171.5</v>
      </c>
      <c r="AF96" s="10">
        <v>73</v>
      </c>
      <c r="AG96" s="10">
        <v>20</v>
      </c>
      <c r="AH96" s="108">
        <f>(AD96-AF96)/(D96*$K$1*2)%</f>
        <v>18.383838383838384</v>
      </c>
      <c r="AI96" s="108">
        <f>(AE96+AF96)/(D96*$K$1*2)%</f>
        <v>4.9393939393939394</v>
      </c>
      <c r="AK96" s="110"/>
      <c r="AL96" s="110"/>
      <c r="AM96" s="110"/>
      <c r="AN96" s="110"/>
      <c r="AO96" s="110"/>
      <c r="AP96" s="110"/>
      <c r="AQ96" s="110"/>
      <c r="AR96" s="110"/>
      <c r="AS96" s="110"/>
      <c r="AT96" s="110"/>
      <c r="AU96" s="110"/>
    </row>
    <row r="97" spans="1:47" ht="12.75" hidden="1">
      <c r="A97" s="110" t="s">
        <v>367</v>
      </c>
      <c r="B97" s="229">
        <v>43944</v>
      </c>
      <c r="C97" s="110">
        <v>10000</v>
      </c>
      <c r="D97" s="110">
        <v>5</v>
      </c>
      <c r="E97" s="110"/>
      <c r="F97" s="107" t="s">
        <v>263</v>
      </c>
      <c r="G97" s="107"/>
      <c r="H97" s="107"/>
      <c r="I97" s="107"/>
      <c r="J97" s="107"/>
      <c r="K97" s="107"/>
      <c r="L97" s="107"/>
      <c r="M97" s="107"/>
      <c r="N97" s="107"/>
      <c r="O97" s="107"/>
      <c r="P97" s="107"/>
      <c r="Q97" s="107"/>
      <c r="R97" s="107"/>
      <c r="S97" s="107"/>
      <c r="T97" s="107"/>
      <c r="U97" s="107"/>
      <c r="V97" s="107"/>
      <c r="W97" s="107"/>
      <c r="X97" s="107"/>
      <c r="Y97" s="107"/>
      <c r="Z97" s="107"/>
      <c r="AA97" s="167">
        <v>43966</v>
      </c>
      <c r="AB97" s="109">
        <f>_xlfn.DAYS(AA97,B97)</f>
        <v>22</v>
      </c>
      <c r="AC97" s="10">
        <f>10/20%</f>
        <v>50</v>
      </c>
      <c r="AD97" s="10">
        <v>903</v>
      </c>
      <c r="AE97" s="10">
        <v>197</v>
      </c>
      <c r="AF97" s="10">
        <v>67</v>
      </c>
      <c r="AG97" s="10">
        <v>20</v>
      </c>
      <c r="AH97" s="108">
        <f>(AD97-AF97)/(D97*$K$1*2)%</f>
        <v>15.2</v>
      </c>
      <c r="AI97" s="108">
        <f>(AE97+AF97)/(D97*$K$1*2)%</f>
        <v>4.8</v>
      </c>
      <c r="AK97" s="110"/>
      <c r="AL97" s="110"/>
      <c r="AM97" s="110"/>
      <c r="AN97" s="110"/>
      <c r="AO97" s="110"/>
      <c r="AP97" s="110"/>
      <c r="AQ97" s="110"/>
      <c r="AR97" s="110"/>
      <c r="AS97" s="110"/>
      <c r="AT97" s="110"/>
      <c r="AU97" s="110"/>
    </row>
    <row r="98" spans="1:47" ht="12.75" hidden="1">
      <c r="A98" s="110" t="s">
        <v>368</v>
      </c>
      <c r="B98" s="229">
        <v>43944</v>
      </c>
      <c r="C98" s="110">
        <v>10000</v>
      </c>
      <c r="D98" s="110">
        <v>5</v>
      </c>
      <c r="E98" s="110"/>
      <c r="F98" s="107" t="s">
        <v>263</v>
      </c>
      <c r="G98" s="107"/>
      <c r="H98" s="107"/>
      <c r="I98" s="107"/>
      <c r="J98" s="107"/>
      <c r="K98" s="107"/>
      <c r="L98" s="107"/>
      <c r="M98" s="107"/>
      <c r="N98" s="107"/>
      <c r="O98" s="107"/>
      <c r="P98" s="107"/>
      <c r="Q98" s="107"/>
      <c r="R98" s="107"/>
      <c r="S98" s="107"/>
      <c r="T98" s="107"/>
      <c r="U98" s="107"/>
      <c r="V98" s="107"/>
      <c r="W98" s="107"/>
      <c r="X98" s="107"/>
      <c r="Y98" s="107"/>
      <c r="Z98" s="107"/>
      <c r="AA98" s="167">
        <v>43966</v>
      </c>
      <c r="AB98" s="109">
        <f>_xlfn.DAYS(AA98,B98)</f>
        <v>22</v>
      </c>
      <c r="AC98" s="10">
        <f>4/15%</f>
        <v>26.666666666666668</v>
      </c>
      <c r="AD98" s="10">
        <v>1000</v>
      </c>
      <c r="AE98" s="10">
        <v>214</v>
      </c>
      <c r="AF98" s="10">
        <v>59.5</v>
      </c>
      <c r="AG98" s="10">
        <v>20</v>
      </c>
      <c r="AH98" s="108">
        <f>(AD98-AF98)/(D98*$K$1*2)%</f>
        <v>17.100000000000001</v>
      </c>
      <c r="AI98" s="108">
        <f>(AE98+AF98)/(D98*$K$1*2)%</f>
        <v>4.9727272727272727</v>
      </c>
      <c r="AK98" s="110"/>
      <c r="AL98" s="110"/>
      <c r="AM98" s="110"/>
      <c r="AN98" s="110"/>
      <c r="AO98" s="110"/>
      <c r="AP98" s="110"/>
      <c r="AQ98" s="110"/>
      <c r="AR98" s="110"/>
      <c r="AS98" s="110"/>
      <c r="AT98" s="110"/>
      <c r="AU98" s="110"/>
    </row>
    <row r="99" spans="1:47" ht="12.75" hidden="1">
      <c r="A99" s="10" t="s">
        <v>369</v>
      </c>
      <c r="B99" s="229">
        <v>43950</v>
      </c>
      <c r="C99" s="10">
        <v>10000</v>
      </c>
      <c r="D99" s="10">
        <v>7.5</v>
      </c>
      <c r="E99" s="10"/>
      <c r="F99" s="107" t="s">
        <v>263</v>
      </c>
      <c r="G99" s="107"/>
      <c r="H99" s="107"/>
      <c r="I99" s="107"/>
      <c r="J99" s="107"/>
      <c r="K99" s="107"/>
      <c r="L99" s="107"/>
      <c r="M99" s="107"/>
      <c r="N99" s="107"/>
      <c r="O99" s="107"/>
      <c r="P99" s="107"/>
      <c r="Q99" s="107"/>
      <c r="R99" s="107"/>
      <c r="S99" s="107"/>
      <c r="T99" s="107"/>
      <c r="U99" s="107"/>
      <c r="V99" s="107"/>
      <c r="W99" s="107"/>
      <c r="X99" s="107"/>
      <c r="Y99" s="107"/>
      <c r="Z99" s="107"/>
      <c r="AA99" s="167">
        <v>43984</v>
      </c>
      <c r="AB99" s="109">
        <f>_xlfn.DAYS(AA99,B99)</f>
        <v>34</v>
      </c>
      <c r="AC99" s="10">
        <v>42</v>
      </c>
      <c r="AD99" s="10">
        <v>1096.5</v>
      </c>
      <c r="AE99" s="10">
        <v>618.5</v>
      </c>
      <c r="AF99" s="10">
        <v>147</v>
      </c>
      <c r="AG99" s="10">
        <v>16.670000000000002</v>
      </c>
      <c r="AH99" s="108">
        <f>(AD99-AF99)/(D99*$K$1*2)%</f>
        <v>11.50909090909091</v>
      </c>
      <c r="AI99" s="108">
        <f>(AE99+AF99)/(D99*$K$1*2)%</f>
        <v>9.2787878787878793</v>
      </c>
      <c r="AJ99" s="110"/>
      <c r="AK99" s="110"/>
      <c r="AL99" s="110"/>
      <c r="AM99" s="110"/>
      <c r="AN99" s="110"/>
      <c r="AO99" s="110"/>
      <c r="AP99" s="110"/>
      <c r="AQ99" s="110"/>
      <c r="AR99" s="110"/>
      <c r="AS99" s="110"/>
      <c r="AT99" s="110"/>
      <c r="AU99" s="110"/>
    </row>
    <row r="100" spans="1:47" ht="12.75" hidden="1">
      <c r="A100" s="10" t="s">
        <v>370</v>
      </c>
      <c r="B100" s="229">
        <v>43950</v>
      </c>
      <c r="C100" s="10">
        <v>10000</v>
      </c>
      <c r="D100" s="10">
        <v>7.5</v>
      </c>
      <c r="E100" s="10"/>
      <c r="F100" s="107" t="s">
        <v>263</v>
      </c>
      <c r="G100" s="107"/>
      <c r="H100" s="107"/>
      <c r="I100" s="107"/>
      <c r="J100" s="107"/>
      <c r="K100" s="107"/>
      <c r="L100" s="107"/>
      <c r="M100" s="107"/>
      <c r="N100" s="107"/>
      <c r="O100" s="107"/>
      <c r="P100" s="107"/>
      <c r="Q100" s="107"/>
      <c r="R100" s="107"/>
      <c r="S100" s="107"/>
      <c r="T100" s="107"/>
      <c r="U100" s="107"/>
      <c r="V100" s="107"/>
      <c r="W100" s="107"/>
      <c r="X100" s="107"/>
      <c r="Y100" s="107"/>
      <c r="Z100" s="107"/>
      <c r="AA100" s="167">
        <v>43984</v>
      </c>
      <c r="AB100" s="109">
        <f>_xlfn.DAYS(AA100,B100)</f>
        <v>34</v>
      </c>
      <c r="AC100" s="10">
        <v>55</v>
      </c>
      <c r="AD100" s="10">
        <v>1135</v>
      </c>
      <c r="AE100" s="10">
        <v>591</v>
      </c>
      <c r="AG100" s="10">
        <v>16.670000000000002</v>
      </c>
      <c r="AH100" s="108">
        <f>(AD100-AF100)/(D100*$K$1*2)%</f>
        <v>13.757575757575758</v>
      </c>
      <c r="AI100" s="108">
        <f>(AE100+AF100)/(D100*$K$1*2)%</f>
        <v>7.163636363636364</v>
      </c>
      <c r="AJ100" s="110"/>
      <c r="AK100" s="110"/>
      <c r="AL100" s="110"/>
      <c r="AM100" s="110"/>
      <c r="AN100" s="110"/>
      <c r="AO100" s="110"/>
      <c r="AP100" s="110"/>
      <c r="AQ100" s="110"/>
      <c r="AR100" s="110"/>
      <c r="AS100" s="110"/>
      <c r="AT100" s="110"/>
      <c r="AU100" s="110"/>
    </row>
    <row r="101" spans="1:47" ht="12.75" hidden="1">
      <c r="A101" s="10" t="s">
        <v>371</v>
      </c>
      <c r="B101" s="229">
        <v>43950</v>
      </c>
      <c r="C101" s="10">
        <v>10000</v>
      </c>
      <c r="D101" s="10">
        <v>7.5</v>
      </c>
      <c r="E101" s="10"/>
      <c r="F101" s="107" t="s">
        <v>263</v>
      </c>
      <c r="G101" s="107"/>
      <c r="H101" s="107"/>
      <c r="I101" s="107"/>
      <c r="J101" s="107"/>
      <c r="K101" s="107"/>
      <c r="L101" s="107"/>
      <c r="M101" s="107"/>
      <c r="N101" s="107"/>
      <c r="O101" s="107"/>
      <c r="P101" s="107"/>
      <c r="Q101" s="107"/>
      <c r="R101" s="107"/>
      <c r="S101" s="107"/>
      <c r="T101" s="107"/>
      <c r="U101" s="107"/>
      <c r="V101" s="107"/>
      <c r="W101" s="107"/>
      <c r="X101" s="107"/>
      <c r="Y101" s="107"/>
      <c r="Z101" s="107"/>
      <c r="AA101" s="167">
        <v>43984</v>
      </c>
      <c r="AB101" s="109">
        <f>_xlfn.DAYS(AA101,B101)</f>
        <v>34</v>
      </c>
      <c r="AC101" s="10">
        <v>33</v>
      </c>
      <c r="AD101" s="10">
        <v>1184.5</v>
      </c>
      <c r="AE101" s="10">
        <v>642</v>
      </c>
      <c r="AG101" s="10">
        <v>16.670000000000002</v>
      </c>
      <c r="AH101" s="108">
        <f>(AD101-AF101)/(D101*$K$1*2)%</f>
        <v>14.357575757575757</v>
      </c>
      <c r="AI101" s="108">
        <f>(AE101+AF101)/(D101*$K$1*2)%</f>
        <v>7.7818181818181822</v>
      </c>
      <c r="AJ101" s="110"/>
      <c r="AK101" s="110"/>
      <c r="AL101" s="110"/>
      <c r="AM101" s="110"/>
      <c r="AN101" s="110"/>
      <c r="AO101" s="110"/>
      <c r="AP101" s="110"/>
      <c r="AQ101" s="110"/>
      <c r="AR101" s="110"/>
      <c r="AS101" s="110"/>
      <c r="AT101" s="110"/>
      <c r="AU101" s="110"/>
    </row>
    <row r="102" spans="1:47" ht="12.75" hidden="1">
      <c r="A102" s="10" t="s">
        <v>372</v>
      </c>
      <c r="B102" s="229">
        <v>43950</v>
      </c>
      <c r="C102" s="10">
        <v>10000</v>
      </c>
      <c r="D102" s="10">
        <v>7.5</v>
      </c>
      <c r="E102" s="10"/>
      <c r="F102" s="107" t="s">
        <v>263</v>
      </c>
      <c r="G102" s="107"/>
      <c r="H102" s="107"/>
      <c r="I102" s="107"/>
      <c r="J102" s="107"/>
      <c r="K102" s="107"/>
      <c r="L102" s="107"/>
      <c r="M102" s="107"/>
      <c r="N102" s="107"/>
      <c r="O102" s="107"/>
      <c r="P102" s="107"/>
      <c r="Q102" s="107"/>
      <c r="R102" s="107"/>
      <c r="S102" s="107"/>
      <c r="T102" s="107"/>
      <c r="U102" s="107"/>
      <c r="V102" s="107"/>
      <c r="W102" s="107"/>
      <c r="X102" s="107"/>
      <c r="Y102" s="107"/>
      <c r="Z102" s="107"/>
      <c r="AA102" s="167">
        <v>43984</v>
      </c>
      <c r="AB102" s="109">
        <f>_xlfn.DAYS(AA102,B102)</f>
        <v>34</v>
      </c>
      <c r="AC102" s="10">
        <v>55</v>
      </c>
      <c r="AD102" s="10">
        <v>1094</v>
      </c>
      <c r="AE102" s="10">
        <v>608.5</v>
      </c>
      <c r="AF102" s="10">
        <v>293.5</v>
      </c>
      <c r="AG102" s="10">
        <v>16.670000000000002</v>
      </c>
      <c r="AH102" s="108">
        <f>(AD102-AF102)/(D102*$K$1*2)%</f>
        <v>9.7030303030303031</v>
      </c>
      <c r="AI102" s="108">
        <f>(AE102+AF102)/(D102*$K$1*2)%</f>
        <v>10.933333333333334</v>
      </c>
      <c r="AJ102" s="110"/>
      <c r="AK102" s="110"/>
      <c r="AL102" s="110"/>
      <c r="AM102" s="110"/>
      <c r="AN102" s="110"/>
      <c r="AO102" s="110"/>
      <c r="AP102" s="110"/>
      <c r="AQ102" s="110"/>
      <c r="AR102" s="110"/>
      <c r="AS102" s="110"/>
      <c r="AT102" s="110"/>
      <c r="AU102" s="110"/>
    </row>
    <row r="103" spans="1:47" ht="12.75" hidden="1">
      <c r="A103" s="10" t="s">
        <v>373</v>
      </c>
      <c r="B103" s="229">
        <v>43950</v>
      </c>
      <c r="C103" s="10">
        <v>10000</v>
      </c>
      <c r="D103" s="10">
        <v>7.5</v>
      </c>
      <c r="E103" s="10"/>
      <c r="F103" s="107" t="s">
        <v>263</v>
      </c>
      <c r="G103" s="107"/>
      <c r="H103" s="107"/>
      <c r="I103" s="107"/>
      <c r="J103" s="107"/>
      <c r="K103" s="107"/>
      <c r="L103" s="107"/>
      <c r="M103" s="107"/>
      <c r="N103" s="107"/>
      <c r="O103" s="107"/>
      <c r="P103" s="107"/>
      <c r="Q103" s="107"/>
      <c r="R103" s="107"/>
      <c r="S103" s="107"/>
      <c r="T103" s="107"/>
      <c r="U103" s="107"/>
      <c r="V103" s="107"/>
      <c r="W103" s="107"/>
      <c r="X103" s="107"/>
      <c r="Y103" s="107"/>
      <c r="Z103" s="107"/>
      <c r="AA103" s="167">
        <v>43984</v>
      </c>
      <c r="AB103" s="109">
        <f>_xlfn.DAYS(AA103,B103)</f>
        <v>34</v>
      </c>
      <c r="AC103" s="10">
        <v>46</v>
      </c>
      <c r="AD103" s="10">
        <v>1023.5</v>
      </c>
      <c r="AE103" s="10">
        <v>634</v>
      </c>
      <c r="AF103" s="10">
        <v>225</v>
      </c>
      <c r="AG103" s="10">
        <v>16.670000000000002</v>
      </c>
      <c r="AH103" s="108">
        <f>(AD103-AF103)/(D103*$K$1*2)%</f>
        <v>9.6787878787878796</v>
      </c>
      <c r="AI103" s="108">
        <f>(AE103+AF103)/(D103*$K$1*2)%</f>
        <v>10.412121212121212</v>
      </c>
      <c r="AJ103" s="110"/>
      <c r="AK103" s="110"/>
      <c r="AL103" s="110"/>
      <c r="AM103" s="110"/>
      <c r="AN103" s="110"/>
      <c r="AO103" s="110"/>
      <c r="AP103" s="110"/>
      <c r="AQ103" s="110"/>
      <c r="AR103" s="110"/>
      <c r="AS103" s="110"/>
      <c r="AT103" s="110"/>
      <c r="AU103" s="110"/>
    </row>
    <row r="104" spans="1:47" ht="12.75" hidden="1">
      <c r="A104" s="107" t="s">
        <v>374</v>
      </c>
      <c r="B104" s="226">
        <v>44064</v>
      </c>
      <c r="C104" s="230">
        <v>11389</v>
      </c>
      <c r="D104" s="107">
        <f>COUNTA(G104:Z104)*0.5</f>
        <v>7.5</v>
      </c>
      <c r="F104" s="107" t="s">
        <v>263</v>
      </c>
      <c r="G104" s="178">
        <v>44064</v>
      </c>
      <c r="H104" s="178">
        <v>44064</v>
      </c>
      <c r="I104" s="178">
        <v>44067</v>
      </c>
      <c r="J104" s="178">
        <v>44069</v>
      </c>
      <c r="K104" s="178">
        <v>44069</v>
      </c>
      <c r="L104" s="178">
        <v>44071</v>
      </c>
      <c r="M104" s="178">
        <v>44071</v>
      </c>
      <c r="N104" s="178">
        <v>44074</v>
      </c>
      <c r="O104" s="178">
        <v>44076</v>
      </c>
      <c r="P104" s="178">
        <v>44078</v>
      </c>
      <c r="Q104" s="178">
        <v>44081</v>
      </c>
      <c r="R104" s="178">
        <v>44083</v>
      </c>
      <c r="S104" s="178">
        <v>44090</v>
      </c>
      <c r="T104" s="178" t="s">
        <v>375</v>
      </c>
      <c r="U104" s="178" t="s">
        <v>376</v>
      </c>
      <c r="AA104" s="166">
        <v>44109</v>
      </c>
      <c r="AB104" s="109">
        <f>_xlfn.DAYS(AA104,B104)</f>
        <v>45</v>
      </c>
      <c r="AC104" s="107">
        <f>(10/15+17/19)/2%</f>
        <v>78.070175438596493</v>
      </c>
      <c r="AD104" s="107">
        <v>879.5</v>
      </c>
      <c r="AE104" s="107">
        <v>187</v>
      </c>
      <c r="AG104" s="107">
        <f>COUNTIFS(F:F,"Culled",A:A,LEFT(A104,LEN(A104)-3)&amp;"*")/COUNTIF(A:A,LEFT(A104,LEN(A104)-3)&amp;"*")*100</f>
        <v>0</v>
      </c>
      <c r="AH104" s="108">
        <f>(AD104-AF104)/(D104*$K$1*2)%</f>
        <v>10.66060606060606</v>
      </c>
      <c r="AI104" s="108">
        <f>(AE104+AF104)/(D104*$K$1*2)%</f>
        <v>2.2666666666666666</v>
      </c>
      <c r="AP104" s="110"/>
      <c r="AQ104" s="110"/>
      <c r="AR104" s="110"/>
      <c r="AS104" s="110"/>
      <c r="AT104" s="110"/>
      <c r="AU104" s="110"/>
    </row>
    <row r="105" spans="1:47" ht="12.75" hidden="1">
      <c r="A105" s="107" t="s">
        <v>377</v>
      </c>
      <c r="B105" s="226">
        <v>44064</v>
      </c>
      <c r="C105" s="230">
        <v>11389</v>
      </c>
      <c r="D105" s="107">
        <f>COUNTA(G105:Z105)*0.5</f>
        <v>6.5</v>
      </c>
      <c r="F105" s="107" t="s">
        <v>263</v>
      </c>
      <c r="G105" s="178">
        <v>44064</v>
      </c>
      <c r="H105" s="178">
        <v>44064</v>
      </c>
      <c r="I105" s="178">
        <v>44069</v>
      </c>
      <c r="J105" s="178">
        <v>44069</v>
      </c>
      <c r="K105" s="178">
        <v>44071</v>
      </c>
      <c r="L105" s="178">
        <v>44071</v>
      </c>
      <c r="M105" s="178">
        <v>44074</v>
      </c>
      <c r="N105" s="178">
        <v>44076</v>
      </c>
      <c r="O105" s="178">
        <v>44078</v>
      </c>
      <c r="P105" s="178">
        <v>44081</v>
      </c>
      <c r="Q105" s="178">
        <v>44085</v>
      </c>
      <c r="R105" s="178">
        <v>44088</v>
      </c>
      <c r="S105" s="178" t="s">
        <v>375</v>
      </c>
      <c r="AA105" s="166">
        <v>44096</v>
      </c>
      <c r="AB105" s="109">
        <f>_xlfn.DAYS(AA105,B105)</f>
        <v>32</v>
      </c>
      <c r="AG105" s="107">
        <f>COUNTIFS(F:F,"Culled",A:A,LEFT(A105,LEN(A105)-3)&amp;"*")/COUNTIF(A:A,LEFT(A105,LEN(A105)-3)&amp;"*")*100</f>
        <v>0</v>
      </c>
      <c r="AH105" s="108">
        <f>(AD105-AF105)/(D105*$K$1*2)%</f>
        <v>0</v>
      </c>
      <c r="AI105" s="108">
        <f>(AE105+AF105)/(D105*$K$1*2)%</f>
        <v>0</v>
      </c>
      <c r="AK105" s="110"/>
      <c r="AL105" s="110"/>
      <c r="AM105" s="110"/>
      <c r="AN105" s="110"/>
      <c r="AO105" s="110"/>
      <c r="AP105" s="110"/>
      <c r="AQ105" s="110"/>
      <c r="AR105" s="110"/>
      <c r="AS105" s="110"/>
      <c r="AT105" s="110"/>
      <c r="AU105" s="110"/>
    </row>
    <row r="106" spans="1:47" ht="12.75" hidden="1">
      <c r="A106" s="107" t="s">
        <v>378</v>
      </c>
      <c r="B106" s="226">
        <v>44064</v>
      </c>
      <c r="C106" s="230">
        <v>11389</v>
      </c>
      <c r="D106" s="107">
        <f>COUNTA(G106:Z106)*0.5</f>
        <v>8</v>
      </c>
      <c r="F106" s="107" t="s">
        <v>263</v>
      </c>
      <c r="G106" s="178">
        <v>44064</v>
      </c>
      <c r="H106" s="178">
        <v>44064</v>
      </c>
      <c r="I106" s="178">
        <v>44067</v>
      </c>
      <c r="J106" s="178">
        <v>44069</v>
      </c>
      <c r="K106" s="178">
        <v>44069</v>
      </c>
      <c r="L106" s="178">
        <v>44071</v>
      </c>
      <c r="M106" s="178">
        <v>44071</v>
      </c>
      <c r="N106" s="178">
        <v>44074</v>
      </c>
      <c r="O106" s="178">
        <v>44076</v>
      </c>
      <c r="P106" s="178">
        <v>44078</v>
      </c>
      <c r="Q106" s="178">
        <v>44081</v>
      </c>
      <c r="R106" s="178">
        <v>44085</v>
      </c>
      <c r="S106" s="178">
        <v>44088</v>
      </c>
      <c r="T106" s="178">
        <v>44090</v>
      </c>
      <c r="U106" s="178" t="s">
        <v>375</v>
      </c>
      <c r="V106" s="178" t="s">
        <v>376</v>
      </c>
      <c r="AA106" s="166">
        <v>44109</v>
      </c>
      <c r="AB106" s="109">
        <f>_xlfn.DAYS(AA106,B106)</f>
        <v>45</v>
      </c>
      <c r="AC106" s="107">
        <f>(16/21+17/19)/2%</f>
        <v>82.832080200501252</v>
      </c>
      <c r="AD106" s="107">
        <v>763.5</v>
      </c>
      <c r="AE106" s="107">
        <v>298.5</v>
      </c>
      <c r="AG106" s="107">
        <f>COUNTIFS(F:F,"Culled",A:A,LEFT(A106,LEN(A106)-3)&amp;"*")/COUNTIF(A:A,LEFT(A106,LEN(A106)-3)&amp;"*")*100</f>
        <v>0</v>
      </c>
      <c r="AH106" s="108">
        <f>(AD106-AF106)/(D106*$K$1*2)%</f>
        <v>8.6761363636363633</v>
      </c>
      <c r="AI106" s="108">
        <f>(AE106+AF106)/(D106*$K$1*2)%</f>
        <v>3.3920454545454546</v>
      </c>
      <c r="AP106" s="110"/>
      <c r="AQ106" s="110"/>
      <c r="AR106" s="110"/>
      <c r="AS106" s="110"/>
      <c r="AT106" s="110"/>
      <c r="AU106" s="110"/>
    </row>
    <row r="107" spans="1:47" ht="12.75" hidden="1">
      <c r="A107" s="107" t="s">
        <v>379</v>
      </c>
      <c r="B107" s="226">
        <v>44064</v>
      </c>
      <c r="C107" s="230">
        <v>11389</v>
      </c>
      <c r="D107" s="107">
        <f>COUNTA(G107:Z107)*0.5</f>
        <v>7.5</v>
      </c>
      <c r="F107" s="107" t="s">
        <v>263</v>
      </c>
      <c r="G107" s="178">
        <v>44064</v>
      </c>
      <c r="H107" s="178">
        <v>44064</v>
      </c>
      <c r="I107" s="178">
        <v>44069</v>
      </c>
      <c r="J107" s="178">
        <v>44069</v>
      </c>
      <c r="K107" s="178">
        <v>44071</v>
      </c>
      <c r="L107" s="178">
        <v>44071</v>
      </c>
      <c r="M107" s="178">
        <v>44074</v>
      </c>
      <c r="N107" s="178">
        <v>44076</v>
      </c>
      <c r="O107" s="178">
        <v>44078</v>
      </c>
      <c r="P107" s="178">
        <v>44081</v>
      </c>
      <c r="Q107" s="178">
        <v>44083</v>
      </c>
      <c r="R107" s="178">
        <v>44085</v>
      </c>
      <c r="S107" s="178">
        <v>44088</v>
      </c>
      <c r="T107" s="178" t="s">
        <v>375</v>
      </c>
      <c r="U107" s="178" t="s">
        <v>376</v>
      </c>
      <c r="AA107" s="166">
        <v>44099</v>
      </c>
      <c r="AB107" s="109">
        <f>_xlfn.DAYS(AA107,B107)</f>
        <v>35</v>
      </c>
      <c r="AC107" s="107">
        <f>8/14*100</f>
        <v>57.142857142857139</v>
      </c>
      <c r="AD107" s="107">
        <v>1016.5</v>
      </c>
      <c r="AE107" s="107">
        <v>279</v>
      </c>
      <c r="AG107" s="107">
        <f>COUNTIFS(F:F,"Culled",A:A,LEFT(A107,LEN(A107)-3)&amp;"*")/COUNTIF(A:A,LEFT(A107,LEN(A107)-3)&amp;"*")*100</f>
        <v>0</v>
      </c>
      <c r="AH107" s="108">
        <f>(AD107-AF107)/(D107*$K$1*2)%</f>
        <v>12.32121212121212</v>
      </c>
      <c r="AI107" s="108">
        <f>(AE107+AF107)/(D107*$K$1*2)%</f>
        <v>3.3818181818181818</v>
      </c>
      <c r="AP107" s="110"/>
      <c r="AQ107" s="110"/>
      <c r="AR107" s="110"/>
      <c r="AS107" s="110"/>
      <c r="AT107" s="110"/>
      <c r="AU107" s="110"/>
    </row>
    <row r="108" spans="1:47" ht="12.75" hidden="1">
      <c r="A108" s="107" t="s">
        <v>380</v>
      </c>
      <c r="B108" s="226">
        <v>44064</v>
      </c>
      <c r="C108" s="230">
        <v>11855</v>
      </c>
      <c r="D108" s="107">
        <f>COUNTA(G108:Z108)*0.5</f>
        <v>8.5</v>
      </c>
      <c r="F108" s="107" t="s">
        <v>263</v>
      </c>
      <c r="G108" s="178">
        <v>44064</v>
      </c>
      <c r="H108" s="178">
        <v>44064</v>
      </c>
      <c r="I108" s="178">
        <v>44067</v>
      </c>
      <c r="J108" s="178">
        <v>44069</v>
      </c>
      <c r="K108" s="178">
        <v>44069</v>
      </c>
      <c r="L108" s="178">
        <v>44071</v>
      </c>
      <c r="M108" s="178">
        <v>44071</v>
      </c>
      <c r="N108" s="178">
        <v>44074</v>
      </c>
      <c r="O108" s="178">
        <v>44076</v>
      </c>
      <c r="P108" s="178">
        <v>44078</v>
      </c>
      <c r="Q108" s="178">
        <v>44081</v>
      </c>
      <c r="R108" s="178">
        <v>44085</v>
      </c>
      <c r="S108" s="178">
        <v>44088</v>
      </c>
      <c r="T108" s="178" t="s">
        <v>375</v>
      </c>
      <c r="U108" s="178" t="s">
        <v>376</v>
      </c>
      <c r="V108" s="178">
        <v>44099</v>
      </c>
      <c r="W108" s="178">
        <v>44102</v>
      </c>
      <c r="AA108" s="166">
        <v>44105</v>
      </c>
      <c r="AB108" s="109">
        <f>_xlfn.DAYS(AA108,B108)</f>
        <v>41</v>
      </c>
      <c r="AC108" s="107">
        <f>21/36*100</f>
        <v>58.333333333333336</v>
      </c>
      <c r="AD108" s="107">
        <v>786</v>
      </c>
      <c r="AE108" s="107">
        <v>298</v>
      </c>
      <c r="AG108" s="107">
        <f>COUNTIFS(F:F,"Culled",A:A,LEFT(A108,LEN(A108)-3)&amp;"*")/COUNTIF(A:A,LEFT(A108,LEN(A108)-3)&amp;"*")*100</f>
        <v>0</v>
      </c>
      <c r="AH108" s="108">
        <f>(AD108-AF108)/(D108*$K$1*2)%</f>
        <v>8.4064171122994651</v>
      </c>
      <c r="AI108" s="108">
        <f>(AE108+AF108)/(D108*$K$1*2)%</f>
        <v>3.1871657754010694</v>
      </c>
      <c r="AP108" s="110"/>
      <c r="AQ108" s="110"/>
      <c r="AR108" s="110"/>
      <c r="AS108" s="110"/>
      <c r="AT108" s="110"/>
      <c r="AU108" s="110"/>
    </row>
    <row r="109" spans="1:47" ht="12.75" hidden="1">
      <c r="A109" s="107" t="s">
        <v>381</v>
      </c>
      <c r="B109" s="226">
        <v>44064</v>
      </c>
      <c r="C109" s="230">
        <v>11855</v>
      </c>
      <c r="D109" s="107">
        <f>COUNTA(G109:Z109)*0.5</f>
        <v>7</v>
      </c>
      <c r="F109" s="107" t="s">
        <v>263</v>
      </c>
      <c r="G109" s="178">
        <v>44064</v>
      </c>
      <c r="H109" s="178">
        <v>44064</v>
      </c>
      <c r="I109" s="178">
        <v>44067</v>
      </c>
      <c r="J109" s="178">
        <v>44069</v>
      </c>
      <c r="K109" s="178">
        <v>44069</v>
      </c>
      <c r="L109" s="178">
        <v>44071</v>
      </c>
      <c r="M109" s="178">
        <v>44071</v>
      </c>
      <c r="N109" s="178">
        <v>44074</v>
      </c>
      <c r="O109" s="178">
        <v>44076</v>
      </c>
      <c r="P109" s="178">
        <v>44078</v>
      </c>
      <c r="Q109" s="178">
        <v>44081</v>
      </c>
      <c r="R109" s="178">
        <v>44085</v>
      </c>
      <c r="S109" s="178">
        <v>44088</v>
      </c>
      <c r="T109" s="178" t="s">
        <v>375</v>
      </c>
      <c r="AA109" s="166">
        <v>44096</v>
      </c>
      <c r="AB109" s="109">
        <f>_xlfn.DAYS(AA109,B109)</f>
        <v>32</v>
      </c>
      <c r="AG109" s="107">
        <f>COUNTIFS(F:F,"Culled",A:A,LEFT(A109,LEN(A109)-3)&amp;"*")/COUNTIF(A:A,LEFT(A109,LEN(A109)-3)&amp;"*")*100</f>
        <v>0</v>
      </c>
      <c r="AH109" s="108">
        <f>(AD109-AF109)/(D109*$K$1*2)%</f>
        <v>0</v>
      </c>
      <c r="AI109" s="108">
        <f>(AE109+AF109)/(D109*$K$1*2)%</f>
        <v>0</v>
      </c>
      <c r="AK109" s="110"/>
      <c r="AL109" s="110"/>
      <c r="AM109" s="110"/>
      <c r="AN109" s="110"/>
      <c r="AO109" s="110"/>
      <c r="AP109" s="110"/>
      <c r="AQ109" s="110"/>
      <c r="AR109" s="110"/>
      <c r="AS109" s="110"/>
      <c r="AT109" s="110"/>
      <c r="AU109" s="110"/>
    </row>
    <row r="110" spans="1:47" ht="12.75" hidden="1">
      <c r="A110" s="10" t="s">
        <v>382</v>
      </c>
      <c r="B110" s="229">
        <v>43949</v>
      </c>
      <c r="C110" s="10">
        <v>10000</v>
      </c>
      <c r="D110" s="10">
        <v>3</v>
      </c>
      <c r="E110" s="10"/>
      <c r="F110" s="107" t="s">
        <v>323</v>
      </c>
      <c r="G110" s="107"/>
      <c r="H110" s="107"/>
      <c r="I110" s="107"/>
      <c r="J110" s="107"/>
      <c r="K110" s="107"/>
      <c r="L110" s="107"/>
      <c r="M110" s="107"/>
      <c r="N110" s="107"/>
      <c r="O110" s="107"/>
      <c r="P110" s="107"/>
      <c r="Q110" s="107"/>
      <c r="R110" s="107"/>
      <c r="S110" s="107"/>
      <c r="T110" s="107"/>
      <c r="U110" s="107"/>
      <c r="V110" s="107"/>
      <c r="W110" s="107"/>
      <c r="X110" s="107"/>
      <c r="Y110" s="107"/>
      <c r="Z110" s="107"/>
      <c r="AA110" s="167">
        <v>43973</v>
      </c>
      <c r="AB110" s="109">
        <f>_xlfn.DAYS(AA110,B110)</f>
        <v>24</v>
      </c>
      <c r="AG110" s="10">
        <v>100</v>
      </c>
      <c r="AH110" s="107"/>
    </row>
    <row r="111" spans="1:47" ht="12.75" hidden="1">
      <c r="A111" s="110" t="s">
        <v>383</v>
      </c>
      <c r="B111" s="229">
        <v>43958</v>
      </c>
      <c r="C111" s="10">
        <v>10000</v>
      </c>
      <c r="D111" s="110">
        <v>3.5</v>
      </c>
      <c r="E111" s="110"/>
      <c r="F111" s="107" t="s">
        <v>323</v>
      </c>
      <c r="G111" s="107"/>
      <c r="H111" s="107"/>
      <c r="I111" s="107"/>
      <c r="J111" s="107"/>
      <c r="K111" s="107"/>
      <c r="L111" s="107"/>
      <c r="M111" s="107"/>
      <c r="N111" s="107"/>
      <c r="O111" s="107"/>
      <c r="P111" s="107"/>
      <c r="Q111" s="107"/>
      <c r="R111" s="107"/>
      <c r="S111" s="107"/>
      <c r="T111" s="107"/>
      <c r="U111" s="107"/>
      <c r="V111" s="107"/>
      <c r="W111" s="107"/>
      <c r="X111" s="107"/>
      <c r="Y111" s="107"/>
      <c r="Z111" s="107"/>
      <c r="AA111" s="167">
        <v>43973</v>
      </c>
      <c r="AB111" s="109">
        <f>_xlfn.DAYS(AA111,B111)</f>
        <v>15</v>
      </c>
      <c r="AG111" s="10">
        <v>100</v>
      </c>
      <c r="AH111" s="107"/>
    </row>
    <row r="112" spans="1:47" ht="12.75" hidden="1">
      <c r="A112" s="110" t="s">
        <v>384</v>
      </c>
      <c r="B112" s="229">
        <v>43958</v>
      </c>
      <c r="C112" s="10">
        <v>10000</v>
      </c>
      <c r="D112" s="110">
        <v>3.5</v>
      </c>
      <c r="E112" s="110"/>
      <c r="F112" s="107" t="s">
        <v>323</v>
      </c>
      <c r="G112" s="107"/>
      <c r="H112" s="107"/>
      <c r="I112" s="107"/>
      <c r="J112" s="107"/>
      <c r="K112" s="107"/>
      <c r="L112" s="107"/>
      <c r="M112" s="107"/>
      <c r="N112" s="107"/>
      <c r="O112" s="107"/>
      <c r="P112" s="107"/>
      <c r="Q112" s="107"/>
      <c r="R112" s="107"/>
      <c r="S112" s="107"/>
      <c r="T112" s="107"/>
      <c r="U112" s="107"/>
      <c r="V112" s="107"/>
      <c r="W112" s="107"/>
      <c r="X112" s="107"/>
      <c r="Y112" s="107"/>
      <c r="Z112" s="107"/>
      <c r="AA112" s="167">
        <v>43973</v>
      </c>
      <c r="AB112" s="109">
        <f>_xlfn.DAYS(AA112,B112)</f>
        <v>15</v>
      </c>
      <c r="AG112" s="10">
        <v>100</v>
      </c>
      <c r="AH112" s="107"/>
    </row>
    <row r="113" spans="1:47" ht="12.75" hidden="1">
      <c r="A113" s="10" t="s">
        <v>385</v>
      </c>
      <c r="B113" s="229">
        <v>43944</v>
      </c>
      <c r="C113" s="10" t="s">
        <v>349</v>
      </c>
      <c r="D113" s="10">
        <v>6.5</v>
      </c>
      <c r="E113" s="10"/>
      <c r="F113" s="107" t="s">
        <v>323</v>
      </c>
      <c r="G113" s="107"/>
      <c r="H113" s="107"/>
      <c r="I113" s="107"/>
      <c r="J113" s="107"/>
      <c r="K113" s="107"/>
      <c r="L113" s="107"/>
      <c r="M113" s="107"/>
      <c r="N113" s="107"/>
      <c r="O113" s="107"/>
      <c r="P113" s="107"/>
      <c r="Q113" s="107"/>
      <c r="R113" s="107"/>
      <c r="S113" s="107"/>
      <c r="T113" s="107"/>
      <c r="U113" s="107"/>
      <c r="V113" s="107"/>
      <c r="W113" s="107"/>
      <c r="X113" s="107"/>
      <c r="Y113" s="107"/>
      <c r="Z113" s="107"/>
      <c r="AA113" s="167">
        <v>43973</v>
      </c>
      <c r="AB113" s="109">
        <f>_xlfn.DAYS(AA113,B113)</f>
        <v>29</v>
      </c>
      <c r="AG113" s="10">
        <v>66.67</v>
      </c>
      <c r="AH113" s="107"/>
    </row>
    <row r="114" spans="1:47" ht="12.75" hidden="1">
      <c r="A114" s="10" t="s">
        <v>386</v>
      </c>
      <c r="B114" s="229">
        <v>43969</v>
      </c>
      <c r="C114" s="10">
        <v>10000</v>
      </c>
      <c r="D114" s="10">
        <v>0.5</v>
      </c>
      <c r="E114" s="10"/>
      <c r="F114" s="107" t="s">
        <v>323</v>
      </c>
      <c r="G114" s="107"/>
      <c r="H114" s="107"/>
      <c r="I114" s="107"/>
      <c r="J114" s="107"/>
      <c r="K114" s="107"/>
      <c r="L114" s="107"/>
      <c r="M114" s="107"/>
      <c r="N114" s="107"/>
      <c r="O114" s="107"/>
      <c r="P114" s="107"/>
      <c r="Q114" s="107"/>
      <c r="R114" s="107"/>
      <c r="S114" s="107"/>
      <c r="T114" s="107"/>
      <c r="U114" s="107"/>
      <c r="V114" s="107"/>
      <c r="W114" s="107"/>
      <c r="X114" s="107"/>
      <c r="Y114" s="107"/>
      <c r="Z114" s="107"/>
      <c r="AA114" s="167">
        <v>43977</v>
      </c>
      <c r="AB114" s="109">
        <f>_xlfn.DAYS(AA114,B114)</f>
        <v>8</v>
      </c>
      <c r="AG114" s="10">
        <v>100</v>
      </c>
      <c r="AH114" s="107"/>
      <c r="AJ114" s="110"/>
      <c r="AK114" s="110"/>
      <c r="AL114" s="110"/>
      <c r="AM114" s="110"/>
      <c r="AN114" s="110"/>
      <c r="AO114" s="110"/>
    </row>
    <row r="115" spans="1:47" ht="12.75" hidden="1">
      <c r="A115" s="10" t="s">
        <v>387</v>
      </c>
      <c r="B115" s="229">
        <v>43969</v>
      </c>
      <c r="C115" s="10">
        <v>10000</v>
      </c>
      <c r="D115" s="10">
        <v>0.5</v>
      </c>
      <c r="E115" s="10"/>
      <c r="F115" s="107" t="s">
        <v>323</v>
      </c>
      <c r="G115" s="107"/>
      <c r="H115" s="107"/>
      <c r="I115" s="107"/>
      <c r="J115" s="107"/>
      <c r="K115" s="107"/>
      <c r="L115" s="107"/>
      <c r="M115" s="107"/>
      <c r="N115" s="107"/>
      <c r="O115" s="107"/>
      <c r="P115" s="107"/>
      <c r="Q115" s="107"/>
      <c r="R115" s="107"/>
      <c r="S115" s="107"/>
      <c r="T115" s="107"/>
      <c r="U115" s="107"/>
      <c r="V115" s="107"/>
      <c r="W115" s="107"/>
      <c r="X115" s="107"/>
      <c r="Y115" s="107"/>
      <c r="Z115" s="107"/>
      <c r="AA115" s="167">
        <v>43977</v>
      </c>
      <c r="AB115" s="109">
        <f>_xlfn.DAYS(AA115,B115)</f>
        <v>8</v>
      </c>
      <c r="AG115" s="10">
        <v>100</v>
      </c>
      <c r="AH115" s="107"/>
      <c r="AJ115" s="110"/>
      <c r="AK115" s="110"/>
      <c r="AL115" s="110"/>
      <c r="AM115" s="110"/>
      <c r="AN115" s="110"/>
      <c r="AO115" s="110"/>
    </row>
    <row r="116" spans="1:47" ht="12.75" hidden="1">
      <c r="A116" s="10" t="s">
        <v>388</v>
      </c>
      <c r="B116" s="229">
        <v>43969</v>
      </c>
      <c r="C116" s="10">
        <v>10000</v>
      </c>
      <c r="D116" s="10">
        <v>0.5</v>
      </c>
      <c r="E116" s="10"/>
      <c r="F116" s="107" t="s">
        <v>323</v>
      </c>
      <c r="G116" s="107"/>
      <c r="H116" s="107"/>
      <c r="I116" s="107"/>
      <c r="J116" s="107"/>
      <c r="K116" s="107"/>
      <c r="L116" s="107"/>
      <c r="M116" s="107"/>
      <c r="N116" s="107"/>
      <c r="O116" s="107"/>
      <c r="P116" s="107"/>
      <c r="Q116" s="107"/>
      <c r="R116" s="107"/>
      <c r="S116" s="107"/>
      <c r="T116" s="107"/>
      <c r="U116" s="107"/>
      <c r="V116" s="107"/>
      <c r="W116" s="107"/>
      <c r="X116" s="107"/>
      <c r="Y116" s="107"/>
      <c r="Z116" s="107"/>
      <c r="AA116" s="167">
        <v>43977</v>
      </c>
      <c r="AB116" s="109">
        <f>_xlfn.DAYS(AA116,B116)</f>
        <v>8</v>
      </c>
      <c r="AG116" s="10">
        <v>100</v>
      </c>
      <c r="AH116" s="107"/>
      <c r="AJ116" s="110"/>
      <c r="AK116" s="110"/>
      <c r="AL116" s="110"/>
      <c r="AM116" s="110"/>
      <c r="AN116" s="110"/>
      <c r="AO116" s="110"/>
    </row>
    <row r="117" spans="1:47" ht="12.75" hidden="1">
      <c r="A117" s="107" t="s">
        <v>389</v>
      </c>
      <c r="B117" s="226">
        <v>44077</v>
      </c>
      <c r="C117" s="231">
        <v>11002</v>
      </c>
      <c r="D117" s="107">
        <f>COUNTA(G117:Z117)*0.5</f>
        <v>6</v>
      </c>
      <c r="F117" s="107" t="s">
        <v>263</v>
      </c>
      <c r="G117" s="178">
        <v>44077</v>
      </c>
      <c r="H117" s="178">
        <v>44077</v>
      </c>
      <c r="I117" s="178">
        <v>44081</v>
      </c>
      <c r="J117" s="178">
        <v>44083</v>
      </c>
      <c r="K117" s="178">
        <v>44085</v>
      </c>
      <c r="L117" s="178">
        <v>44088</v>
      </c>
      <c r="M117" s="178">
        <v>44090</v>
      </c>
      <c r="N117" s="178" t="s">
        <v>375</v>
      </c>
      <c r="O117" s="178" t="s">
        <v>376</v>
      </c>
      <c r="P117" s="178">
        <v>44099</v>
      </c>
      <c r="Q117" s="178">
        <v>44102</v>
      </c>
      <c r="R117" s="178">
        <v>44104</v>
      </c>
      <c r="AA117" s="166">
        <v>44022</v>
      </c>
      <c r="AG117" s="107">
        <f>COUNTIFS(F:F,"Culled",A:A,LEFT(A117,LEN(A117)-3)&amp;"*")/COUNTIF(A:A,LEFT(A117,LEN(A117)-3)&amp;"*")*100</f>
        <v>0</v>
      </c>
      <c r="AH117" s="108">
        <f>(AD117-AF117)/(D117*$K$1*2)%</f>
        <v>0</v>
      </c>
      <c r="AI117" s="108">
        <f>(AE117+AF117)/(D117*$K$1*2)%</f>
        <v>0</v>
      </c>
      <c r="AP117" s="110"/>
      <c r="AQ117" s="110"/>
      <c r="AR117" s="110"/>
      <c r="AS117" s="110"/>
      <c r="AT117" s="110"/>
      <c r="AU117" s="110"/>
    </row>
    <row r="118" spans="1:47" ht="12.75" hidden="1">
      <c r="A118" s="107" t="s">
        <v>390</v>
      </c>
      <c r="B118" s="226">
        <v>44077</v>
      </c>
      <c r="C118" s="231">
        <v>11002</v>
      </c>
      <c r="D118" s="107">
        <f>COUNTA(G118:Z118)*0.5</f>
        <v>6</v>
      </c>
      <c r="F118" s="107" t="s">
        <v>263</v>
      </c>
      <c r="G118" s="178">
        <v>44077</v>
      </c>
      <c r="H118" s="178">
        <v>44077</v>
      </c>
      <c r="I118" s="178">
        <v>44081</v>
      </c>
      <c r="J118" s="178">
        <v>44083</v>
      </c>
      <c r="K118" s="178">
        <v>44085</v>
      </c>
      <c r="L118" s="178">
        <v>44088</v>
      </c>
      <c r="M118" s="178">
        <v>44090</v>
      </c>
      <c r="N118" s="178" t="s">
        <v>375</v>
      </c>
      <c r="O118" s="178" t="s">
        <v>376</v>
      </c>
      <c r="P118" s="178">
        <v>44099</v>
      </c>
      <c r="Q118" s="178">
        <v>44102</v>
      </c>
      <c r="R118" s="178">
        <v>44104</v>
      </c>
      <c r="AA118" s="166">
        <v>44022</v>
      </c>
      <c r="AG118" s="107">
        <f>COUNTIFS(F:F,"Culled",A:A,LEFT(A118,LEN(A118)-3)&amp;"*")/COUNTIF(A:A,LEFT(A118,LEN(A118)-3)&amp;"*")*100</f>
        <v>0</v>
      </c>
      <c r="AH118" s="108">
        <f>(AD118-AF118)/(D118*$K$1*2)%</f>
        <v>0</v>
      </c>
      <c r="AI118" s="108">
        <f>(AE118+AF118)/(D118*$K$1*2)%</f>
        <v>0</v>
      </c>
      <c r="AP118" s="110"/>
      <c r="AQ118" s="110"/>
      <c r="AR118" s="110"/>
      <c r="AS118" s="110"/>
      <c r="AT118" s="110"/>
      <c r="AU118" s="110"/>
    </row>
    <row r="119" spans="1:47" ht="12.75" hidden="1">
      <c r="A119" s="107" t="s">
        <v>391</v>
      </c>
      <c r="B119" s="226">
        <v>44077</v>
      </c>
      <c r="C119" s="231">
        <v>11002</v>
      </c>
      <c r="D119" s="107">
        <f>COUNTA(G119:Z119)*0.5</f>
        <v>6</v>
      </c>
      <c r="F119" s="107" t="s">
        <v>263</v>
      </c>
      <c r="G119" s="178">
        <v>44077</v>
      </c>
      <c r="H119" s="178">
        <v>44077</v>
      </c>
      <c r="I119" s="178">
        <v>44081</v>
      </c>
      <c r="J119" s="178">
        <v>44083</v>
      </c>
      <c r="K119" s="178">
        <v>44085</v>
      </c>
      <c r="L119" s="178">
        <v>44088</v>
      </c>
      <c r="M119" s="178">
        <v>44090</v>
      </c>
      <c r="N119" s="178" t="s">
        <v>375</v>
      </c>
      <c r="O119" s="178" t="s">
        <v>376</v>
      </c>
      <c r="P119" s="178">
        <v>44099</v>
      </c>
      <c r="Q119" s="178">
        <v>44102</v>
      </c>
      <c r="R119" s="178">
        <v>44104</v>
      </c>
      <c r="AA119" s="166">
        <v>44022</v>
      </c>
      <c r="AG119" s="107">
        <f>COUNTIFS(F:F,"Culled",A:A,LEFT(A119,LEN(A119)-3)&amp;"*")/COUNTIF(A:A,LEFT(A119,LEN(A119)-3)&amp;"*")*100</f>
        <v>0</v>
      </c>
      <c r="AH119" s="108">
        <f>(AD119-AF119)/(D119*$K$1*2)%</f>
        <v>0</v>
      </c>
      <c r="AI119" s="108">
        <f>(AE119+AF119)/(D119*$K$1*2)%</f>
        <v>0</v>
      </c>
      <c r="AP119" s="110"/>
      <c r="AQ119" s="110"/>
      <c r="AR119" s="110"/>
      <c r="AS119" s="110"/>
      <c r="AT119" s="110"/>
      <c r="AU119" s="110"/>
    </row>
    <row r="120" spans="1:47" ht="12.75" hidden="1">
      <c r="A120" s="107" t="s">
        <v>392</v>
      </c>
      <c r="B120" s="226">
        <v>44077</v>
      </c>
      <c r="C120" s="231">
        <v>11002</v>
      </c>
      <c r="D120" s="107">
        <f>COUNTA(G120:Z120)*0.5</f>
        <v>5.5</v>
      </c>
      <c r="F120" s="107" t="s">
        <v>263</v>
      </c>
      <c r="G120" s="178">
        <v>44077</v>
      </c>
      <c r="H120" s="178">
        <v>44077</v>
      </c>
      <c r="I120" s="178">
        <v>44081</v>
      </c>
      <c r="J120" s="178">
        <v>44083</v>
      </c>
      <c r="K120" s="178">
        <v>44085</v>
      </c>
      <c r="L120" s="178">
        <v>44088</v>
      </c>
      <c r="M120" s="178">
        <v>44090</v>
      </c>
      <c r="N120" s="178" t="s">
        <v>375</v>
      </c>
      <c r="O120" s="178" t="s">
        <v>376</v>
      </c>
      <c r="P120" s="178">
        <v>44099</v>
      </c>
      <c r="Q120" s="178">
        <v>44102</v>
      </c>
      <c r="AA120" s="166">
        <v>44022</v>
      </c>
      <c r="AG120" s="107">
        <f>COUNTIFS(F:F,"Culled",A:A,LEFT(A120,LEN(A120)-3)&amp;"*")/COUNTIF(A:A,LEFT(A120,LEN(A120)-3)&amp;"*")*100</f>
        <v>0</v>
      </c>
      <c r="AH120" s="108">
        <f>(AD120-AF120)/(D120*$K$1*2)%</f>
        <v>0</v>
      </c>
      <c r="AI120" s="108">
        <f>(AE120+AF120)/(D120*$K$1*2)%</f>
        <v>0</v>
      </c>
      <c r="AP120" s="110"/>
      <c r="AQ120" s="110"/>
      <c r="AR120" s="110"/>
      <c r="AS120" s="110"/>
      <c r="AT120" s="110"/>
      <c r="AU120" s="110"/>
    </row>
    <row r="121" spans="1:47" ht="12.75" hidden="1">
      <c r="A121" s="107" t="s">
        <v>393</v>
      </c>
      <c r="B121" s="226">
        <v>44077</v>
      </c>
      <c r="C121" s="231">
        <v>11002</v>
      </c>
      <c r="D121" s="107">
        <f>COUNTA(G121:Z121)*0.5</f>
        <v>5.5</v>
      </c>
      <c r="F121" s="107" t="s">
        <v>263</v>
      </c>
      <c r="G121" s="178">
        <v>44077</v>
      </c>
      <c r="H121" s="178">
        <v>44077</v>
      </c>
      <c r="I121" s="178">
        <v>44081</v>
      </c>
      <c r="J121" s="178">
        <v>44083</v>
      </c>
      <c r="K121" s="178">
        <v>44085</v>
      </c>
      <c r="L121" s="178">
        <v>44088</v>
      </c>
      <c r="M121" s="178">
        <v>44090</v>
      </c>
      <c r="N121" s="178" t="s">
        <v>375</v>
      </c>
      <c r="O121" s="178" t="s">
        <v>376</v>
      </c>
      <c r="P121" s="178">
        <v>44099</v>
      </c>
      <c r="Q121" s="178">
        <v>44102</v>
      </c>
      <c r="AA121" s="166">
        <v>44022</v>
      </c>
      <c r="AG121" s="107">
        <f>COUNTIFS(F:F,"Culled",A:A,LEFT(A121,LEN(A121)-3)&amp;"*")/COUNTIF(A:A,LEFT(A121,LEN(A121)-3)&amp;"*")*100</f>
        <v>0</v>
      </c>
      <c r="AH121" s="108">
        <f>(AD121-AF121)/(D121*$K$1*2)%</f>
        <v>0</v>
      </c>
      <c r="AI121" s="108">
        <f>(AE121+AF121)/(D121*$K$1*2)%</f>
        <v>0</v>
      </c>
      <c r="AP121" s="110"/>
      <c r="AQ121" s="110"/>
      <c r="AR121" s="110"/>
      <c r="AS121" s="110"/>
      <c r="AT121" s="110"/>
      <c r="AU121" s="110"/>
    </row>
    <row r="122" spans="1:47" ht="12.75" hidden="1">
      <c r="A122" s="107" t="s">
        <v>394</v>
      </c>
      <c r="B122" s="226">
        <v>44047</v>
      </c>
      <c r="C122" s="224">
        <v>10000</v>
      </c>
      <c r="D122" s="107">
        <f>COUNTA(G122:Z122)*0.5</f>
        <v>8</v>
      </c>
      <c r="F122" s="107" t="s">
        <v>263</v>
      </c>
      <c r="G122" s="225">
        <v>44047</v>
      </c>
      <c r="H122" s="225">
        <v>44047</v>
      </c>
      <c r="I122" s="225">
        <v>44047</v>
      </c>
      <c r="J122" s="225">
        <v>44048</v>
      </c>
      <c r="K122" s="225">
        <v>44055</v>
      </c>
      <c r="L122" s="225">
        <v>44057</v>
      </c>
      <c r="M122" s="225">
        <v>44061</v>
      </c>
      <c r="N122" s="225">
        <v>44061</v>
      </c>
      <c r="O122" s="225">
        <v>44064</v>
      </c>
      <c r="P122" s="225">
        <v>44064</v>
      </c>
      <c r="Q122" s="225">
        <v>44064</v>
      </c>
      <c r="R122" s="225">
        <v>44067</v>
      </c>
      <c r="S122" s="225">
        <v>44069</v>
      </c>
      <c r="T122" s="225">
        <v>44069</v>
      </c>
      <c r="U122" s="225">
        <v>44071</v>
      </c>
      <c r="V122" s="225">
        <v>44071</v>
      </c>
      <c r="W122" s="225"/>
      <c r="X122" s="225"/>
      <c r="Y122" s="225"/>
      <c r="AB122" s="109">
        <f>_xlfn.DAYS(AA122,B122)</f>
        <v>-44047</v>
      </c>
      <c r="AG122" s="107">
        <f>COUNTIFS(F:F,"Culled",A:A,LEFT(A122,LEN(A122)-3)&amp;"*")/COUNTIF(A:A,LEFT(A122,LEN(A122)-3)&amp;"*")*100</f>
        <v>23.076923076923077</v>
      </c>
      <c r="AH122" s="108">
        <f>(AD122-AF122)/(D122*$K$1*2)%</f>
        <v>0</v>
      </c>
      <c r="AI122" s="108">
        <f>(AE122+AF122)/(D122*$K$1*2)%</f>
        <v>0</v>
      </c>
      <c r="AK122" s="110"/>
      <c r="AL122" s="110"/>
      <c r="AM122" s="110"/>
      <c r="AN122" s="110"/>
      <c r="AO122" s="110"/>
      <c r="AP122" s="110"/>
      <c r="AQ122" s="110"/>
      <c r="AR122" s="110"/>
      <c r="AS122" s="110"/>
      <c r="AT122" s="110"/>
      <c r="AU122" s="110"/>
    </row>
    <row r="123" spans="1:47" ht="12.75" hidden="1">
      <c r="A123" s="107" t="s">
        <v>395</v>
      </c>
      <c r="B123" s="226">
        <v>44047</v>
      </c>
      <c r="C123" s="224">
        <v>10000</v>
      </c>
      <c r="D123" s="107">
        <f>COUNTA(G123:Z123)*0.5</f>
        <v>8</v>
      </c>
      <c r="F123" s="107" t="s">
        <v>263</v>
      </c>
      <c r="G123" s="225">
        <v>44047</v>
      </c>
      <c r="H123" s="225">
        <v>44047</v>
      </c>
      <c r="I123" s="225">
        <v>44047</v>
      </c>
      <c r="J123" s="225">
        <v>44048</v>
      </c>
      <c r="K123" s="225">
        <v>44055</v>
      </c>
      <c r="L123" s="225">
        <v>44057</v>
      </c>
      <c r="M123" s="225">
        <v>44061</v>
      </c>
      <c r="N123" s="225">
        <v>44061</v>
      </c>
      <c r="O123" s="225">
        <v>44064</v>
      </c>
      <c r="P123" s="225">
        <v>44064</v>
      </c>
      <c r="Q123" s="225">
        <v>44064</v>
      </c>
      <c r="R123" s="225">
        <v>44067</v>
      </c>
      <c r="S123" s="225">
        <v>44069</v>
      </c>
      <c r="T123" s="225">
        <v>44069</v>
      </c>
      <c r="U123" s="225">
        <v>44071</v>
      </c>
      <c r="V123" s="225">
        <v>44071</v>
      </c>
      <c r="W123" s="225"/>
      <c r="X123" s="225"/>
      <c r="Y123" s="225"/>
      <c r="AB123" s="109">
        <f>_xlfn.DAYS(AA123,B123)</f>
        <v>-44047</v>
      </c>
      <c r="AG123" s="107">
        <f>COUNTIFS(F:F,"Culled",A:A,LEFT(A123,LEN(A123)-3)&amp;"*")/COUNTIF(A:A,LEFT(A123,LEN(A123)-3)&amp;"*")*100</f>
        <v>23.076923076923077</v>
      </c>
      <c r="AH123" s="108">
        <f>(AD123-AF123)/(D123*$K$1*2)%</f>
        <v>0</v>
      </c>
      <c r="AI123" s="108">
        <f>(AE123+AF123)/(D123*$K$1*2)%</f>
        <v>0</v>
      </c>
      <c r="AK123" s="110"/>
      <c r="AL123" s="110"/>
      <c r="AM123" s="110"/>
      <c r="AN123" s="110"/>
      <c r="AO123" s="110"/>
      <c r="AP123" s="110"/>
      <c r="AQ123" s="110"/>
      <c r="AR123" s="110"/>
      <c r="AS123" s="110"/>
      <c r="AT123" s="110"/>
      <c r="AU123" s="110"/>
    </row>
    <row r="124" spans="1:47" ht="12.75" hidden="1">
      <c r="A124" s="107" t="s">
        <v>396</v>
      </c>
      <c r="B124" s="226">
        <v>44047</v>
      </c>
      <c r="C124" s="224">
        <v>10000</v>
      </c>
      <c r="D124" s="107">
        <f>COUNTA(G124:Z124)*0.5</f>
        <v>7.5</v>
      </c>
      <c r="F124" s="107" t="s">
        <v>263</v>
      </c>
      <c r="G124" s="225">
        <v>44047</v>
      </c>
      <c r="H124" s="225">
        <v>44047</v>
      </c>
      <c r="I124" s="225">
        <v>44047</v>
      </c>
      <c r="J124" s="225">
        <v>44048</v>
      </c>
      <c r="K124" s="225">
        <v>44055</v>
      </c>
      <c r="L124" s="225">
        <v>44057</v>
      </c>
      <c r="M124" s="225">
        <v>44061</v>
      </c>
      <c r="N124" s="225">
        <v>44061</v>
      </c>
      <c r="O124" s="225">
        <v>44064</v>
      </c>
      <c r="P124" s="225">
        <v>44064</v>
      </c>
      <c r="Q124" s="225">
        <v>44064</v>
      </c>
      <c r="R124" s="225">
        <v>44067</v>
      </c>
      <c r="S124" s="225">
        <v>44069</v>
      </c>
      <c r="T124" s="225">
        <v>44069</v>
      </c>
      <c r="U124" s="225">
        <v>44071</v>
      </c>
      <c r="V124" s="225"/>
      <c r="W124" s="225"/>
      <c r="X124" s="225"/>
      <c r="Y124" s="225"/>
      <c r="AB124" s="109">
        <f>_xlfn.DAYS(AA124,B124)</f>
        <v>-44047</v>
      </c>
      <c r="AC124" s="107">
        <f>(13/31+13/34)/2%</f>
        <v>40.085388994307401</v>
      </c>
      <c r="AD124" s="107">
        <v>1002.5</v>
      </c>
      <c r="AE124" s="107">
        <v>257</v>
      </c>
      <c r="AF124" s="107">
        <v>35.5</v>
      </c>
      <c r="AG124" s="107">
        <f>COUNTIFS(F:F,"Culled",A:A,LEFT(A124,LEN(A124)-3)&amp;"*")/COUNTIF(A:A,LEFT(A124,LEN(A124)-3)&amp;"*")*100</f>
        <v>23.076923076923077</v>
      </c>
      <c r="AH124" s="108">
        <f>(AD124-AF124)/(D124*$K$1*2)%</f>
        <v>11.721212121212121</v>
      </c>
      <c r="AI124" s="108">
        <f>(AE124+AF124)/(D124*$K$1*2)%</f>
        <v>3.5454545454545454</v>
      </c>
      <c r="AK124" s="110"/>
      <c r="AL124" s="110"/>
      <c r="AM124" s="110"/>
      <c r="AN124" s="110"/>
      <c r="AO124" s="110"/>
      <c r="AP124" s="110"/>
      <c r="AQ124" s="110"/>
      <c r="AR124" s="110"/>
      <c r="AS124" s="110"/>
      <c r="AT124" s="110"/>
      <c r="AU124" s="110"/>
    </row>
    <row r="125" spans="1:47" ht="17.25" hidden="1" customHeight="1">
      <c r="A125" s="107" t="s">
        <v>397</v>
      </c>
      <c r="B125" s="226">
        <v>44047</v>
      </c>
      <c r="C125" s="224">
        <v>10000</v>
      </c>
      <c r="D125" s="107">
        <f>COUNTA(G125:Z125)*0.5</f>
        <v>8</v>
      </c>
      <c r="F125" s="107" t="s">
        <v>263</v>
      </c>
      <c r="G125" s="225">
        <v>44047</v>
      </c>
      <c r="H125" s="225">
        <v>44047</v>
      </c>
      <c r="I125" s="225">
        <v>44047</v>
      </c>
      <c r="J125" s="225">
        <v>44048</v>
      </c>
      <c r="K125" s="225">
        <v>44055</v>
      </c>
      <c r="L125" s="225">
        <v>44057</v>
      </c>
      <c r="M125" s="225">
        <v>44061</v>
      </c>
      <c r="N125" s="225">
        <v>44061</v>
      </c>
      <c r="O125" s="225">
        <v>44064</v>
      </c>
      <c r="P125" s="225">
        <v>44064</v>
      </c>
      <c r="Q125" s="225">
        <v>44064</v>
      </c>
      <c r="R125" s="225">
        <v>44067</v>
      </c>
      <c r="S125" s="225">
        <v>44069</v>
      </c>
      <c r="T125" s="225">
        <v>44069</v>
      </c>
      <c r="U125" s="225">
        <v>44071</v>
      </c>
      <c r="V125" s="225">
        <v>44071</v>
      </c>
      <c r="W125" s="225"/>
      <c r="X125" s="225"/>
      <c r="Y125" s="225"/>
      <c r="AB125" s="109">
        <f>_xlfn.DAYS(AA125,B125)</f>
        <v>-44047</v>
      </c>
      <c r="AG125" s="107">
        <f>COUNTIFS(F:F,"Culled",A:A,LEFT(A125,LEN(A125)-3)&amp;"*")/COUNTIF(A:A,LEFT(A125,LEN(A125)-3)&amp;"*")*100</f>
        <v>23.076923076923077</v>
      </c>
      <c r="AH125" s="108">
        <f>(AD125-AF125)/(D125*$K$1*2)%</f>
        <v>0</v>
      </c>
      <c r="AI125" s="108">
        <f>(AE125+AF125)/(D125*$K$1*2)%</f>
        <v>0</v>
      </c>
      <c r="AK125" s="110"/>
      <c r="AL125" s="110"/>
      <c r="AM125" s="110"/>
      <c r="AN125" s="110"/>
      <c r="AO125" s="110"/>
      <c r="AP125" s="110"/>
      <c r="AQ125" s="110"/>
      <c r="AR125" s="110"/>
      <c r="AS125" s="110"/>
      <c r="AT125" s="110"/>
      <c r="AU125" s="110"/>
    </row>
    <row r="126" spans="1:47" ht="12.75" hidden="1">
      <c r="A126" s="107" t="s">
        <v>398</v>
      </c>
      <c r="B126" s="226">
        <v>44047</v>
      </c>
      <c r="C126" s="224">
        <v>10000</v>
      </c>
      <c r="D126" s="107">
        <f>COUNTA(G126:Z126)*0.5</f>
        <v>8</v>
      </c>
      <c r="F126" s="107" t="s">
        <v>263</v>
      </c>
      <c r="G126" s="225">
        <v>44047</v>
      </c>
      <c r="H126" s="225">
        <v>44047</v>
      </c>
      <c r="I126" s="225">
        <v>44047</v>
      </c>
      <c r="J126" s="225">
        <v>44048</v>
      </c>
      <c r="K126" s="225">
        <v>44055</v>
      </c>
      <c r="L126" s="225">
        <v>44057</v>
      </c>
      <c r="M126" s="225">
        <v>44061</v>
      </c>
      <c r="N126" s="225">
        <v>44061</v>
      </c>
      <c r="O126" s="225">
        <v>44064</v>
      </c>
      <c r="P126" s="225">
        <v>44064</v>
      </c>
      <c r="Q126" s="225">
        <v>44064</v>
      </c>
      <c r="R126" s="225">
        <v>44067</v>
      </c>
      <c r="S126" s="225">
        <v>44069</v>
      </c>
      <c r="T126" s="225">
        <v>44069</v>
      </c>
      <c r="U126" s="225">
        <v>44071</v>
      </c>
      <c r="V126" s="225">
        <v>44071</v>
      </c>
      <c r="W126" s="225"/>
      <c r="X126" s="225"/>
      <c r="Y126" s="225"/>
      <c r="AB126" s="109">
        <f>_xlfn.DAYS(AA126,B126)</f>
        <v>-44047</v>
      </c>
      <c r="AC126" s="107">
        <f>(10/19+8/17)/2%</f>
        <v>49.845201238390089</v>
      </c>
      <c r="AD126" s="107">
        <v>900</v>
      </c>
      <c r="AE126" s="107">
        <v>293</v>
      </c>
      <c r="AF126" s="107">
        <v>9</v>
      </c>
      <c r="AG126" s="107">
        <f>COUNTIFS(F:F,"Culled",A:A,LEFT(A126,LEN(A126)-3)&amp;"*")/COUNTIF(A:A,LEFT(A126,LEN(A126)-3)&amp;"*")*100</f>
        <v>23.076923076923077</v>
      </c>
      <c r="AH126" s="108">
        <f>(AD126-AF126)/(D126*$K$1*2)%</f>
        <v>10.125</v>
      </c>
      <c r="AI126" s="108">
        <f>(AE126+AF126)/(D126*$K$1*2)%</f>
        <v>3.4318181818181817</v>
      </c>
      <c r="AK126" s="110"/>
      <c r="AL126" s="110"/>
      <c r="AM126" s="110"/>
      <c r="AN126" s="110"/>
      <c r="AO126" s="110"/>
      <c r="AP126" s="110"/>
      <c r="AQ126" s="110"/>
      <c r="AR126" s="110"/>
      <c r="AS126" s="110"/>
      <c r="AT126" s="110"/>
      <c r="AU126" s="110"/>
    </row>
    <row r="127" spans="1:47" ht="17.25" hidden="1" customHeight="1">
      <c r="A127" s="107" t="s">
        <v>399</v>
      </c>
      <c r="B127" s="226">
        <v>44047</v>
      </c>
      <c r="C127" s="224">
        <v>10000</v>
      </c>
      <c r="D127" s="107">
        <f>COUNTA(G127:Z127)*0.5</f>
        <v>8</v>
      </c>
      <c r="F127" s="107" t="s">
        <v>263</v>
      </c>
      <c r="G127" s="225">
        <v>44047</v>
      </c>
      <c r="H127" s="225">
        <v>44047</v>
      </c>
      <c r="I127" s="225">
        <v>44047</v>
      </c>
      <c r="J127" s="225">
        <v>44048</v>
      </c>
      <c r="K127" s="225">
        <v>44055</v>
      </c>
      <c r="L127" s="225">
        <v>44057</v>
      </c>
      <c r="M127" s="225">
        <v>44061</v>
      </c>
      <c r="N127" s="225">
        <v>44061</v>
      </c>
      <c r="O127" s="225">
        <v>44064</v>
      </c>
      <c r="P127" s="225">
        <v>44064</v>
      </c>
      <c r="Q127" s="225">
        <v>44064</v>
      </c>
      <c r="R127" s="225">
        <v>44067</v>
      </c>
      <c r="S127" s="225">
        <v>44069</v>
      </c>
      <c r="T127" s="225">
        <v>44069</v>
      </c>
      <c r="U127" s="225">
        <v>44071</v>
      </c>
      <c r="V127" s="225">
        <v>44071</v>
      </c>
      <c r="W127" s="225"/>
      <c r="X127" s="225"/>
      <c r="Y127" s="225"/>
      <c r="AB127" s="109">
        <f>_xlfn.DAYS(AA127,B127)</f>
        <v>-44047</v>
      </c>
      <c r="AC127" s="107">
        <f>(8/20+4/22)/2%</f>
        <v>29.09090909090909</v>
      </c>
      <c r="AD127" s="107">
        <v>1067</v>
      </c>
      <c r="AE127" s="107">
        <v>285</v>
      </c>
      <c r="AF127" s="107">
        <v>52.5</v>
      </c>
      <c r="AG127" s="107">
        <f>COUNTIFS(F:F,"Culled",A:A,LEFT(A127,LEN(A127)-3)&amp;"*")/COUNTIF(A:A,LEFT(A127,LEN(A127)-3)&amp;"*")*100</f>
        <v>23.076923076923077</v>
      </c>
      <c r="AH127" s="108">
        <f>(AD127-AF127)/(D127*$K$1*2)%</f>
        <v>11.528409090909092</v>
      </c>
      <c r="AI127" s="108">
        <f>(AE127+AF127)/(D127*$K$1*2)%</f>
        <v>3.8352272727272729</v>
      </c>
      <c r="AK127" s="110"/>
      <c r="AL127" s="110"/>
      <c r="AM127" s="110"/>
      <c r="AN127" s="110"/>
      <c r="AO127" s="110"/>
      <c r="AP127" s="110"/>
      <c r="AQ127" s="110"/>
      <c r="AR127" s="110"/>
      <c r="AS127" s="110"/>
      <c r="AT127" s="110"/>
      <c r="AU127" s="110"/>
    </row>
    <row r="128" spans="1:47" ht="17.25" hidden="1" customHeight="1">
      <c r="A128" s="107" t="s">
        <v>400</v>
      </c>
      <c r="B128" s="226">
        <v>44047</v>
      </c>
      <c r="C128" s="224">
        <v>10000</v>
      </c>
      <c r="D128" s="107">
        <f>COUNTA(G128:Z128)*0.5</f>
        <v>8</v>
      </c>
      <c r="F128" s="107" t="s">
        <v>263</v>
      </c>
      <c r="G128" s="225">
        <v>44047</v>
      </c>
      <c r="H128" s="225">
        <v>44047</v>
      </c>
      <c r="I128" s="225">
        <v>44047</v>
      </c>
      <c r="J128" s="225">
        <v>44048</v>
      </c>
      <c r="K128" s="225">
        <v>44055</v>
      </c>
      <c r="L128" s="225">
        <v>44057</v>
      </c>
      <c r="M128" s="225">
        <v>44061</v>
      </c>
      <c r="N128" s="225">
        <v>44061</v>
      </c>
      <c r="O128" s="225">
        <v>44064</v>
      </c>
      <c r="P128" s="225">
        <v>44064</v>
      </c>
      <c r="Q128" s="225">
        <v>44064</v>
      </c>
      <c r="R128" s="225">
        <v>44067</v>
      </c>
      <c r="S128" s="225">
        <v>44069</v>
      </c>
      <c r="T128" s="225">
        <v>44069</v>
      </c>
      <c r="U128" s="225">
        <v>44071</v>
      </c>
      <c r="V128" s="225">
        <v>44071</v>
      </c>
      <c r="W128" s="225"/>
      <c r="X128" s="225"/>
      <c r="Y128" s="225"/>
      <c r="AB128" s="109">
        <f>_xlfn.DAYS(AA128,B128)</f>
        <v>-44047</v>
      </c>
      <c r="AG128" s="107">
        <f>COUNTIFS(F:F,"Culled",A:A,LEFT(A128,LEN(A128)-3)&amp;"*")/COUNTIF(A:A,LEFT(A128,LEN(A128)-3)&amp;"*")*100</f>
        <v>23.076923076923077</v>
      </c>
      <c r="AH128" s="108">
        <f>(AD128-AF128)/(D128*$K$1*2)%</f>
        <v>0</v>
      </c>
      <c r="AI128" s="108">
        <f>(AE128+AF128)/(D128*$K$1*2)%</f>
        <v>0</v>
      </c>
      <c r="AK128" s="110"/>
      <c r="AL128" s="110"/>
      <c r="AM128" s="110"/>
      <c r="AN128" s="110"/>
      <c r="AO128" s="110"/>
      <c r="AP128" s="110"/>
      <c r="AQ128" s="110"/>
      <c r="AR128" s="110"/>
      <c r="AS128" s="110"/>
      <c r="AT128" s="110"/>
      <c r="AU128" s="110"/>
    </row>
    <row r="129" spans="1:47" ht="17.25" hidden="1" customHeight="1">
      <c r="A129" s="107" t="s">
        <v>401</v>
      </c>
      <c r="B129" s="226">
        <v>44047</v>
      </c>
      <c r="C129" s="224">
        <v>10000</v>
      </c>
      <c r="D129" s="107">
        <f>COUNTA(G129:Z129)*0.5</f>
        <v>8</v>
      </c>
      <c r="F129" s="107" t="s">
        <v>263</v>
      </c>
      <c r="G129" s="225">
        <v>44047</v>
      </c>
      <c r="H129" s="225">
        <v>44047</v>
      </c>
      <c r="I129" s="225">
        <v>44047</v>
      </c>
      <c r="J129" s="225">
        <v>44048</v>
      </c>
      <c r="K129" s="225">
        <v>44055</v>
      </c>
      <c r="L129" s="225">
        <v>44057</v>
      </c>
      <c r="M129" s="225">
        <v>44061</v>
      </c>
      <c r="N129" s="225">
        <v>44061</v>
      </c>
      <c r="O129" s="225">
        <v>44064</v>
      </c>
      <c r="P129" s="225">
        <v>44064</v>
      </c>
      <c r="Q129" s="225">
        <v>44064</v>
      </c>
      <c r="R129" s="225">
        <v>44067</v>
      </c>
      <c r="S129" s="225">
        <v>44069</v>
      </c>
      <c r="T129" s="225">
        <v>44069</v>
      </c>
      <c r="U129" s="225">
        <v>44071</v>
      </c>
      <c r="V129" s="225">
        <v>44071</v>
      </c>
      <c r="W129" s="225"/>
      <c r="X129" s="225"/>
      <c r="Y129" s="225"/>
      <c r="AB129" s="109">
        <f>_xlfn.DAYS(AA129,B129)</f>
        <v>-44047</v>
      </c>
      <c r="AC129" s="107">
        <f>(7/27+8/32)/2%</f>
        <v>25.462962962962965</v>
      </c>
      <c r="AD129" s="107">
        <v>1183.5</v>
      </c>
      <c r="AE129" s="107">
        <v>287</v>
      </c>
      <c r="AF129" s="107">
        <v>80</v>
      </c>
      <c r="AG129" s="107">
        <f>COUNTIFS(F:F,"Culled",A:A,LEFT(A129,LEN(A129)-3)&amp;"*")/COUNTIF(A:A,LEFT(A129,LEN(A129)-3)&amp;"*")*100</f>
        <v>23.076923076923077</v>
      </c>
      <c r="AH129" s="108">
        <f>(AD129-AF129)/(D129*$K$1*2)%</f>
        <v>12.539772727272727</v>
      </c>
      <c r="AI129" s="108">
        <f>(AE129+AF129)/(D129*$K$1*2)%</f>
        <v>4.1704545454545459</v>
      </c>
      <c r="AK129" s="110"/>
      <c r="AL129" s="110"/>
      <c r="AM129" s="110"/>
      <c r="AN129" s="110"/>
      <c r="AO129" s="110"/>
      <c r="AP129" s="110"/>
      <c r="AQ129" s="110"/>
      <c r="AR129" s="110"/>
      <c r="AS129" s="110"/>
      <c r="AT129" s="110"/>
      <c r="AU129" s="110"/>
    </row>
    <row r="130" spans="1:47" ht="17.25" hidden="1" customHeight="1">
      <c r="A130" s="107" t="s">
        <v>402</v>
      </c>
      <c r="B130" s="226">
        <v>44047</v>
      </c>
      <c r="C130" s="224">
        <v>10000</v>
      </c>
      <c r="D130" s="107">
        <f>COUNTA(G130:Z130)*0.5</f>
        <v>8</v>
      </c>
      <c r="F130" s="107" t="s">
        <v>263</v>
      </c>
      <c r="G130" s="225">
        <v>44047</v>
      </c>
      <c r="H130" s="225">
        <v>44047</v>
      </c>
      <c r="I130" s="225">
        <v>44047</v>
      </c>
      <c r="J130" s="225">
        <v>44048</v>
      </c>
      <c r="K130" s="225">
        <v>44055</v>
      </c>
      <c r="L130" s="225">
        <v>44057</v>
      </c>
      <c r="M130" s="225">
        <v>44061</v>
      </c>
      <c r="N130" s="225">
        <v>44061</v>
      </c>
      <c r="O130" s="225">
        <v>44064</v>
      </c>
      <c r="P130" s="225">
        <v>44064</v>
      </c>
      <c r="Q130" s="225">
        <v>44064</v>
      </c>
      <c r="R130" s="225">
        <v>44067</v>
      </c>
      <c r="S130" s="225">
        <v>44069</v>
      </c>
      <c r="T130" s="225">
        <v>44069</v>
      </c>
      <c r="U130" s="225">
        <v>44071</v>
      </c>
      <c r="V130" s="225">
        <v>44071</v>
      </c>
      <c r="W130" s="225"/>
      <c r="X130" s="225"/>
      <c r="Y130" s="225"/>
      <c r="AB130" s="109">
        <f>_xlfn.DAYS(AA130,B130)</f>
        <v>-44047</v>
      </c>
      <c r="AC130" s="107">
        <f>(10/23+15/33)/2%</f>
        <v>44.466403162055336</v>
      </c>
      <c r="AD130" s="107">
        <v>1207</v>
      </c>
      <c r="AE130" s="107">
        <v>297</v>
      </c>
      <c r="AF130" s="107">
        <v>57</v>
      </c>
      <c r="AG130" s="107">
        <f>COUNTIFS(F:F,"Culled",A:A,LEFT(A130,LEN(A130)-3)&amp;"*")/COUNTIF(A:A,LEFT(A130,LEN(A130)-3)&amp;"*")*100</f>
        <v>23.076923076923077</v>
      </c>
      <c r="AH130" s="108">
        <f>(AD130-AF130)/(D130*$K$1*2)%</f>
        <v>13.068181818181818</v>
      </c>
      <c r="AI130" s="108">
        <f>(AE130+AF130)/(D130*$K$1*2)%</f>
        <v>4.0227272727272725</v>
      </c>
      <c r="AK130" s="110"/>
      <c r="AL130" s="110"/>
      <c r="AM130" s="110"/>
      <c r="AN130" s="110"/>
      <c r="AO130" s="110"/>
      <c r="AP130" s="110"/>
      <c r="AQ130" s="110"/>
      <c r="AR130" s="110"/>
      <c r="AS130" s="110"/>
      <c r="AT130" s="110"/>
      <c r="AU130" s="110"/>
    </row>
    <row r="131" spans="1:47" ht="12.75" hidden="1">
      <c r="A131" s="107" t="s">
        <v>403</v>
      </c>
      <c r="B131" s="226">
        <v>44047</v>
      </c>
      <c r="C131" s="224">
        <v>10000</v>
      </c>
      <c r="D131" s="107">
        <f>COUNTA(G131:Z131)*0.5</f>
        <v>8</v>
      </c>
      <c r="F131" s="107" t="s">
        <v>263</v>
      </c>
      <c r="G131" s="225">
        <v>44047</v>
      </c>
      <c r="H131" s="225">
        <v>44047</v>
      </c>
      <c r="I131" s="225">
        <v>44047</v>
      </c>
      <c r="J131" s="225">
        <v>44048</v>
      </c>
      <c r="K131" s="225">
        <v>44055</v>
      </c>
      <c r="L131" s="225">
        <v>44057</v>
      </c>
      <c r="M131" s="225">
        <v>44061</v>
      </c>
      <c r="N131" s="225">
        <v>44061</v>
      </c>
      <c r="O131" s="225">
        <v>44064</v>
      </c>
      <c r="P131" s="225">
        <v>44064</v>
      </c>
      <c r="Q131" s="225">
        <v>44064</v>
      </c>
      <c r="R131" s="225">
        <v>44067</v>
      </c>
      <c r="S131" s="225">
        <v>44069</v>
      </c>
      <c r="T131" s="225">
        <v>44069</v>
      </c>
      <c r="U131" s="225">
        <v>44071</v>
      </c>
      <c r="V131" s="225">
        <v>44071</v>
      </c>
      <c r="W131" s="225"/>
      <c r="X131" s="225"/>
      <c r="Y131" s="225"/>
      <c r="AB131" s="109">
        <f>_xlfn.DAYS(AA131,B131)</f>
        <v>-44047</v>
      </c>
      <c r="AG131" s="107">
        <f>COUNTIFS(F:F,"Culled",A:A,LEFT(A131,LEN(A131)-3)&amp;"*")/COUNTIF(A:A,LEFT(A131,LEN(A131)-3)&amp;"*")*100</f>
        <v>23.076923076923077</v>
      </c>
      <c r="AH131" s="108">
        <f>(AD131-AF131)/(D131*$K$1*2)%</f>
        <v>0</v>
      </c>
      <c r="AI131" s="108">
        <f>(AE131+AF131)/(D131*$K$1*2)%</f>
        <v>0</v>
      </c>
      <c r="AK131" s="110"/>
      <c r="AL131" s="110"/>
      <c r="AM131" s="110"/>
      <c r="AN131" s="110"/>
      <c r="AO131" s="110"/>
      <c r="AP131" s="110"/>
      <c r="AQ131" s="110"/>
      <c r="AR131" s="110"/>
      <c r="AS131" s="110"/>
      <c r="AT131" s="110"/>
      <c r="AU131" s="110"/>
    </row>
    <row r="132" spans="1:47" ht="12.75" hidden="1">
      <c r="A132" s="10" t="s">
        <v>404</v>
      </c>
      <c r="B132" s="229">
        <v>43956</v>
      </c>
      <c r="C132" s="10">
        <v>9000</v>
      </c>
      <c r="D132" s="10">
        <v>6.5</v>
      </c>
      <c r="E132" s="10"/>
      <c r="F132" s="107" t="s">
        <v>263</v>
      </c>
      <c r="G132" s="107"/>
      <c r="H132" s="107"/>
      <c r="I132" s="107"/>
      <c r="J132" s="107"/>
      <c r="K132" s="107"/>
      <c r="L132" s="107"/>
      <c r="M132" s="107"/>
      <c r="N132" s="107"/>
      <c r="O132" s="107"/>
      <c r="P132" s="107"/>
      <c r="Q132" s="107"/>
      <c r="R132" s="107"/>
      <c r="S132" s="107"/>
      <c r="T132" s="107"/>
      <c r="U132" s="107"/>
      <c r="V132" s="107"/>
      <c r="W132" s="107"/>
      <c r="X132" s="107"/>
      <c r="Y132" s="107"/>
      <c r="Z132" s="107"/>
      <c r="AA132" s="167">
        <v>43980</v>
      </c>
      <c r="AB132" s="109">
        <f>_xlfn.DAYS(AA132,B132)</f>
        <v>24</v>
      </c>
      <c r="AC132" s="10">
        <f>5/50%</f>
        <v>10</v>
      </c>
      <c r="AD132" s="10">
        <v>918.5</v>
      </c>
      <c r="AE132" s="10">
        <v>501</v>
      </c>
      <c r="AF132" s="10">
        <v>19</v>
      </c>
      <c r="AG132" s="10">
        <v>50</v>
      </c>
      <c r="AH132" s="108">
        <f>(AD132-AF132)/(D132*$K$1*2)%</f>
        <v>12.58041958041958</v>
      </c>
      <c r="AI132" s="108">
        <f>(AE132+AF132)/(D132*$K$1*2)%</f>
        <v>7.2727272727272725</v>
      </c>
      <c r="AK132" s="110"/>
      <c r="AL132" s="110"/>
      <c r="AM132" s="110"/>
      <c r="AN132" s="110"/>
      <c r="AO132" s="110"/>
      <c r="AP132" s="110"/>
      <c r="AQ132" s="110"/>
      <c r="AR132" s="110"/>
      <c r="AS132" s="110"/>
      <c r="AT132" s="110"/>
      <c r="AU132" s="110"/>
    </row>
    <row r="133" spans="1:47" ht="12.75" hidden="1">
      <c r="A133" s="10" t="s">
        <v>405</v>
      </c>
      <c r="B133" s="229">
        <v>43956</v>
      </c>
      <c r="C133" s="10">
        <v>9000</v>
      </c>
      <c r="D133" s="10">
        <v>5.5</v>
      </c>
      <c r="E133" s="10"/>
      <c r="F133" s="107" t="s">
        <v>263</v>
      </c>
      <c r="G133" s="107"/>
      <c r="H133" s="107"/>
      <c r="I133" s="107"/>
      <c r="J133" s="107"/>
      <c r="K133" s="107"/>
      <c r="L133" s="107"/>
      <c r="M133" s="107"/>
      <c r="N133" s="107"/>
      <c r="O133" s="107"/>
      <c r="P133" s="107"/>
      <c r="Q133" s="107"/>
      <c r="R133" s="107"/>
      <c r="S133" s="107"/>
      <c r="T133" s="107"/>
      <c r="U133" s="107"/>
      <c r="V133" s="107"/>
      <c r="W133" s="107"/>
      <c r="X133" s="107"/>
      <c r="Y133" s="107"/>
      <c r="Z133" s="107"/>
      <c r="AA133" s="167">
        <v>43980</v>
      </c>
      <c r="AB133" s="109">
        <f>_xlfn.DAYS(AA133,B133)</f>
        <v>24</v>
      </c>
      <c r="AC133" s="10">
        <f>6/13%</f>
        <v>46.153846153846153</v>
      </c>
      <c r="AD133" s="10">
        <v>809</v>
      </c>
      <c r="AE133" s="10">
        <v>445.5</v>
      </c>
      <c r="AF133" s="10">
        <v>25.5</v>
      </c>
      <c r="AG133" s="10">
        <v>50</v>
      </c>
      <c r="AH133" s="108">
        <f>(AD133-AF133)/(D133*$K$1*2)%</f>
        <v>12.950413223140496</v>
      </c>
      <c r="AI133" s="108">
        <f>(AE133+AF133)/(D133*$K$1*2)%</f>
        <v>7.785123966942149</v>
      </c>
      <c r="AK133" s="110"/>
      <c r="AL133" s="110"/>
      <c r="AM133" s="110"/>
      <c r="AN133" s="110"/>
      <c r="AO133" s="110"/>
      <c r="AP133" s="110"/>
      <c r="AQ133" s="110"/>
      <c r="AR133" s="110"/>
      <c r="AS133" s="110"/>
      <c r="AT133" s="110"/>
      <c r="AU133" s="110"/>
    </row>
    <row r="134" spans="1:47" ht="17.25" hidden="1" customHeight="1">
      <c r="A134" s="10" t="s">
        <v>406</v>
      </c>
      <c r="B134" s="229">
        <v>43956</v>
      </c>
      <c r="C134" s="10">
        <v>9000</v>
      </c>
      <c r="D134" s="10">
        <v>5.5</v>
      </c>
      <c r="E134" s="10"/>
      <c r="F134" s="107" t="s">
        <v>263</v>
      </c>
      <c r="G134" s="107"/>
      <c r="H134" s="107"/>
      <c r="I134" s="107"/>
      <c r="J134" s="107"/>
      <c r="K134" s="107"/>
      <c r="L134" s="107"/>
      <c r="M134" s="107"/>
      <c r="N134" s="107"/>
      <c r="O134" s="107"/>
      <c r="P134" s="107"/>
      <c r="Q134" s="107"/>
      <c r="R134" s="107"/>
      <c r="S134" s="107"/>
      <c r="T134" s="107"/>
      <c r="U134" s="107"/>
      <c r="V134" s="107"/>
      <c r="W134" s="107"/>
      <c r="X134" s="107"/>
      <c r="Y134" s="107"/>
      <c r="Z134" s="107"/>
      <c r="AA134" s="167">
        <v>43980</v>
      </c>
      <c r="AB134" s="109">
        <f>_xlfn.DAYS(AA134,B134)</f>
        <v>24</v>
      </c>
      <c r="AC134" s="10">
        <f>4/17%</f>
        <v>23.52941176470588</v>
      </c>
      <c r="AD134" s="10">
        <v>849</v>
      </c>
      <c r="AE134" s="10">
        <v>523</v>
      </c>
      <c r="AF134" s="10">
        <v>26.5</v>
      </c>
      <c r="AG134" s="10">
        <v>50</v>
      </c>
      <c r="AH134" s="108">
        <f>(AD134-AF134)/(D134*$K$1*2)%</f>
        <v>13.595041322314049</v>
      </c>
      <c r="AI134" s="108">
        <f>(AE134+AF134)/(D134*$K$1*2)%</f>
        <v>9.0826446280991728</v>
      </c>
      <c r="AK134" s="110"/>
      <c r="AL134" s="110"/>
      <c r="AM134" s="110"/>
      <c r="AN134" s="110"/>
      <c r="AO134" s="110"/>
      <c r="AP134" s="110"/>
      <c r="AQ134" s="110"/>
      <c r="AR134" s="110"/>
      <c r="AS134" s="110"/>
      <c r="AT134" s="110"/>
      <c r="AU134" s="110"/>
    </row>
    <row r="135" spans="1:47" ht="17.25" hidden="1" customHeight="1">
      <c r="A135" s="10" t="s">
        <v>407</v>
      </c>
      <c r="B135" s="229">
        <v>43956</v>
      </c>
      <c r="C135" s="10">
        <v>9000</v>
      </c>
      <c r="D135" s="10">
        <v>5.5</v>
      </c>
      <c r="E135" s="10"/>
      <c r="F135" s="107" t="s">
        <v>263</v>
      </c>
      <c r="G135" s="107"/>
      <c r="H135" s="107"/>
      <c r="I135" s="107"/>
      <c r="J135" s="107"/>
      <c r="K135" s="107"/>
      <c r="L135" s="107"/>
      <c r="M135" s="107"/>
      <c r="N135" s="107"/>
      <c r="O135" s="107"/>
      <c r="P135" s="107"/>
      <c r="Q135" s="107"/>
      <c r="R135" s="107"/>
      <c r="S135" s="107"/>
      <c r="T135" s="107"/>
      <c r="U135" s="107"/>
      <c r="V135" s="107"/>
      <c r="W135" s="107"/>
      <c r="X135" s="107"/>
      <c r="Y135" s="107"/>
      <c r="Z135" s="107"/>
      <c r="AA135" s="167">
        <v>43980</v>
      </c>
      <c r="AB135" s="109">
        <f>_xlfn.DAYS(AA135,B135)</f>
        <v>24</v>
      </c>
      <c r="AC135" s="10">
        <f>5/16%</f>
        <v>31.25</v>
      </c>
      <c r="AD135" s="10">
        <v>871.5</v>
      </c>
      <c r="AE135" s="10">
        <v>479.5</v>
      </c>
      <c r="AF135" s="10">
        <v>13.5</v>
      </c>
      <c r="AG135" s="10">
        <v>50</v>
      </c>
      <c r="AH135" s="108">
        <f>(AD135-AF135)/(D135*$K$1*2)%</f>
        <v>14.181818181818182</v>
      </c>
      <c r="AI135" s="108">
        <f>(AE135+AF135)/(D135*$K$1*2)%</f>
        <v>8.1487603305785132</v>
      </c>
      <c r="AK135" s="110"/>
      <c r="AL135" s="110"/>
      <c r="AM135" s="110"/>
      <c r="AN135" s="110"/>
      <c r="AO135" s="110"/>
      <c r="AP135" s="110"/>
      <c r="AQ135" s="110"/>
      <c r="AR135" s="110"/>
      <c r="AS135" s="110"/>
      <c r="AT135" s="110"/>
      <c r="AU135" s="110"/>
    </row>
    <row r="136" spans="1:47" ht="17.25" hidden="1" customHeight="1">
      <c r="A136" s="10" t="s">
        <v>408</v>
      </c>
      <c r="B136" s="229">
        <v>43987</v>
      </c>
      <c r="C136" s="10">
        <v>10000</v>
      </c>
      <c r="D136" s="10">
        <v>8.5</v>
      </c>
      <c r="E136" s="10"/>
      <c r="F136" s="107" t="s">
        <v>263</v>
      </c>
      <c r="G136" s="107"/>
      <c r="H136" s="107"/>
      <c r="I136" s="107"/>
      <c r="J136" s="107"/>
      <c r="K136" s="107"/>
      <c r="L136" s="107"/>
      <c r="M136" s="107"/>
      <c r="N136" s="107"/>
      <c r="O136" s="107"/>
      <c r="P136" s="107"/>
      <c r="Q136" s="107"/>
      <c r="R136" s="107"/>
      <c r="S136" s="107"/>
      <c r="T136" s="107"/>
      <c r="U136" s="107"/>
      <c r="V136" s="107"/>
      <c r="W136" s="107"/>
      <c r="X136" s="107"/>
      <c r="Y136" s="107"/>
      <c r="Z136" s="107"/>
      <c r="AA136" s="167">
        <v>44020</v>
      </c>
      <c r="AB136" s="109">
        <f>_xlfn.DAYS(AA136,B136)</f>
        <v>33</v>
      </c>
      <c r="AC136" s="10">
        <f>AVERAGE(2/16,4/16)*100</f>
        <v>18.75</v>
      </c>
      <c r="AD136" s="10">
        <v>1273</v>
      </c>
      <c r="AE136" s="10">
        <v>340</v>
      </c>
      <c r="AG136" s="10">
        <v>30</v>
      </c>
      <c r="AH136" s="108">
        <f>(AD136-AF136)/(D136*$K$1*2)%</f>
        <v>13.614973262032086</v>
      </c>
      <c r="AI136" s="108">
        <f>(AE136+AF136)/(D136*$K$1*2)%</f>
        <v>3.6363636363636362</v>
      </c>
      <c r="AK136" s="110"/>
      <c r="AL136" s="110"/>
      <c r="AM136" s="110"/>
      <c r="AN136" s="110"/>
      <c r="AO136" s="110"/>
      <c r="AP136" s="110"/>
      <c r="AQ136" s="110"/>
      <c r="AR136" s="110"/>
      <c r="AS136" s="110"/>
      <c r="AT136" s="110"/>
      <c r="AU136" s="110"/>
    </row>
    <row r="137" spans="1:47" ht="12.75" hidden="1">
      <c r="A137" s="10" t="s">
        <v>409</v>
      </c>
      <c r="B137" s="229">
        <v>43987</v>
      </c>
      <c r="C137" s="10">
        <v>10000</v>
      </c>
      <c r="D137" s="10">
        <v>8.5</v>
      </c>
      <c r="E137" s="10"/>
      <c r="F137" s="107" t="s">
        <v>263</v>
      </c>
      <c r="G137" s="107"/>
      <c r="H137" s="107"/>
      <c r="I137" s="107"/>
      <c r="J137" s="107"/>
      <c r="K137" s="107"/>
      <c r="L137" s="107"/>
      <c r="M137" s="107"/>
      <c r="N137" s="107"/>
      <c r="O137" s="107"/>
      <c r="P137" s="107"/>
      <c r="Q137" s="107"/>
      <c r="R137" s="107"/>
      <c r="S137" s="107"/>
      <c r="T137" s="107"/>
      <c r="U137" s="107"/>
      <c r="V137" s="107"/>
      <c r="W137" s="107"/>
      <c r="X137" s="107"/>
      <c r="Y137" s="107"/>
      <c r="Z137" s="107"/>
      <c r="AA137" s="167">
        <v>44020</v>
      </c>
      <c r="AB137" s="109">
        <f>_xlfn.DAYS(AA137,B137)</f>
        <v>33</v>
      </c>
      <c r="AC137" s="10">
        <f>AVERAGE(5/20,3/14)*100</f>
        <v>23.214285714285715</v>
      </c>
      <c r="AD137" s="10">
        <v>1187</v>
      </c>
      <c r="AE137" s="10">
        <v>520</v>
      </c>
      <c r="AG137" s="10">
        <v>30</v>
      </c>
      <c r="AH137" s="108">
        <f>(AD137-AF137)/(D137*$K$1*2)%</f>
        <v>12.695187165775401</v>
      </c>
      <c r="AI137" s="108">
        <f>(AE137+AF137)/(D137*$K$1*2)%</f>
        <v>5.5614973262032086</v>
      </c>
      <c r="AK137" s="110"/>
      <c r="AL137" s="110"/>
      <c r="AM137" s="110"/>
      <c r="AN137" s="110"/>
      <c r="AO137" s="110"/>
      <c r="AP137" s="110"/>
      <c r="AQ137" s="110"/>
      <c r="AR137" s="110"/>
      <c r="AS137" s="110"/>
      <c r="AT137" s="110"/>
      <c r="AU137" s="110"/>
    </row>
    <row r="138" spans="1:47" ht="12.75" hidden="1">
      <c r="A138" s="10" t="s">
        <v>410</v>
      </c>
      <c r="B138" s="229">
        <v>43987</v>
      </c>
      <c r="C138" s="10">
        <v>10000</v>
      </c>
      <c r="D138" s="10">
        <v>8.5</v>
      </c>
      <c r="E138" s="10"/>
      <c r="F138" s="107" t="s">
        <v>263</v>
      </c>
      <c r="G138" s="107"/>
      <c r="H138" s="107"/>
      <c r="I138" s="107"/>
      <c r="J138" s="107"/>
      <c r="K138" s="107"/>
      <c r="L138" s="107"/>
      <c r="M138" s="107"/>
      <c r="N138" s="107"/>
      <c r="O138" s="107"/>
      <c r="P138" s="107"/>
      <c r="Q138" s="107"/>
      <c r="R138" s="107"/>
      <c r="S138" s="107"/>
      <c r="T138" s="107"/>
      <c r="U138" s="107"/>
      <c r="V138" s="107"/>
      <c r="W138" s="107"/>
      <c r="X138" s="107"/>
      <c r="Y138" s="107"/>
      <c r="Z138" s="107"/>
      <c r="AA138" s="167">
        <v>44020</v>
      </c>
      <c r="AB138" s="109">
        <f>_xlfn.DAYS(AA138,B138)</f>
        <v>33</v>
      </c>
      <c r="AC138" s="110">
        <f>AVERAGE(4/12,3/15)*100</f>
        <v>26.666666666666668</v>
      </c>
      <c r="AD138" s="110">
        <v>1091</v>
      </c>
      <c r="AE138" s="110">
        <v>279</v>
      </c>
      <c r="AF138" s="110"/>
      <c r="AG138" s="10">
        <v>30</v>
      </c>
      <c r="AH138" s="108">
        <f>(AD138-AF138)/(D138*$K$1*2)%</f>
        <v>11.668449197860962</v>
      </c>
      <c r="AI138" s="108">
        <f>(AE138+AF138)/(D138*$K$1*2)%</f>
        <v>2.9839572192513368</v>
      </c>
      <c r="AK138" s="110"/>
      <c r="AL138" s="110"/>
      <c r="AM138" s="110"/>
      <c r="AN138" s="110"/>
      <c r="AO138" s="110"/>
      <c r="AP138" s="110"/>
      <c r="AQ138" s="110"/>
      <c r="AR138" s="110"/>
      <c r="AS138" s="110"/>
      <c r="AT138" s="110"/>
      <c r="AU138" s="110"/>
    </row>
    <row r="139" spans="1:47" ht="12.75" hidden="1">
      <c r="A139" s="10" t="s">
        <v>411</v>
      </c>
      <c r="B139" s="229">
        <v>43987</v>
      </c>
      <c r="C139" s="10">
        <v>10000</v>
      </c>
      <c r="D139" s="10">
        <v>8.5</v>
      </c>
      <c r="E139" s="10"/>
      <c r="F139" s="107" t="s">
        <v>263</v>
      </c>
      <c r="G139" s="107"/>
      <c r="H139" s="107"/>
      <c r="I139" s="107"/>
      <c r="J139" s="107"/>
      <c r="K139" s="107"/>
      <c r="L139" s="107"/>
      <c r="M139" s="107"/>
      <c r="N139" s="107"/>
      <c r="O139" s="107"/>
      <c r="P139" s="107"/>
      <c r="Q139" s="107"/>
      <c r="R139" s="107"/>
      <c r="S139" s="107"/>
      <c r="T139" s="107"/>
      <c r="U139" s="107"/>
      <c r="V139" s="107"/>
      <c r="W139" s="107"/>
      <c r="X139" s="107"/>
      <c r="Y139" s="107"/>
      <c r="Z139" s="107"/>
      <c r="AA139" s="167">
        <v>44020</v>
      </c>
      <c r="AB139" s="109">
        <f>_xlfn.DAYS(AA139,B139)</f>
        <v>33</v>
      </c>
      <c r="AC139" s="110">
        <f>6/20*100</f>
        <v>30</v>
      </c>
      <c r="AD139" s="110">
        <v>1143.5</v>
      </c>
      <c r="AE139" s="110">
        <v>420.5</v>
      </c>
      <c r="AF139" s="110"/>
      <c r="AG139" s="10">
        <v>30</v>
      </c>
      <c r="AH139" s="108">
        <f>(AD139-AF139)/(D139*$K$1*2)%</f>
        <v>12.229946524064172</v>
      </c>
      <c r="AI139" s="108">
        <f>(AE139+AF139)/(D139*$K$1*2)%</f>
        <v>4.4973262032085559</v>
      </c>
      <c r="AK139" s="110"/>
      <c r="AL139" s="110"/>
      <c r="AM139" s="110"/>
      <c r="AN139" s="110"/>
      <c r="AO139" s="110"/>
      <c r="AP139" s="110"/>
      <c r="AQ139" s="110"/>
      <c r="AR139" s="110"/>
      <c r="AS139" s="110"/>
      <c r="AT139" s="110"/>
      <c r="AU139" s="110"/>
    </row>
    <row r="140" spans="1:47" ht="12.75" hidden="1">
      <c r="A140" s="110" t="s">
        <v>412</v>
      </c>
      <c r="B140" s="229">
        <v>43963</v>
      </c>
      <c r="C140" s="10">
        <v>10000</v>
      </c>
      <c r="D140" s="110">
        <v>2.5</v>
      </c>
      <c r="E140" s="110"/>
      <c r="F140" s="107" t="s">
        <v>323</v>
      </c>
      <c r="G140" s="107"/>
      <c r="H140" s="107"/>
      <c r="I140" s="107"/>
      <c r="J140" s="107"/>
      <c r="K140" s="107"/>
      <c r="L140" s="107"/>
      <c r="M140" s="107"/>
      <c r="N140" s="107"/>
      <c r="O140" s="107"/>
      <c r="P140" s="107"/>
      <c r="Q140" s="107"/>
      <c r="R140" s="107"/>
      <c r="S140" s="107"/>
      <c r="T140" s="107"/>
      <c r="U140" s="107"/>
      <c r="V140" s="107"/>
      <c r="W140" s="107"/>
      <c r="X140" s="107"/>
      <c r="Y140" s="107"/>
      <c r="Z140" s="107"/>
      <c r="AA140" s="167">
        <v>43980</v>
      </c>
      <c r="AB140" s="109">
        <f>_xlfn.DAYS(AA140,B140)</f>
        <v>17</v>
      </c>
      <c r="AG140" s="10">
        <v>100</v>
      </c>
      <c r="AH140" s="107"/>
    </row>
    <row r="141" spans="1:47" ht="12.75" hidden="1">
      <c r="A141" s="110" t="s">
        <v>413</v>
      </c>
      <c r="B141" s="229">
        <v>43963</v>
      </c>
      <c r="C141" s="10">
        <v>10000</v>
      </c>
      <c r="D141" s="110">
        <v>2.5</v>
      </c>
      <c r="E141" s="110"/>
      <c r="F141" s="107" t="s">
        <v>323</v>
      </c>
      <c r="G141" s="107"/>
      <c r="H141" s="107"/>
      <c r="I141" s="107"/>
      <c r="J141" s="107"/>
      <c r="K141" s="107"/>
      <c r="L141" s="107"/>
      <c r="M141" s="107"/>
      <c r="N141" s="107"/>
      <c r="O141" s="107"/>
      <c r="P141" s="107"/>
      <c r="Q141" s="107"/>
      <c r="R141" s="107"/>
      <c r="S141" s="107"/>
      <c r="T141" s="107"/>
      <c r="U141" s="107"/>
      <c r="V141" s="107"/>
      <c r="W141" s="107"/>
      <c r="X141" s="107"/>
      <c r="Y141" s="107"/>
      <c r="Z141" s="107"/>
      <c r="AA141" s="167">
        <v>43980</v>
      </c>
      <c r="AB141" s="109">
        <f>_xlfn.DAYS(AA141,B141)</f>
        <v>17</v>
      </c>
      <c r="AG141" s="10">
        <v>100</v>
      </c>
      <c r="AH141" s="107"/>
    </row>
    <row r="142" spans="1:47" ht="12.75" hidden="1">
      <c r="A142" s="10" t="s">
        <v>414</v>
      </c>
      <c r="B142" s="229">
        <v>43987</v>
      </c>
      <c r="C142" s="10">
        <v>10000</v>
      </c>
      <c r="D142" s="10">
        <v>8.5</v>
      </c>
      <c r="E142" s="10"/>
      <c r="F142" s="107" t="s">
        <v>263</v>
      </c>
      <c r="G142" s="107"/>
      <c r="H142" s="107"/>
      <c r="I142" s="107"/>
      <c r="J142" s="107"/>
      <c r="K142" s="107"/>
      <c r="L142" s="107"/>
      <c r="M142" s="107"/>
      <c r="N142" s="107"/>
      <c r="O142" s="107"/>
      <c r="P142" s="107"/>
      <c r="Q142" s="107"/>
      <c r="R142" s="107"/>
      <c r="S142" s="107"/>
      <c r="T142" s="107"/>
      <c r="U142" s="107"/>
      <c r="V142" s="107"/>
      <c r="W142" s="107"/>
      <c r="X142" s="107"/>
      <c r="Y142" s="107"/>
      <c r="Z142" s="107"/>
      <c r="AA142" s="167">
        <v>44020</v>
      </c>
      <c r="AB142" s="109">
        <f>_xlfn.DAYS(AA142,B142)</f>
        <v>33</v>
      </c>
      <c r="AC142" s="110">
        <f>AVERAGE(6/14,16/34)*10</f>
        <v>4.4957983193277311</v>
      </c>
      <c r="AD142" s="110">
        <v>1183</v>
      </c>
      <c r="AE142" s="110">
        <v>464</v>
      </c>
      <c r="AF142" s="110"/>
      <c r="AG142" s="10">
        <v>30</v>
      </c>
      <c r="AH142" s="108">
        <f>(AD142-AF142)/(D142*$K$1*2)%</f>
        <v>12.652406417112299</v>
      </c>
      <c r="AI142" s="108">
        <f>(AE142+AF142)/(D142*$K$1*2)%</f>
        <v>4.9625668449197864</v>
      </c>
      <c r="AK142" s="110"/>
      <c r="AL142" s="110"/>
      <c r="AM142" s="110"/>
      <c r="AN142" s="110"/>
      <c r="AO142" s="110"/>
      <c r="AP142" s="110"/>
      <c r="AQ142" s="110"/>
      <c r="AR142" s="110"/>
      <c r="AS142" s="110"/>
      <c r="AT142" s="110"/>
      <c r="AU142" s="110"/>
    </row>
    <row r="143" spans="1:47" ht="12.75" hidden="1">
      <c r="A143" s="10" t="s">
        <v>415</v>
      </c>
      <c r="B143" s="229">
        <v>43987</v>
      </c>
      <c r="C143" s="10">
        <v>10000</v>
      </c>
      <c r="D143" s="10">
        <v>8.5</v>
      </c>
      <c r="E143" s="10"/>
      <c r="F143" s="107" t="s">
        <v>263</v>
      </c>
      <c r="G143" s="107"/>
      <c r="H143" s="107"/>
      <c r="I143" s="107"/>
      <c r="J143" s="107"/>
      <c r="K143" s="107"/>
      <c r="L143" s="107"/>
      <c r="M143" s="107"/>
      <c r="N143" s="107"/>
      <c r="O143" s="107"/>
      <c r="P143" s="107"/>
      <c r="Q143" s="107"/>
      <c r="R143" s="107"/>
      <c r="S143" s="107"/>
      <c r="T143" s="107"/>
      <c r="U143" s="107"/>
      <c r="V143" s="107"/>
      <c r="W143" s="107"/>
      <c r="X143" s="107"/>
      <c r="Y143" s="107"/>
      <c r="Z143" s="107"/>
      <c r="AA143" s="167">
        <v>44019</v>
      </c>
      <c r="AB143" s="109">
        <f>_xlfn.DAYS(AA143,B143)</f>
        <v>32</v>
      </c>
      <c r="AC143" s="110">
        <f>((14/21)+(6/16))/2*100</f>
        <v>52.083333333333329</v>
      </c>
      <c r="AD143" s="110">
        <v>1169.5</v>
      </c>
      <c r="AE143" s="110">
        <v>217</v>
      </c>
      <c r="AF143" s="110">
        <v>63.5</v>
      </c>
      <c r="AG143" s="10">
        <v>30</v>
      </c>
      <c r="AH143" s="108">
        <f>(AD143-AF143)/(D143*$K$1*2)%</f>
        <v>11.828877005347593</v>
      </c>
      <c r="AI143" s="108">
        <f>(AE143+AF143)/(D143*$K$1*2)%</f>
        <v>3</v>
      </c>
      <c r="AK143" s="110"/>
      <c r="AL143" s="110"/>
      <c r="AM143" s="110"/>
      <c r="AN143" s="110"/>
      <c r="AO143" s="110"/>
      <c r="AP143" s="110"/>
      <c r="AQ143" s="110"/>
      <c r="AR143" s="110"/>
      <c r="AS143" s="110"/>
      <c r="AT143" s="110"/>
      <c r="AU143" s="110"/>
    </row>
    <row r="144" spans="1:47" ht="12.75" hidden="1">
      <c r="A144" s="10" t="s">
        <v>416</v>
      </c>
      <c r="B144" s="229">
        <v>43987</v>
      </c>
      <c r="C144" s="10">
        <v>10000</v>
      </c>
      <c r="D144" s="10">
        <v>8.5</v>
      </c>
      <c r="E144" s="10"/>
      <c r="F144" s="107" t="s">
        <v>263</v>
      </c>
      <c r="G144" s="107"/>
      <c r="H144" s="107"/>
      <c r="I144" s="107"/>
      <c r="J144" s="107"/>
      <c r="K144" s="107"/>
      <c r="L144" s="107"/>
      <c r="M144" s="107"/>
      <c r="N144" s="107"/>
      <c r="O144" s="107"/>
      <c r="P144" s="107"/>
      <c r="Q144" s="107"/>
      <c r="R144" s="107"/>
      <c r="S144" s="107"/>
      <c r="T144" s="107"/>
      <c r="U144" s="107"/>
      <c r="V144" s="107"/>
      <c r="W144" s="107"/>
      <c r="X144" s="107"/>
      <c r="Y144" s="107"/>
      <c r="Z144" s="107"/>
      <c r="AA144" s="167">
        <v>44020</v>
      </c>
      <c r="AB144" s="109">
        <f>_xlfn.DAYS(AA144,B144)</f>
        <v>33</v>
      </c>
      <c r="AC144" s="110">
        <f>AVERAGE(4/10,7/13)*100</f>
        <v>46.92307692307692</v>
      </c>
      <c r="AD144" s="110">
        <v>1249</v>
      </c>
      <c r="AE144" s="110">
        <v>402</v>
      </c>
      <c r="AF144" s="110"/>
      <c r="AG144" s="10">
        <v>30</v>
      </c>
      <c r="AH144" s="108">
        <f>(AD144-AF144)/(D144*$K$1*2)%</f>
        <v>13.358288770053475</v>
      </c>
      <c r="AI144" s="108">
        <f>(AE144+AF144)/(D144*$K$1*2)%</f>
        <v>4.2994652406417115</v>
      </c>
      <c r="AK144" s="110"/>
      <c r="AL144" s="110"/>
      <c r="AM144" s="110"/>
      <c r="AN144" s="110"/>
      <c r="AO144" s="110"/>
      <c r="AP144" s="110"/>
      <c r="AQ144" s="110"/>
      <c r="AR144" s="110"/>
      <c r="AS144" s="110"/>
      <c r="AT144" s="110"/>
      <c r="AU144" s="110"/>
    </row>
    <row r="145" spans="1:47" ht="12.75" hidden="1">
      <c r="A145" s="107" t="s">
        <v>417</v>
      </c>
      <c r="B145" s="226">
        <v>44050</v>
      </c>
      <c r="C145" s="224">
        <v>10000</v>
      </c>
      <c r="D145" s="107">
        <f>COUNTA(G145:Z145)*0.5</f>
        <v>8.5</v>
      </c>
      <c r="F145" s="107" t="s">
        <v>263</v>
      </c>
      <c r="G145" s="178">
        <v>44050</v>
      </c>
      <c r="H145" s="178">
        <v>44050</v>
      </c>
      <c r="I145" s="178">
        <v>44050</v>
      </c>
      <c r="J145" s="178">
        <v>44055</v>
      </c>
      <c r="K145" s="178">
        <v>44057</v>
      </c>
      <c r="L145" s="178">
        <v>44061</v>
      </c>
      <c r="M145" s="178">
        <v>44061</v>
      </c>
      <c r="N145" s="178">
        <v>44064</v>
      </c>
      <c r="O145" s="178">
        <v>44064</v>
      </c>
      <c r="P145" s="178">
        <v>44064</v>
      </c>
      <c r="Q145" s="178">
        <v>44067</v>
      </c>
      <c r="R145" s="178">
        <v>44069</v>
      </c>
      <c r="S145" s="178">
        <v>44069</v>
      </c>
      <c r="T145" s="178">
        <v>44071</v>
      </c>
      <c r="U145" s="178">
        <v>44071</v>
      </c>
      <c r="V145" s="178">
        <v>44088</v>
      </c>
      <c r="W145" s="178">
        <v>44090</v>
      </c>
      <c r="AA145" s="166">
        <v>44099</v>
      </c>
      <c r="AB145" s="109">
        <f>_xlfn.DAYS(AA145,B145)</f>
        <v>49</v>
      </c>
      <c r="AC145" s="107">
        <f>13/14*100</f>
        <v>92.857142857142861</v>
      </c>
      <c r="AD145" s="107">
        <v>485.5</v>
      </c>
      <c r="AE145" s="107">
        <v>276</v>
      </c>
      <c r="AG145" s="107">
        <f>COUNTIFS(F:F,"Culled",A:A,LEFT(A145,LEN(A145)-3)&amp;"*")/COUNTIF(A:A,LEFT(A145,LEN(A145)-3)&amp;"*")*100</f>
        <v>12.5</v>
      </c>
      <c r="AH145" s="108">
        <f>(AD145-AF145)/(D145*$K$1*2)%</f>
        <v>5.1925133689839571</v>
      </c>
      <c r="AI145" s="108">
        <f>(AE145+AF145)/(D145*$K$1*2)%</f>
        <v>2.9518716577540105</v>
      </c>
      <c r="AP145" s="110"/>
      <c r="AQ145" s="110"/>
      <c r="AR145" s="110"/>
      <c r="AS145" s="110"/>
      <c r="AT145" s="110"/>
      <c r="AU145" s="110"/>
    </row>
    <row r="146" spans="1:47" ht="17.25" hidden="1" customHeight="1">
      <c r="A146" s="107" t="s">
        <v>418</v>
      </c>
      <c r="B146" s="226">
        <v>44050</v>
      </c>
      <c r="C146" s="224">
        <v>10000</v>
      </c>
      <c r="D146" s="107">
        <f>COUNTA(G146:Z146)*0.5</f>
        <v>7.5</v>
      </c>
      <c r="F146" s="107" t="s">
        <v>263</v>
      </c>
      <c r="G146" s="225">
        <v>44050</v>
      </c>
      <c r="H146" s="225">
        <v>44050</v>
      </c>
      <c r="I146" s="225">
        <v>44050</v>
      </c>
      <c r="J146" s="225">
        <v>44055</v>
      </c>
      <c r="K146" s="225">
        <v>44057</v>
      </c>
      <c r="L146" s="225">
        <v>44061</v>
      </c>
      <c r="M146" s="225">
        <v>44061</v>
      </c>
      <c r="N146" s="225">
        <v>44064</v>
      </c>
      <c r="O146" s="225">
        <v>44064</v>
      </c>
      <c r="P146" s="225">
        <v>44064</v>
      </c>
      <c r="Q146" s="225">
        <v>44067</v>
      </c>
      <c r="R146" s="225">
        <v>44069</v>
      </c>
      <c r="S146" s="225">
        <v>44069</v>
      </c>
      <c r="T146" s="225">
        <v>44071</v>
      </c>
      <c r="U146" s="225">
        <v>44071</v>
      </c>
      <c r="V146" s="226"/>
      <c r="W146" s="226"/>
      <c r="X146" s="226"/>
      <c r="Y146" s="226"/>
      <c r="Z146" s="107"/>
      <c r="AB146" s="109">
        <f>_xlfn.DAYS(AA146,B146)</f>
        <v>-44050</v>
      </c>
      <c r="AC146" s="107">
        <f>(7/31+15/27)/2%</f>
        <v>39.068100358422939</v>
      </c>
      <c r="AD146" s="107">
        <v>981.5</v>
      </c>
      <c r="AE146" s="107">
        <v>259</v>
      </c>
      <c r="AF146" s="107">
        <v>27</v>
      </c>
      <c r="AG146" s="107">
        <f>COUNTIFS(F:F,"Culled",A:A,LEFT(A146,LEN(A146)-3)&amp;"*")/COUNTIF(A:A,LEFT(A146,LEN(A146)-3)&amp;"*")*100</f>
        <v>12.5</v>
      </c>
      <c r="AH146" s="108">
        <f>(AD146-AF146)/(D146*$K$1*2)%</f>
        <v>11.56969696969697</v>
      </c>
      <c r="AI146" s="108">
        <f>(AE146+AF146)/(D146*$K$1*2)%</f>
        <v>3.4666666666666668</v>
      </c>
      <c r="AK146" s="110"/>
      <c r="AL146" s="110"/>
      <c r="AM146" s="110"/>
      <c r="AN146" s="110"/>
      <c r="AO146" s="110"/>
      <c r="AP146" s="110"/>
      <c r="AQ146" s="110"/>
      <c r="AR146" s="110"/>
      <c r="AS146" s="110"/>
      <c r="AT146" s="110"/>
      <c r="AU146" s="110"/>
    </row>
    <row r="147" spans="1:47" ht="12.75" hidden="1">
      <c r="A147" s="107" t="s">
        <v>419</v>
      </c>
      <c r="B147" s="226">
        <v>44050</v>
      </c>
      <c r="C147" s="224">
        <v>10000</v>
      </c>
      <c r="D147" s="107">
        <f>COUNTA(G147:Z147)*0.5</f>
        <v>7.5</v>
      </c>
      <c r="F147" s="107" t="s">
        <v>263</v>
      </c>
      <c r="G147" s="225">
        <v>44050</v>
      </c>
      <c r="H147" s="225">
        <v>44050</v>
      </c>
      <c r="I147" s="225">
        <v>44050</v>
      </c>
      <c r="J147" s="225">
        <v>44055</v>
      </c>
      <c r="K147" s="225">
        <v>44057</v>
      </c>
      <c r="L147" s="225">
        <v>44061</v>
      </c>
      <c r="M147" s="225">
        <v>44061</v>
      </c>
      <c r="N147" s="225">
        <v>44064</v>
      </c>
      <c r="O147" s="225">
        <v>44064</v>
      </c>
      <c r="P147" s="225">
        <v>44064</v>
      </c>
      <c r="Q147" s="225">
        <v>44067</v>
      </c>
      <c r="R147" s="225">
        <v>44069</v>
      </c>
      <c r="S147" s="225">
        <v>44069</v>
      </c>
      <c r="T147" s="225">
        <v>44071</v>
      </c>
      <c r="U147" s="225">
        <v>44071</v>
      </c>
      <c r="V147" s="226"/>
      <c r="W147" s="226"/>
      <c r="X147" s="226"/>
      <c r="Y147" s="226"/>
      <c r="Z147" s="107"/>
      <c r="AB147" s="109">
        <f>_xlfn.DAYS(AA147,B147)</f>
        <v>-44050</v>
      </c>
      <c r="AC147" s="107">
        <f>(10/20+17/32)/2%</f>
        <v>51.5625</v>
      </c>
      <c r="AD147" s="107">
        <v>983.5</v>
      </c>
      <c r="AE147" s="107">
        <v>253</v>
      </c>
      <c r="AF147" s="107">
        <v>27</v>
      </c>
      <c r="AG147" s="107">
        <f>COUNTIFS(F:F,"Culled",A:A,LEFT(A147,LEN(A147)-3)&amp;"*")/COUNTIF(A:A,LEFT(A147,LEN(A147)-3)&amp;"*")*100</f>
        <v>12.5</v>
      </c>
      <c r="AH147" s="108">
        <f>(AD147-AF147)/(D147*$K$1*2)%</f>
        <v>11.593939393939394</v>
      </c>
      <c r="AI147" s="108">
        <f>(AE147+AF147)/(D147*$K$1*2)%</f>
        <v>3.393939393939394</v>
      </c>
      <c r="AK147" s="110"/>
      <c r="AL147" s="110"/>
      <c r="AM147" s="110"/>
      <c r="AN147" s="110"/>
      <c r="AO147" s="110"/>
      <c r="AP147" s="110"/>
      <c r="AQ147" s="110"/>
      <c r="AR147" s="110"/>
      <c r="AS147" s="110"/>
      <c r="AT147" s="110"/>
      <c r="AU147" s="110"/>
    </row>
    <row r="148" spans="1:47" ht="12.75" hidden="1">
      <c r="A148" s="107" t="s">
        <v>420</v>
      </c>
      <c r="B148" s="226">
        <v>44050</v>
      </c>
      <c r="C148" s="224">
        <v>10000</v>
      </c>
      <c r="D148" s="107">
        <f>COUNTA(G148:Z148)*0.5</f>
        <v>7.5</v>
      </c>
      <c r="F148" s="107" t="s">
        <v>263</v>
      </c>
      <c r="G148" s="225">
        <v>44050</v>
      </c>
      <c r="H148" s="225">
        <v>44050</v>
      </c>
      <c r="I148" s="225">
        <v>44050</v>
      </c>
      <c r="J148" s="225">
        <v>44055</v>
      </c>
      <c r="K148" s="225">
        <v>44057</v>
      </c>
      <c r="L148" s="225">
        <v>44061</v>
      </c>
      <c r="M148" s="225">
        <v>44061</v>
      </c>
      <c r="N148" s="225">
        <v>44064</v>
      </c>
      <c r="O148" s="225">
        <v>44064</v>
      </c>
      <c r="P148" s="225">
        <v>44064</v>
      </c>
      <c r="Q148" s="225">
        <v>44067</v>
      </c>
      <c r="R148" s="225">
        <v>44069</v>
      </c>
      <c r="S148" s="225">
        <v>44069</v>
      </c>
      <c r="T148" s="225">
        <v>44071</v>
      </c>
      <c r="U148" s="225">
        <v>44071</v>
      </c>
      <c r="V148" s="226"/>
      <c r="W148" s="226"/>
      <c r="X148" s="226"/>
      <c r="Y148" s="226"/>
      <c r="Z148" s="107"/>
      <c r="AB148" s="109">
        <f>_xlfn.DAYS(AA148,B148)</f>
        <v>-44050</v>
      </c>
      <c r="AG148" s="107">
        <f>COUNTIFS(F:F,"Culled",A:A,LEFT(A148,LEN(A148)-3)&amp;"*")/COUNTIF(A:A,LEFT(A148,LEN(A148)-3)&amp;"*")*100</f>
        <v>12.5</v>
      </c>
      <c r="AH148" s="108">
        <f>(AD148-AF148)/(D148*$K$1*2)%</f>
        <v>0</v>
      </c>
      <c r="AI148" s="108">
        <f>(AE148+AF148)/(D148*$K$1*2)%</f>
        <v>0</v>
      </c>
      <c r="AK148" s="110"/>
      <c r="AL148" s="110"/>
      <c r="AM148" s="110"/>
      <c r="AN148" s="110"/>
      <c r="AO148" s="110"/>
      <c r="AP148" s="110"/>
      <c r="AQ148" s="110"/>
      <c r="AR148" s="110"/>
      <c r="AS148" s="110"/>
      <c r="AT148" s="110"/>
      <c r="AU148" s="110"/>
    </row>
    <row r="149" spans="1:47" ht="12.75" hidden="1">
      <c r="A149" s="107" t="s">
        <v>421</v>
      </c>
      <c r="B149" s="226">
        <v>44050</v>
      </c>
      <c r="C149" s="224">
        <v>10000</v>
      </c>
      <c r="D149" s="107">
        <f>COUNTA(G149:Z149)*0.5</f>
        <v>7.5</v>
      </c>
      <c r="F149" s="107" t="s">
        <v>263</v>
      </c>
      <c r="G149" s="225">
        <v>44050</v>
      </c>
      <c r="H149" s="225">
        <v>44050</v>
      </c>
      <c r="I149" s="225">
        <v>44050</v>
      </c>
      <c r="J149" s="225">
        <v>44055</v>
      </c>
      <c r="K149" s="225">
        <v>44057</v>
      </c>
      <c r="L149" s="225">
        <v>44061</v>
      </c>
      <c r="M149" s="225">
        <v>44061</v>
      </c>
      <c r="N149" s="225">
        <v>44064</v>
      </c>
      <c r="O149" s="225">
        <v>44064</v>
      </c>
      <c r="P149" s="225">
        <v>44064</v>
      </c>
      <c r="Q149" s="225">
        <v>44067</v>
      </c>
      <c r="R149" s="225">
        <v>44069</v>
      </c>
      <c r="S149" s="225">
        <v>44069</v>
      </c>
      <c r="T149" s="225">
        <v>44071</v>
      </c>
      <c r="U149" s="225">
        <v>44071</v>
      </c>
      <c r="V149" s="226"/>
      <c r="W149" s="226"/>
      <c r="X149" s="226"/>
      <c r="Y149" s="226"/>
      <c r="Z149" s="107"/>
      <c r="AB149" s="109">
        <f>_xlfn.DAYS(AA149,B149)</f>
        <v>-44050</v>
      </c>
      <c r="AC149" s="107">
        <f>(15/31+16/33)/2%</f>
        <v>48.435972629521018</v>
      </c>
      <c r="AD149" s="107">
        <v>1037</v>
      </c>
      <c r="AE149" s="107">
        <v>286</v>
      </c>
      <c r="AF149" s="107">
        <v>83</v>
      </c>
      <c r="AG149" s="107">
        <f>COUNTIFS(F:F,"Culled",A:A,LEFT(A149,LEN(A149)-3)&amp;"*")/COUNTIF(A:A,LEFT(A149,LEN(A149)-3)&amp;"*")*100</f>
        <v>12.5</v>
      </c>
      <c r="AH149" s="108">
        <f>(AD149-AF149)/(D149*$K$1*2)%</f>
        <v>11.563636363636364</v>
      </c>
      <c r="AI149" s="108">
        <f>(AE149+AF149)/(D149*$K$1*2)%</f>
        <v>4.4727272727272727</v>
      </c>
      <c r="AK149" s="110"/>
      <c r="AL149" s="110"/>
      <c r="AM149" s="110"/>
      <c r="AN149" s="110"/>
      <c r="AO149" s="110"/>
      <c r="AP149" s="110"/>
      <c r="AQ149" s="110"/>
      <c r="AR149" s="110"/>
      <c r="AS149" s="110"/>
      <c r="AT149" s="110"/>
      <c r="AU149" s="110"/>
    </row>
    <row r="150" spans="1:47" ht="12.75" hidden="1">
      <c r="A150" s="107" t="s">
        <v>422</v>
      </c>
      <c r="B150" s="226">
        <v>44050</v>
      </c>
      <c r="C150" s="224">
        <v>10000</v>
      </c>
      <c r="D150" s="107">
        <f>COUNTA(G150:Z150)*0.5</f>
        <v>7.5</v>
      </c>
      <c r="F150" s="107" t="s">
        <v>263</v>
      </c>
      <c r="G150" s="225">
        <v>44050</v>
      </c>
      <c r="H150" s="225">
        <v>44050</v>
      </c>
      <c r="I150" s="225">
        <v>44050</v>
      </c>
      <c r="J150" s="225">
        <v>44055</v>
      </c>
      <c r="K150" s="225">
        <v>44057</v>
      </c>
      <c r="L150" s="225">
        <v>44061</v>
      </c>
      <c r="M150" s="225">
        <v>44061</v>
      </c>
      <c r="N150" s="225">
        <v>44064</v>
      </c>
      <c r="O150" s="225">
        <v>44064</v>
      </c>
      <c r="P150" s="225">
        <v>44064</v>
      </c>
      <c r="Q150" s="225">
        <v>44067</v>
      </c>
      <c r="R150" s="225">
        <v>44069</v>
      </c>
      <c r="S150" s="225">
        <v>44069</v>
      </c>
      <c r="T150" s="225">
        <v>44071</v>
      </c>
      <c r="U150" s="225">
        <v>44071</v>
      </c>
      <c r="V150" s="226"/>
      <c r="W150" s="226"/>
      <c r="X150" s="226"/>
      <c r="Y150" s="226"/>
      <c r="Z150" s="107"/>
      <c r="AB150" s="109">
        <f>_xlfn.DAYS(AA150,B150)</f>
        <v>-44050</v>
      </c>
      <c r="AC150" s="107">
        <f>(8/32+6/19)/2%</f>
        <v>28.289473684210524</v>
      </c>
      <c r="AD150" s="107">
        <v>1014</v>
      </c>
      <c r="AE150" s="107">
        <v>256</v>
      </c>
      <c r="AF150" s="107">
        <v>66</v>
      </c>
      <c r="AG150" s="107">
        <f>COUNTIFS(F:F,"Culled",A:A,LEFT(A150,LEN(A150)-3)&amp;"*")/COUNTIF(A:A,LEFT(A150,LEN(A150)-3)&amp;"*")*100</f>
        <v>12.5</v>
      </c>
      <c r="AH150" s="108">
        <f>(AD150-AF150)/(D150*$K$1*2)%</f>
        <v>11.49090909090909</v>
      </c>
      <c r="AI150" s="108">
        <f>(AE150+AF150)/(D150*$K$1*2)%</f>
        <v>3.9030303030303028</v>
      </c>
      <c r="AK150" s="110"/>
      <c r="AL150" s="110"/>
      <c r="AM150" s="110"/>
      <c r="AN150" s="110"/>
      <c r="AO150" s="110"/>
      <c r="AP150" s="110"/>
      <c r="AQ150" s="110"/>
      <c r="AR150" s="110"/>
      <c r="AS150" s="110"/>
      <c r="AT150" s="110"/>
      <c r="AU150" s="110"/>
    </row>
    <row r="151" spans="1:47" ht="12.75" hidden="1">
      <c r="A151" s="107" t="s">
        <v>423</v>
      </c>
      <c r="B151" s="226">
        <v>44050</v>
      </c>
      <c r="C151" s="224">
        <v>10000</v>
      </c>
      <c r="D151" s="107">
        <f>COUNTA(G151:Z151)*0.5</f>
        <v>7.5</v>
      </c>
      <c r="F151" s="107" t="s">
        <v>263</v>
      </c>
      <c r="G151" s="225">
        <v>44050</v>
      </c>
      <c r="H151" s="225">
        <v>44050</v>
      </c>
      <c r="I151" s="225">
        <v>44050</v>
      </c>
      <c r="J151" s="225">
        <v>44055</v>
      </c>
      <c r="K151" s="225">
        <v>44057</v>
      </c>
      <c r="L151" s="225">
        <v>44061</v>
      </c>
      <c r="M151" s="225">
        <v>44061</v>
      </c>
      <c r="N151" s="225">
        <v>44064</v>
      </c>
      <c r="O151" s="225">
        <v>44064</v>
      </c>
      <c r="P151" s="225">
        <v>44064</v>
      </c>
      <c r="Q151" s="225">
        <v>44067</v>
      </c>
      <c r="R151" s="225">
        <v>44069</v>
      </c>
      <c r="S151" s="225">
        <v>44069</v>
      </c>
      <c r="T151" s="225">
        <v>44071</v>
      </c>
      <c r="U151" s="225">
        <v>44071</v>
      </c>
      <c r="V151" s="226"/>
      <c r="W151" s="226"/>
      <c r="X151" s="226"/>
      <c r="Y151" s="226"/>
      <c r="Z151" s="107"/>
      <c r="AB151" s="109">
        <f>_xlfn.DAYS(AA151,B151)</f>
        <v>-44050</v>
      </c>
      <c r="AC151" s="107">
        <f>(8/20+19/31)/2%</f>
        <v>50.645161290322584</v>
      </c>
      <c r="AD151" s="107">
        <v>985.5</v>
      </c>
      <c r="AE151" s="107">
        <v>273</v>
      </c>
      <c r="AF151" s="107">
        <v>102.5</v>
      </c>
      <c r="AG151" s="107">
        <f>COUNTIFS(F:F,"Culled",A:A,LEFT(A151,LEN(A151)-3)&amp;"*")/COUNTIF(A:A,LEFT(A151,LEN(A151)-3)&amp;"*")*100</f>
        <v>12.5</v>
      </c>
      <c r="AH151" s="108">
        <f>(AD151-AF151)/(D151*$K$1*2)%</f>
        <v>10.703030303030303</v>
      </c>
      <c r="AI151" s="108">
        <f>(AE151+AF151)/(D151*$K$1*2)%</f>
        <v>4.5515151515151517</v>
      </c>
      <c r="AK151" s="110"/>
      <c r="AL151" s="110"/>
      <c r="AM151" s="110"/>
      <c r="AN151" s="110"/>
      <c r="AO151" s="110"/>
      <c r="AP151" s="110"/>
      <c r="AQ151" s="110"/>
      <c r="AR151" s="110"/>
      <c r="AS151" s="110"/>
      <c r="AT151" s="110"/>
      <c r="AU151" s="110"/>
    </row>
    <row r="152" spans="1:47" ht="12.75" hidden="1">
      <c r="A152" s="110" t="s">
        <v>424</v>
      </c>
      <c r="B152" s="229">
        <v>43963</v>
      </c>
      <c r="C152" s="10">
        <v>10000</v>
      </c>
      <c r="D152" s="110">
        <v>2.5</v>
      </c>
      <c r="E152" s="110"/>
      <c r="F152" s="107" t="s">
        <v>323</v>
      </c>
      <c r="G152" s="107"/>
      <c r="H152" s="107"/>
      <c r="I152" s="107"/>
      <c r="J152" s="107"/>
      <c r="K152" s="107"/>
      <c r="L152" s="107"/>
      <c r="M152" s="107"/>
      <c r="N152" s="107"/>
      <c r="O152" s="107"/>
      <c r="P152" s="107"/>
      <c r="Q152" s="107"/>
      <c r="R152" s="107"/>
      <c r="S152" s="107"/>
      <c r="T152" s="107"/>
      <c r="U152" s="107"/>
      <c r="V152" s="107"/>
      <c r="W152" s="107"/>
      <c r="X152" s="107"/>
      <c r="Y152" s="107"/>
      <c r="Z152" s="107"/>
      <c r="AA152" s="167">
        <v>43980</v>
      </c>
      <c r="AB152" s="109">
        <f>_xlfn.DAYS(AA152,B152)</f>
        <v>17</v>
      </c>
      <c r="AG152" s="10">
        <v>100</v>
      </c>
      <c r="AH152" s="107"/>
    </row>
    <row r="153" spans="1:47" ht="12.75" hidden="1">
      <c r="A153" s="110" t="s">
        <v>425</v>
      </c>
      <c r="B153" s="229">
        <v>43963</v>
      </c>
      <c r="C153" s="10">
        <v>10000</v>
      </c>
      <c r="D153" s="110">
        <v>1.5</v>
      </c>
      <c r="E153" s="110"/>
      <c r="F153" s="107" t="s">
        <v>323</v>
      </c>
      <c r="G153" s="107"/>
      <c r="H153" s="107"/>
      <c r="I153" s="107"/>
      <c r="J153" s="107"/>
      <c r="K153" s="107"/>
      <c r="L153" s="107"/>
      <c r="M153" s="107"/>
      <c r="N153" s="107"/>
      <c r="O153" s="107"/>
      <c r="P153" s="107"/>
      <c r="Q153" s="107"/>
      <c r="R153" s="107"/>
      <c r="S153" s="107"/>
      <c r="T153" s="107"/>
      <c r="U153" s="107"/>
      <c r="V153" s="107"/>
      <c r="W153" s="107"/>
      <c r="X153" s="107"/>
      <c r="Y153" s="107"/>
      <c r="Z153" s="107"/>
      <c r="AA153" s="167">
        <v>43980</v>
      </c>
      <c r="AB153" s="109">
        <f>_xlfn.DAYS(AA153,B153)</f>
        <v>17</v>
      </c>
      <c r="AG153" s="10">
        <v>100</v>
      </c>
      <c r="AH153" s="107"/>
      <c r="AP153" s="110"/>
      <c r="AQ153" s="110"/>
      <c r="AR153" s="110"/>
      <c r="AS153" s="110"/>
      <c r="AT153" s="110"/>
      <c r="AU153" s="110"/>
    </row>
    <row r="154" spans="1:47" ht="12.75" hidden="1">
      <c r="A154" s="10" t="s">
        <v>426</v>
      </c>
      <c r="B154" s="229">
        <v>43990</v>
      </c>
      <c r="C154" s="10">
        <v>300</v>
      </c>
      <c r="D154" s="10">
        <v>3</v>
      </c>
      <c r="E154" s="10"/>
      <c r="F154" s="107" t="s">
        <v>263</v>
      </c>
      <c r="G154" s="107"/>
      <c r="H154" s="107"/>
      <c r="I154" s="107"/>
      <c r="J154" s="107"/>
      <c r="K154" s="107"/>
      <c r="L154" s="107"/>
      <c r="M154" s="107"/>
      <c r="N154" s="107"/>
      <c r="O154" s="107"/>
      <c r="P154" s="107"/>
      <c r="Q154" s="107"/>
      <c r="R154" s="107"/>
      <c r="S154" s="107"/>
      <c r="T154" s="107"/>
      <c r="U154" s="107"/>
      <c r="V154" s="107"/>
      <c r="W154" s="107"/>
      <c r="X154" s="107"/>
      <c r="Y154" s="107"/>
      <c r="Z154" s="107"/>
      <c r="AA154" s="167">
        <v>44006</v>
      </c>
      <c r="AB154" s="109">
        <f>_xlfn.DAYS(AA154,B154)</f>
        <v>16</v>
      </c>
      <c r="AC154" s="10">
        <v>99</v>
      </c>
      <c r="AD154" s="10">
        <v>388</v>
      </c>
      <c r="AE154" s="10">
        <v>57.5</v>
      </c>
      <c r="AF154" s="10">
        <v>0</v>
      </c>
      <c r="AG154" s="107">
        <v>66.599999999999994</v>
      </c>
      <c r="AH154" s="108">
        <f>(AD154-AF154)/(D154*$K$1*2)%</f>
        <v>11.757575757575758</v>
      </c>
      <c r="AI154" s="108">
        <f>(AE154+AF154)/(D154*$K$1*2)%</f>
        <v>1.7424242424242424</v>
      </c>
      <c r="AK154" s="110"/>
      <c r="AL154" s="110"/>
      <c r="AM154" s="110"/>
      <c r="AN154" s="110"/>
      <c r="AO154" s="110"/>
      <c r="AP154" s="110"/>
      <c r="AQ154" s="110"/>
      <c r="AR154" s="110"/>
      <c r="AS154" s="110"/>
      <c r="AT154" s="110"/>
      <c r="AU154" s="110"/>
    </row>
    <row r="155" spans="1:47" ht="12.75" hidden="1">
      <c r="A155" s="110" t="s">
        <v>427</v>
      </c>
      <c r="B155" s="229">
        <v>43901</v>
      </c>
      <c r="C155" s="110">
        <v>10000</v>
      </c>
      <c r="D155" s="110">
        <v>9</v>
      </c>
      <c r="E155" s="110"/>
      <c r="F155" s="107" t="s">
        <v>263</v>
      </c>
      <c r="G155" s="107"/>
      <c r="H155" s="107"/>
      <c r="I155" s="107"/>
      <c r="J155" s="107"/>
      <c r="K155" s="107"/>
      <c r="L155" s="107"/>
      <c r="M155" s="107"/>
      <c r="N155" s="107"/>
      <c r="O155" s="107"/>
      <c r="P155" s="107"/>
      <c r="Q155" s="107"/>
      <c r="R155" s="107"/>
      <c r="S155" s="107"/>
      <c r="T155" s="107"/>
      <c r="U155" s="107"/>
      <c r="V155" s="107"/>
      <c r="W155" s="107"/>
      <c r="X155" s="107"/>
      <c r="Y155" s="107"/>
      <c r="Z155" s="107"/>
      <c r="AA155" s="167">
        <v>43927</v>
      </c>
      <c r="AB155" s="109">
        <f>_xlfn.DAYS(AA155,B155)</f>
        <v>26</v>
      </c>
      <c r="AC155" s="110">
        <v>62</v>
      </c>
      <c r="AD155" s="110">
        <v>988.5</v>
      </c>
      <c r="AE155" s="110">
        <v>361.5</v>
      </c>
      <c r="AF155" s="110">
        <v>85</v>
      </c>
      <c r="AH155" s="108">
        <f>(AD155-AF155)/(D155*$K$1*2)%</f>
        <v>9.1262626262626263</v>
      </c>
      <c r="AI155" s="108">
        <f>(AE155+AF155)/(D155*$K$1*2)%</f>
        <v>4.5101010101010104</v>
      </c>
      <c r="AK155" s="110"/>
      <c r="AL155" s="110"/>
      <c r="AM155" s="110"/>
      <c r="AN155" s="110"/>
      <c r="AO155" s="110"/>
      <c r="AP155" s="110"/>
      <c r="AQ155" s="110"/>
      <c r="AR155" s="110"/>
      <c r="AS155" s="110"/>
      <c r="AT155" s="110"/>
      <c r="AU155" s="110"/>
    </row>
    <row r="156" spans="1:47" ht="12.75" hidden="1">
      <c r="A156" s="110" t="s">
        <v>428</v>
      </c>
      <c r="B156" s="229">
        <v>43901</v>
      </c>
      <c r="C156" s="110">
        <v>10000</v>
      </c>
      <c r="D156" s="110">
        <v>9</v>
      </c>
      <c r="E156" s="110"/>
      <c r="F156" s="107" t="s">
        <v>263</v>
      </c>
      <c r="G156" s="107"/>
      <c r="H156" s="107"/>
      <c r="I156" s="107"/>
      <c r="J156" s="107"/>
      <c r="K156" s="107"/>
      <c r="L156" s="107"/>
      <c r="M156" s="107"/>
      <c r="N156" s="107"/>
      <c r="O156" s="107"/>
      <c r="P156" s="107"/>
      <c r="Q156" s="107"/>
      <c r="R156" s="107"/>
      <c r="S156" s="107"/>
      <c r="T156" s="107"/>
      <c r="U156" s="107"/>
      <c r="V156" s="107"/>
      <c r="W156" s="107"/>
      <c r="X156" s="107"/>
      <c r="Y156" s="107"/>
      <c r="Z156" s="107"/>
      <c r="AA156" s="167">
        <v>43927</v>
      </c>
      <c r="AB156" s="109">
        <f>_xlfn.DAYS(AA156,B156)</f>
        <v>26</v>
      </c>
      <c r="AC156" s="110">
        <v>22</v>
      </c>
      <c r="AD156" s="110">
        <v>1379</v>
      </c>
      <c r="AE156" s="110">
        <v>513.5</v>
      </c>
      <c r="AF156" s="110">
        <v>165.5</v>
      </c>
      <c r="AH156" s="108">
        <f>(AD156-AF156)/(D156*$K$1*2)%</f>
        <v>12.257575757575758</v>
      </c>
      <c r="AI156" s="108">
        <f>(AE156+AF156)/(D156*$K$1*2)%</f>
        <v>6.858585858585859</v>
      </c>
      <c r="AK156" s="110"/>
      <c r="AL156" s="110"/>
      <c r="AM156" s="110"/>
      <c r="AN156" s="110"/>
      <c r="AO156" s="110"/>
      <c r="AP156" s="110"/>
      <c r="AQ156" s="110"/>
      <c r="AR156" s="110"/>
      <c r="AS156" s="110"/>
      <c r="AT156" s="110"/>
      <c r="AU156" s="110"/>
    </row>
    <row r="157" spans="1:47" ht="12.75" hidden="1">
      <c r="A157" s="110" t="s">
        <v>429</v>
      </c>
      <c r="B157" s="229">
        <v>43901</v>
      </c>
      <c r="C157" s="110">
        <v>10000</v>
      </c>
      <c r="D157" s="110">
        <v>9.5</v>
      </c>
      <c r="E157" s="110"/>
      <c r="F157" s="107" t="s">
        <v>263</v>
      </c>
      <c r="G157" s="107"/>
      <c r="H157" s="107"/>
      <c r="I157" s="107"/>
      <c r="J157" s="107"/>
      <c r="K157" s="107"/>
      <c r="L157" s="107"/>
      <c r="M157" s="107"/>
      <c r="N157" s="107"/>
      <c r="O157" s="107"/>
      <c r="P157" s="107"/>
      <c r="Q157" s="107"/>
      <c r="R157" s="107"/>
      <c r="S157" s="107"/>
      <c r="T157" s="107"/>
      <c r="U157" s="107"/>
      <c r="V157" s="107"/>
      <c r="W157" s="107"/>
      <c r="X157" s="107"/>
      <c r="Y157" s="107"/>
      <c r="Z157" s="107"/>
      <c r="AA157" s="167">
        <v>43927</v>
      </c>
      <c r="AB157" s="109">
        <f>_xlfn.DAYS(AA157,B157)</f>
        <v>26</v>
      </c>
      <c r="AC157" s="110">
        <v>9</v>
      </c>
      <c r="AD157" s="110">
        <v>1647</v>
      </c>
      <c r="AE157" s="110">
        <v>414.5</v>
      </c>
      <c r="AF157" s="110">
        <v>143.5</v>
      </c>
      <c r="AH157" s="108">
        <f>(AD157-AF157)/(D157*$K$1*2)%</f>
        <v>14.387559808612441</v>
      </c>
      <c r="AI157" s="108">
        <f>(AE157+AF157)/(D157*$K$1*2)%</f>
        <v>5.339712918660287</v>
      </c>
      <c r="AK157" s="110"/>
      <c r="AL157" s="110"/>
      <c r="AM157" s="110"/>
      <c r="AN157" s="110"/>
      <c r="AO157" s="110"/>
      <c r="AP157" s="110"/>
      <c r="AQ157" s="110"/>
      <c r="AR157" s="110"/>
      <c r="AS157" s="110"/>
      <c r="AT157" s="110"/>
      <c r="AU157" s="110"/>
    </row>
    <row r="158" spans="1:47" ht="12.75" hidden="1">
      <c r="A158" s="110" t="s">
        <v>430</v>
      </c>
      <c r="B158" s="229">
        <v>43901</v>
      </c>
      <c r="C158" s="110">
        <v>10000</v>
      </c>
      <c r="D158" s="110">
        <v>9.5</v>
      </c>
      <c r="E158" s="110"/>
      <c r="F158" s="107" t="s">
        <v>263</v>
      </c>
      <c r="G158" s="107"/>
      <c r="H158" s="107"/>
      <c r="I158" s="107"/>
      <c r="J158" s="107"/>
      <c r="K158" s="107"/>
      <c r="L158" s="107"/>
      <c r="M158" s="107"/>
      <c r="N158" s="107"/>
      <c r="O158" s="107"/>
      <c r="P158" s="107"/>
      <c r="Q158" s="107"/>
      <c r="R158" s="107"/>
      <c r="S158" s="107"/>
      <c r="T158" s="107"/>
      <c r="U158" s="107"/>
      <c r="V158" s="107"/>
      <c r="W158" s="107"/>
      <c r="X158" s="107"/>
      <c r="Y158" s="107"/>
      <c r="Z158" s="107"/>
      <c r="AA158" s="167">
        <v>43927</v>
      </c>
      <c r="AB158" s="109">
        <f>_xlfn.DAYS(AA158,B158)</f>
        <v>26</v>
      </c>
      <c r="AC158" s="110">
        <v>20</v>
      </c>
      <c r="AD158" s="110">
        <v>1327.5</v>
      </c>
      <c r="AE158" s="110">
        <v>407</v>
      </c>
      <c r="AF158" s="110">
        <v>106</v>
      </c>
      <c r="AH158" s="108">
        <f>(AD158-AF158)/(D158*$K$1*2)%</f>
        <v>11.688995215311005</v>
      </c>
      <c r="AI158" s="108">
        <f>(AE158+AF158)/(D158*$K$1*2)%</f>
        <v>4.9090909090909092</v>
      </c>
      <c r="AK158" s="110"/>
      <c r="AL158" s="110"/>
      <c r="AM158" s="110"/>
      <c r="AN158" s="110"/>
      <c r="AO158" s="110"/>
      <c r="AP158" s="110"/>
      <c r="AQ158" s="110"/>
      <c r="AR158" s="110"/>
      <c r="AS158" s="110"/>
      <c r="AT158" s="110"/>
      <c r="AU158" s="110"/>
    </row>
    <row r="159" spans="1:47" ht="12.75" hidden="1">
      <c r="A159" s="110" t="s">
        <v>431</v>
      </c>
      <c r="B159" s="229">
        <v>43901</v>
      </c>
      <c r="C159" s="110">
        <v>10000</v>
      </c>
      <c r="D159" s="110">
        <v>9.5</v>
      </c>
      <c r="E159" s="110"/>
      <c r="F159" s="107" t="s">
        <v>263</v>
      </c>
      <c r="G159" s="107"/>
      <c r="H159" s="107"/>
      <c r="I159" s="107"/>
      <c r="J159" s="107"/>
      <c r="K159" s="107"/>
      <c r="L159" s="107"/>
      <c r="M159" s="107"/>
      <c r="N159" s="107"/>
      <c r="O159" s="107"/>
      <c r="P159" s="107"/>
      <c r="Q159" s="107"/>
      <c r="R159" s="107"/>
      <c r="S159" s="107"/>
      <c r="T159" s="107"/>
      <c r="U159" s="107"/>
      <c r="V159" s="107"/>
      <c r="W159" s="107"/>
      <c r="X159" s="107"/>
      <c r="Y159" s="107"/>
      <c r="Z159" s="107"/>
      <c r="AA159" s="167">
        <v>43927</v>
      </c>
      <c r="AB159" s="109">
        <f>_xlfn.DAYS(AA159,B159)</f>
        <v>26</v>
      </c>
      <c r="AC159" s="110">
        <v>15</v>
      </c>
      <c r="AD159" s="110">
        <v>1502.5</v>
      </c>
      <c r="AE159" s="110">
        <v>374.5</v>
      </c>
      <c r="AF159" s="110">
        <v>243</v>
      </c>
      <c r="AH159" s="108">
        <f>(AD159-AF159)/(D159*$K$1*2)%</f>
        <v>12.052631578947368</v>
      </c>
      <c r="AI159" s="108">
        <f>(AE159+AF159)/(D159*$K$1*2)%</f>
        <v>5.9090909090909092</v>
      </c>
      <c r="AK159" s="110"/>
      <c r="AL159" s="110"/>
      <c r="AM159" s="110"/>
      <c r="AN159" s="110"/>
      <c r="AO159" s="110"/>
      <c r="AP159" s="110"/>
      <c r="AQ159" s="110"/>
      <c r="AR159" s="110"/>
      <c r="AS159" s="110"/>
      <c r="AT159" s="110"/>
      <c r="AU159" s="110"/>
    </row>
    <row r="160" spans="1:47" ht="12.75" hidden="1">
      <c r="A160" s="110" t="s">
        <v>432</v>
      </c>
      <c r="B160" s="229">
        <v>44027</v>
      </c>
      <c r="C160" s="110">
        <v>10000</v>
      </c>
      <c r="D160" s="110">
        <v>6</v>
      </c>
      <c r="E160" s="110"/>
      <c r="F160" s="107" t="s">
        <v>263</v>
      </c>
      <c r="G160" s="107"/>
      <c r="H160" s="107"/>
      <c r="I160" s="107"/>
      <c r="J160" s="107"/>
      <c r="K160" s="107"/>
      <c r="L160" s="107"/>
      <c r="M160" s="107"/>
      <c r="N160" s="107"/>
      <c r="O160" s="107"/>
      <c r="P160" s="107"/>
      <c r="Q160" s="107"/>
      <c r="R160" s="107"/>
      <c r="S160" s="107"/>
      <c r="T160" s="107"/>
      <c r="U160" s="107"/>
      <c r="V160" s="107"/>
      <c r="W160" s="107"/>
      <c r="X160" s="107"/>
      <c r="Y160" s="107"/>
      <c r="Z160" s="107"/>
      <c r="AA160" s="167">
        <v>44054</v>
      </c>
      <c r="AB160" s="109">
        <f>_xlfn.DAYS(AA160,B160)</f>
        <v>27</v>
      </c>
      <c r="AC160" s="110">
        <f>AVERAGE(4/21,1/13)*100</f>
        <v>13.36996336996337</v>
      </c>
      <c r="AD160" s="110">
        <v>909</v>
      </c>
      <c r="AE160" s="110">
        <v>346</v>
      </c>
      <c r="AF160" s="110"/>
      <c r="AG160" s="107">
        <f>COUNTIFS(F:F,"Culled",A:A,LEFT(A160,LEN(A160)-3)&amp;"*")/COUNTIF(A:A,LEFT(A160,LEN(A160)-3)&amp;"*")</f>
        <v>0</v>
      </c>
      <c r="AH160" s="108">
        <f>(AD160-AF160)/(D160*$K$1*2)%</f>
        <v>13.772727272727273</v>
      </c>
      <c r="AI160" s="108">
        <f>(AE160+AF160)/(D160*$K$1*2)%</f>
        <v>5.2424242424242422</v>
      </c>
      <c r="AK160" s="110"/>
      <c r="AL160" s="110"/>
      <c r="AM160" s="110"/>
      <c r="AN160" s="110"/>
      <c r="AO160" s="110"/>
      <c r="AP160" s="110"/>
      <c r="AQ160" s="110"/>
      <c r="AR160" s="110"/>
      <c r="AS160" s="110"/>
      <c r="AT160" s="110"/>
      <c r="AU160" s="110"/>
    </row>
    <row r="161" spans="1:47" ht="17.25" hidden="1" customHeight="1">
      <c r="A161" s="110" t="s">
        <v>433</v>
      </c>
      <c r="B161" s="229">
        <v>44027</v>
      </c>
      <c r="C161" s="110">
        <v>10000</v>
      </c>
      <c r="D161" s="110">
        <v>6</v>
      </c>
      <c r="E161" s="110"/>
      <c r="F161" s="107" t="s">
        <v>263</v>
      </c>
      <c r="G161" s="114"/>
      <c r="H161" s="114"/>
      <c r="I161" s="114"/>
      <c r="J161" s="107"/>
      <c r="K161" s="107"/>
      <c r="L161" s="107"/>
      <c r="M161" s="107"/>
      <c r="N161" s="107"/>
      <c r="O161" s="107"/>
      <c r="P161" s="107"/>
      <c r="Q161" s="107"/>
      <c r="R161" s="107"/>
      <c r="S161" s="107"/>
      <c r="T161" s="107"/>
      <c r="U161" s="107"/>
      <c r="V161" s="107"/>
      <c r="W161" s="107"/>
      <c r="X161" s="107"/>
      <c r="Y161" s="107"/>
      <c r="Z161" s="107"/>
      <c r="AA161" s="167">
        <v>44054</v>
      </c>
      <c r="AB161" s="109">
        <f>_xlfn.DAYS(AA161,B161)</f>
        <v>27</v>
      </c>
      <c r="AC161" s="110">
        <f>AVERAGE(5/24,6/24)*100</f>
        <v>22.916666666666668</v>
      </c>
      <c r="AD161" s="110">
        <v>974.5</v>
      </c>
      <c r="AE161" s="110">
        <v>347.5</v>
      </c>
      <c r="AF161" s="110"/>
      <c r="AG161" s="107">
        <f>COUNTIFS(F:F,"Culled",A:A,LEFT(A161,LEN(A161)-3)&amp;"*")/COUNTIF(A:A,LEFT(A161,LEN(A161)-3)&amp;"*")</f>
        <v>0</v>
      </c>
      <c r="AH161" s="108">
        <f>(AD161-AF161)/(D161*$K$1*2)%</f>
        <v>14.765151515151516</v>
      </c>
      <c r="AI161" s="108">
        <f>(AE161+AF161)/(D161*$K$1*2)%</f>
        <v>5.2651515151515156</v>
      </c>
      <c r="AK161" s="110"/>
      <c r="AL161" s="110"/>
      <c r="AM161" s="110"/>
      <c r="AN161" s="110"/>
      <c r="AO161" s="110"/>
      <c r="AP161" s="110"/>
      <c r="AQ161" s="110"/>
      <c r="AR161" s="110"/>
      <c r="AS161" s="110"/>
      <c r="AT161" s="110"/>
      <c r="AU161" s="110"/>
    </row>
    <row r="162" spans="1:47" ht="17.25" hidden="1" customHeight="1">
      <c r="A162" s="110" t="s">
        <v>434</v>
      </c>
      <c r="B162" s="229">
        <v>44027</v>
      </c>
      <c r="C162" s="110">
        <v>10000</v>
      </c>
      <c r="D162" s="110">
        <v>6</v>
      </c>
      <c r="E162" s="110"/>
      <c r="F162" s="107" t="s">
        <v>263</v>
      </c>
      <c r="G162" s="107"/>
      <c r="H162" s="107"/>
      <c r="I162" s="107"/>
      <c r="J162" s="107"/>
      <c r="K162" s="107"/>
      <c r="L162" s="107"/>
      <c r="M162" s="107"/>
      <c r="N162" s="107"/>
      <c r="O162" s="107"/>
      <c r="P162" s="107"/>
      <c r="Q162" s="107"/>
      <c r="R162" s="107"/>
      <c r="S162" s="107"/>
      <c r="T162" s="107"/>
      <c r="U162" s="107"/>
      <c r="V162" s="107"/>
      <c r="W162" s="107"/>
      <c r="X162" s="107"/>
      <c r="Y162" s="107"/>
      <c r="Z162" s="107"/>
      <c r="AA162" s="167">
        <v>44054</v>
      </c>
      <c r="AB162" s="109">
        <f>_xlfn.DAYS(AA162,B162)</f>
        <v>27</v>
      </c>
      <c r="AC162" s="110">
        <f>AVERAGE(7/27,7/25)*100</f>
        <v>26.962962962962965</v>
      </c>
      <c r="AD162" s="110">
        <v>944</v>
      </c>
      <c r="AE162" s="110">
        <v>359</v>
      </c>
      <c r="AF162" s="110"/>
      <c r="AG162" s="107">
        <f>COUNTIFS(F:F,"Culled",A:A,LEFT(A162,LEN(A162)-3)&amp;"*")/COUNTIF(A:A,LEFT(A162,LEN(A162)-3)&amp;"*")</f>
        <v>0</v>
      </c>
      <c r="AH162" s="108">
        <f>(AD162-AF162)/(D162*$K$1*2)%</f>
        <v>14.303030303030303</v>
      </c>
      <c r="AI162" s="108">
        <f>(AE162+AF162)/(D162*$K$1*2)%</f>
        <v>5.4393939393939394</v>
      </c>
      <c r="AK162" s="110"/>
      <c r="AL162" s="110"/>
      <c r="AM162" s="110"/>
      <c r="AN162" s="110"/>
      <c r="AO162" s="110"/>
      <c r="AP162" s="110"/>
      <c r="AQ162" s="110"/>
      <c r="AR162" s="110"/>
      <c r="AS162" s="110"/>
      <c r="AT162" s="110"/>
      <c r="AU162" s="110"/>
    </row>
    <row r="163" spans="1:47" ht="17.25" hidden="1" customHeight="1">
      <c r="A163" s="110" t="s">
        <v>435</v>
      </c>
      <c r="B163" s="229">
        <v>44027</v>
      </c>
      <c r="C163" s="110">
        <v>10000</v>
      </c>
      <c r="D163" s="110">
        <v>6</v>
      </c>
      <c r="E163" s="110"/>
      <c r="F163" s="107" t="s">
        <v>263</v>
      </c>
      <c r="G163" s="107"/>
      <c r="H163" s="107"/>
      <c r="I163" s="107"/>
      <c r="J163" s="107"/>
      <c r="K163" s="107"/>
      <c r="L163" s="107"/>
      <c r="M163" s="107"/>
      <c r="N163" s="107"/>
      <c r="O163" s="107"/>
      <c r="P163" s="107"/>
      <c r="Q163" s="107"/>
      <c r="R163" s="107"/>
      <c r="S163" s="107"/>
      <c r="T163" s="107"/>
      <c r="U163" s="107"/>
      <c r="V163" s="107"/>
      <c r="W163" s="107"/>
      <c r="X163" s="107"/>
      <c r="Y163" s="107"/>
      <c r="Z163" s="107"/>
      <c r="AA163" s="167">
        <v>44054</v>
      </c>
      <c r="AB163" s="109">
        <f>_xlfn.DAYS(AA163,B163)</f>
        <v>27</v>
      </c>
      <c r="AC163" s="110">
        <f>AVERAGE(7/21,3/12)*100</f>
        <v>29.166666666666664</v>
      </c>
      <c r="AD163" s="110">
        <v>904</v>
      </c>
      <c r="AE163" s="110">
        <v>352</v>
      </c>
      <c r="AF163" s="110"/>
      <c r="AG163" s="107">
        <f>COUNTIFS(F:F,"Culled",A:A,LEFT(A163,LEN(A163)-3)&amp;"*")/COUNTIF(A:A,LEFT(A163,LEN(A163)-3)&amp;"*")</f>
        <v>0</v>
      </c>
      <c r="AH163" s="108">
        <f>(AD163-AF163)/(D163*$K$1*2)%</f>
        <v>13.696969696969697</v>
      </c>
      <c r="AI163" s="108">
        <f>(AE163+AF163)/(D163*$K$1*2)%</f>
        <v>5.333333333333333</v>
      </c>
      <c r="AK163" s="110"/>
      <c r="AL163" s="110"/>
      <c r="AM163" s="110"/>
      <c r="AN163" s="110"/>
      <c r="AO163" s="110"/>
      <c r="AP163" s="110"/>
      <c r="AQ163" s="110"/>
      <c r="AR163" s="110"/>
      <c r="AS163" s="110"/>
      <c r="AT163" s="110"/>
      <c r="AU163" s="110"/>
    </row>
    <row r="164" spans="1:47" ht="12.75" hidden="1">
      <c r="A164" s="110" t="s">
        <v>436</v>
      </c>
      <c r="B164" s="229">
        <v>44027</v>
      </c>
      <c r="C164" s="110">
        <v>10000</v>
      </c>
      <c r="D164" s="110">
        <v>6</v>
      </c>
      <c r="E164" s="110"/>
      <c r="F164" s="107" t="s">
        <v>263</v>
      </c>
      <c r="G164" s="107"/>
      <c r="H164" s="107"/>
      <c r="I164" s="107"/>
      <c r="J164" s="107"/>
      <c r="K164" s="107"/>
      <c r="L164" s="107"/>
      <c r="M164" s="107"/>
      <c r="N164" s="107"/>
      <c r="O164" s="107"/>
      <c r="P164" s="107"/>
      <c r="Q164" s="107"/>
      <c r="R164" s="107"/>
      <c r="S164" s="107"/>
      <c r="T164" s="107"/>
      <c r="U164" s="107"/>
      <c r="V164" s="107"/>
      <c r="W164" s="107"/>
      <c r="X164" s="107"/>
      <c r="Y164" s="107"/>
      <c r="Z164" s="107"/>
      <c r="AA164" s="167">
        <v>44054</v>
      </c>
      <c r="AB164" s="109">
        <f>_xlfn.DAYS(AA164,B164)</f>
        <v>27</v>
      </c>
      <c r="AC164" s="110">
        <f>AVERAGE(3/18,8/26)*100</f>
        <v>23.717948717948715</v>
      </c>
      <c r="AD164" s="110">
        <v>1032.5</v>
      </c>
      <c r="AE164" s="110">
        <v>283.5</v>
      </c>
      <c r="AF164" s="110"/>
      <c r="AG164" s="107">
        <f>COUNTIFS(F:F,"Culled",A:A,LEFT(A164,LEN(A164)-3)&amp;"*")/COUNTIF(A:A,LEFT(A164,LEN(A164)-3)&amp;"*")</f>
        <v>0</v>
      </c>
      <c r="AH164" s="108">
        <f>(AD164-AF164)/(D164*$K$1*2)%</f>
        <v>15.643939393939394</v>
      </c>
      <c r="AI164" s="108">
        <f>(AE164+AF164)/(D164*$K$1*2)%</f>
        <v>4.2954545454545459</v>
      </c>
      <c r="AK164" s="110"/>
      <c r="AL164" s="110"/>
      <c r="AM164" s="110"/>
      <c r="AN164" s="110"/>
      <c r="AO164" s="110"/>
      <c r="AP164" s="110"/>
      <c r="AQ164" s="110"/>
      <c r="AR164" s="110"/>
      <c r="AS164" s="110"/>
      <c r="AT164" s="110"/>
      <c r="AU164" s="110"/>
    </row>
    <row r="165" spans="1:47" ht="12.75" hidden="1">
      <c r="A165" s="110" t="s">
        <v>437</v>
      </c>
      <c r="B165" s="229">
        <v>43963</v>
      </c>
      <c r="C165" s="10">
        <v>10000</v>
      </c>
      <c r="D165" s="110">
        <v>1.5</v>
      </c>
      <c r="E165" s="110"/>
      <c r="F165" s="107" t="s">
        <v>323</v>
      </c>
      <c r="G165" s="107"/>
      <c r="H165" s="107"/>
      <c r="I165" s="107"/>
      <c r="J165" s="107"/>
      <c r="K165" s="107"/>
      <c r="L165" s="107"/>
      <c r="M165" s="107"/>
      <c r="N165" s="107"/>
      <c r="O165" s="107"/>
      <c r="P165" s="107"/>
      <c r="Q165" s="107"/>
      <c r="R165" s="107"/>
      <c r="S165" s="107"/>
      <c r="T165" s="107"/>
      <c r="U165" s="107"/>
      <c r="V165" s="107"/>
      <c r="W165" s="107"/>
      <c r="X165" s="107"/>
      <c r="Y165" s="107"/>
      <c r="Z165" s="107"/>
      <c r="AA165" s="167">
        <v>43980</v>
      </c>
      <c r="AB165" s="109">
        <f>_xlfn.DAYS(AA165,B165)</f>
        <v>17</v>
      </c>
      <c r="AG165" s="10">
        <v>100</v>
      </c>
      <c r="AH165" s="107"/>
      <c r="AP165" s="110"/>
      <c r="AQ165" s="110"/>
      <c r="AR165" s="110"/>
      <c r="AS165" s="110"/>
      <c r="AT165" s="110"/>
      <c r="AU165" s="110"/>
    </row>
    <row r="166" spans="1:47" ht="12.75" hidden="1">
      <c r="A166" s="110" t="s">
        <v>438</v>
      </c>
      <c r="B166" s="229">
        <v>43963</v>
      </c>
      <c r="C166" s="10">
        <v>10000</v>
      </c>
      <c r="D166" s="110">
        <v>1.5</v>
      </c>
      <c r="E166" s="110"/>
      <c r="F166" s="107" t="s">
        <v>323</v>
      </c>
      <c r="G166" s="107"/>
      <c r="H166" s="107"/>
      <c r="I166" s="107"/>
      <c r="J166" s="107"/>
      <c r="K166" s="107"/>
      <c r="L166" s="107"/>
      <c r="M166" s="107"/>
      <c r="N166" s="107"/>
      <c r="O166" s="107"/>
      <c r="P166" s="107"/>
      <c r="Q166" s="107"/>
      <c r="R166" s="107"/>
      <c r="S166" s="107"/>
      <c r="T166" s="107"/>
      <c r="U166" s="107"/>
      <c r="V166" s="107"/>
      <c r="W166" s="107"/>
      <c r="X166" s="107"/>
      <c r="Y166" s="107"/>
      <c r="Z166" s="107"/>
      <c r="AA166" s="167">
        <v>43980</v>
      </c>
      <c r="AB166" s="109">
        <f>_xlfn.DAYS(AA166,B166)</f>
        <v>17</v>
      </c>
      <c r="AG166" s="10">
        <v>100</v>
      </c>
      <c r="AH166" s="107"/>
    </row>
    <row r="167" spans="1:47" ht="17.25" hidden="1" customHeight="1">
      <c r="A167" s="110" t="s">
        <v>439</v>
      </c>
      <c r="B167" s="229">
        <v>44027</v>
      </c>
      <c r="C167" s="110">
        <v>10000</v>
      </c>
      <c r="D167" s="110">
        <v>6</v>
      </c>
      <c r="E167" s="110"/>
      <c r="F167" s="107" t="s">
        <v>263</v>
      </c>
      <c r="G167" s="107"/>
      <c r="H167" s="107"/>
      <c r="I167" s="107"/>
      <c r="J167" s="107"/>
      <c r="K167" s="107"/>
      <c r="L167" s="107"/>
      <c r="M167" s="107"/>
      <c r="N167" s="107"/>
      <c r="O167" s="107"/>
      <c r="P167" s="107"/>
      <c r="Q167" s="107"/>
      <c r="R167" s="107"/>
      <c r="S167" s="107"/>
      <c r="T167" s="107"/>
      <c r="U167" s="107"/>
      <c r="V167" s="107"/>
      <c r="W167" s="107"/>
      <c r="X167" s="107"/>
      <c r="Y167" s="107"/>
      <c r="Z167" s="107"/>
      <c r="AA167" s="167">
        <v>44054</v>
      </c>
      <c r="AB167" s="109">
        <f>_xlfn.DAYS(AA167,B167)</f>
        <v>27</v>
      </c>
      <c r="AC167" s="110">
        <f>AVERAGE(4/20,5/18,3/18)*100</f>
        <v>21.481481481481481</v>
      </c>
      <c r="AD167" s="110">
        <v>988</v>
      </c>
      <c r="AE167" s="110">
        <v>327</v>
      </c>
      <c r="AF167" s="110"/>
      <c r="AG167" s="107">
        <f>COUNTIFS(F:F,"Culled",A:A,LEFT(A167,LEN(A167)-3)&amp;"*")/COUNTIF(A:A,LEFT(A167,LEN(A167)-3)&amp;"*")</f>
        <v>0</v>
      </c>
      <c r="AH167" s="108">
        <f>(AD167-AF167)/(D167*$K$1*2)%</f>
        <v>14.969696969696969</v>
      </c>
      <c r="AI167" s="108">
        <f>(AE167+AF167)/(D167*$K$1*2)%</f>
        <v>4.9545454545454541</v>
      </c>
      <c r="AK167" s="110"/>
      <c r="AL167" s="110"/>
      <c r="AM167" s="110"/>
      <c r="AN167" s="110"/>
      <c r="AO167" s="110"/>
      <c r="AP167" s="110"/>
      <c r="AQ167" s="110"/>
      <c r="AR167" s="110"/>
      <c r="AS167" s="110"/>
      <c r="AT167" s="110"/>
      <c r="AU167" s="110"/>
    </row>
    <row r="168" spans="1:47" ht="17.25" hidden="1" customHeight="1">
      <c r="A168" s="110" t="s">
        <v>440</v>
      </c>
      <c r="B168" s="229">
        <v>44029</v>
      </c>
      <c r="C168" s="110">
        <v>10000</v>
      </c>
      <c r="D168" s="110">
        <v>7.5</v>
      </c>
      <c r="E168" s="110"/>
      <c r="F168" s="107" t="s">
        <v>263</v>
      </c>
      <c r="G168" s="107"/>
      <c r="H168" s="107"/>
      <c r="I168" s="107"/>
      <c r="J168" s="107"/>
      <c r="K168" s="107"/>
      <c r="L168" s="107"/>
      <c r="M168" s="107"/>
      <c r="N168" s="107"/>
      <c r="O168" s="107"/>
      <c r="P168" s="107"/>
      <c r="Q168" s="107"/>
      <c r="R168" s="107"/>
      <c r="S168" s="107"/>
      <c r="T168" s="107"/>
      <c r="U168" s="107"/>
      <c r="V168" s="107"/>
      <c r="W168" s="107"/>
      <c r="X168" s="107"/>
      <c r="Y168" s="107"/>
      <c r="Z168" s="107"/>
      <c r="AA168" s="167">
        <v>44063</v>
      </c>
      <c r="AB168" s="109">
        <f>_xlfn.DAYS(AA168,B168)</f>
        <v>34</v>
      </c>
      <c r="AC168" s="110">
        <f>(6/24+10/31)/2%</f>
        <v>28.629032258064512</v>
      </c>
      <c r="AD168" s="110">
        <v>1339.5</v>
      </c>
      <c r="AE168" s="110">
        <v>361</v>
      </c>
      <c r="AF168" s="110">
        <v>114</v>
      </c>
      <c r="AG168" s="107">
        <f>COUNTIFS(F:F,"Culled",A:A,LEFT(A168,LEN(A168)-3)&amp;"*")/COUNTIF(A:A,LEFT(A168,LEN(A168)-3)&amp;"*")</f>
        <v>0.375</v>
      </c>
      <c r="AH168" s="108">
        <f>(AD168-AF168)/(D168*$K$1*2)%</f>
        <v>14.854545454545455</v>
      </c>
      <c r="AI168" s="108">
        <f>(AE168+AF168)/(D168*$K$1*2)%</f>
        <v>5.7575757575757578</v>
      </c>
      <c r="AK168" s="110"/>
      <c r="AL168" s="110"/>
      <c r="AM168" s="110"/>
      <c r="AN168" s="110"/>
      <c r="AO168" s="110"/>
      <c r="AP168" s="110"/>
      <c r="AQ168" s="110"/>
      <c r="AR168" s="110"/>
      <c r="AS168" s="110"/>
      <c r="AT168" s="110"/>
      <c r="AU168" s="110"/>
    </row>
    <row r="169" spans="1:47" ht="17.25" hidden="1" customHeight="1">
      <c r="A169" s="110" t="s">
        <v>441</v>
      </c>
      <c r="B169" s="229">
        <v>44029</v>
      </c>
      <c r="C169" s="110">
        <v>10000</v>
      </c>
      <c r="D169" s="110">
        <v>7.5</v>
      </c>
      <c r="E169" s="110"/>
      <c r="F169" s="107" t="s">
        <v>263</v>
      </c>
      <c r="G169" s="107"/>
      <c r="H169" s="107"/>
      <c r="I169" s="107"/>
      <c r="J169" s="107"/>
      <c r="K169" s="107"/>
      <c r="L169" s="107"/>
      <c r="M169" s="107"/>
      <c r="N169" s="107"/>
      <c r="O169" s="107"/>
      <c r="P169" s="107"/>
      <c r="Q169" s="107"/>
      <c r="R169" s="107"/>
      <c r="S169" s="107"/>
      <c r="T169" s="107"/>
      <c r="U169" s="107"/>
      <c r="V169" s="107"/>
      <c r="W169" s="107"/>
      <c r="X169" s="107"/>
      <c r="Y169" s="107"/>
      <c r="Z169" s="107"/>
      <c r="AA169" s="167">
        <v>44063</v>
      </c>
      <c r="AB169" s="109">
        <f>_xlfn.DAYS(AA169,B169)</f>
        <v>34</v>
      </c>
      <c r="AC169" s="110">
        <f>(8/38+8/27)/2%</f>
        <v>25.341130604288498</v>
      </c>
      <c r="AD169" s="110">
        <v>1230</v>
      </c>
      <c r="AE169" s="110">
        <v>421.5</v>
      </c>
      <c r="AF169" s="110">
        <v>115.5</v>
      </c>
      <c r="AG169" s="107">
        <f>COUNTIFS(F:F,"Culled",A:A,LEFT(A169,LEN(A169)-3)&amp;"*")/COUNTIF(A:A,LEFT(A169,LEN(A169)-3)&amp;"*")</f>
        <v>0.375</v>
      </c>
      <c r="AH169" s="108">
        <f>(AD169-AF169)/(D169*$K$1*2)%</f>
        <v>13.50909090909091</v>
      </c>
      <c r="AI169" s="108">
        <f>(AE169+AF169)/(D169*$K$1*2)%</f>
        <v>6.5090909090909088</v>
      </c>
      <c r="AK169" s="110"/>
      <c r="AL169" s="110"/>
      <c r="AM169" s="110"/>
      <c r="AN169" s="110"/>
      <c r="AO169" s="110"/>
      <c r="AP169" s="110"/>
      <c r="AQ169" s="110"/>
      <c r="AR169" s="110"/>
      <c r="AS169" s="110"/>
      <c r="AT169" s="110"/>
      <c r="AU169" s="110"/>
    </row>
    <row r="170" spans="1:47" ht="17.25" hidden="1" customHeight="1">
      <c r="A170" s="110" t="s">
        <v>442</v>
      </c>
      <c r="B170" s="229">
        <v>43963</v>
      </c>
      <c r="C170" s="10">
        <v>10000</v>
      </c>
      <c r="D170" s="110">
        <v>1.5</v>
      </c>
      <c r="E170" s="110"/>
      <c r="F170" s="107" t="s">
        <v>323</v>
      </c>
      <c r="G170" s="107"/>
      <c r="H170" s="107"/>
      <c r="I170" s="107"/>
      <c r="J170" s="107"/>
      <c r="K170" s="107"/>
      <c r="L170" s="107"/>
      <c r="M170" s="107"/>
      <c r="N170" s="107"/>
      <c r="O170" s="107"/>
      <c r="P170" s="107"/>
      <c r="Q170" s="107"/>
      <c r="R170" s="107"/>
      <c r="S170" s="107"/>
      <c r="T170" s="107"/>
      <c r="U170" s="107"/>
      <c r="V170" s="107"/>
      <c r="W170" s="107"/>
      <c r="X170" s="107"/>
      <c r="Y170" s="107"/>
      <c r="Z170" s="107"/>
      <c r="AA170" s="167">
        <v>43980</v>
      </c>
      <c r="AB170" s="109">
        <f>_xlfn.DAYS(AA170,B170)</f>
        <v>17</v>
      </c>
      <c r="AG170" s="10">
        <v>100</v>
      </c>
      <c r="AH170" s="107"/>
      <c r="AP170" s="110"/>
      <c r="AQ170" s="110"/>
      <c r="AR170" s="110"/>
      <c r="AS170" s="110"/>
      <c r="AT170" s="110"/>
      <c r="AU170" s="110"/>
    </row>
    <row r="171" spans="1:47" ht="17.25" hidden="1" customHeight="1">
      <c r="A171" s="110" t="s">
        <v>443</v>
      </c>
      <c r="B171" s="229">
        <v>44029</v>
      </c>
      <c r="C171" s="110">
        <v>10000</v>
      </c>
      <c r="D171" s="110">
        <v>7.5</v>
      </c>
      <c r="E171" s="110"/>
      <c r="F171" s="107" t="s">
        <v>263</v>
      </c>
      <c r="G171" s="107"/>
      <c r="H171" s="107"/>
      <c r="I171" s="107"/>
      <c r="J171" s="107"/>
      <c r="K171" s="107"/>
      <c r="L171" s="107"/>
      <c r="M171" s="107"/>
      <c r="N171" s="107"/>
      <c r="O171" s="107"/>
      <c r="P171" s="107"/>
      <c r="Q171" s="107"/>
      <c r="R171" s="107"/>
      <c r="S171" s="107"/>
      <c r="T171" s="107"/>
      <c r="U171" s="107"/>
      <c r="V171" s="107"/>
      <c r="W171" s="107"/>
      <c r="X171" s="107"/>
      <c r="Y171" s="107"/>
      <c r="Z171" s="107"/>
      <c r="AA171" s="167">
        <v>44063</v>
      </c>
      <c r="AB171" s="109">
        <f>_xlfn.DAYS(AA171,B171)</f>
        <v>34</v>
      </c>
      <c r="AC171" s="110">
        <f>(5/21+4/18)/2%</f>
        <v>23.015873015873016</v>
      </c>
      <c r="AD171" s="110">
        <v>1336.5</v>
      </c>
      <c r="AE171" s="110">
        <v>360.5</v>
      </c>
      <c r="AF171" s="110">
        <v>83.5</v>
      </c>
      <c r="AG171" s="107">
        <f>COUNTIFS(F:F,"Culled",A:A,LEFT(A171,LEN(A171)-3)&amp;"*")/COUNTIF(A:A,LEFT(A171,LEN(A171)-3)&amp;"*")</f>
        <v>0.375</v>
      </c>
      <c r="AH171" s="108">
        <f>(AD171-AF171)/(D171*$K$1*2)%</f>
        <v>15.187878787878788</v>
      </c>
      <c r="AI171" s="108">
        <f>(AE171+AF171)/(D171*$K$1*2)%</f>
        <v>5.3818181818181818</v>
      </c>
      <c r="AK171" s="110"/>
      <c r="AL171" s="110"/>
      <c r="AM171" s="110"/>
      <c r="AN171" s="110"/>
      <c r="AO171" s="110"/>
      <c r="AP171" s="110"/>
      <c r="AQ171" s="110"/>
      <c r="AR171" s="110"/>
      <c r="AS171" s="110"/>
      <c r="AT171" s="110"/>
      <c r="AU171" s="110"/>
    </row>
    <row r="172" spans="1:47" ht="17.25" hidden="1" customHeight="1">
      <c r="A172" s="110" t="s">
        <v>444</v>
      </c>
      <c r="B172" s="229">
        <v>44029</v>
      </c>
      <c r="C172" s="110">
        <v>10000</v>
      </c>
      <c r="D172" s="110">
        <v>7.5</v>
      </c>
      <c r="E172" s="110"/>
      <c r="F172" s="107" t="s">
        <v>263</v>
      </c>
      <c r="G172" s="107"/>
      <c r="H172" s="107"/>
      <c r="I172" s="107"/>
      <c r="J172" s="107"/>
      <c r="K172" s="107"/>
      <c r="L172" s="107"/>
      <c r="M172" s="107"/>
      <c r="N172" s="107"/>
      <c r="O172" s="107"/>
      <c r="P172" s="107"/>
      <c r="Q172" s="107"/>
      <c r="R172" s="107"/>
      <c r="S172" s="107"/>
      <c r="T172" s="107"/>
      <c r="U172" s="107"/>
      <c r="V172" s="107"/>
      <c r="W172" s="107"/>
      <c r="X172" s="107"/>
      <c r="Y172" s="107"/>
      <c r="Z172" s="107"/>
      <c r="AA172" s="167">
        <v>44063</v>
      </c>
      <c r="AB172" s="109">
        <f>_xlfn.DAYS(AA172,B172)</f>
        <v>34</v>
      </c>
      <c r="AC172" s="110">
        <f>(5/21+4/24)/2%</f>
        <v>20.238095238095237</v>
      </c>
      <c r="AD172" s="110">
        <v>1110.5</v>
      </c>
      <c r="AE172" s="110">
        <v>332.5</v>
      </c>
      <c r="AF172" s="110">
        <v>69.5</v>
      </c>
      <c r="AG172" s="107">
        <f>COUNTIFS(F:F,"Culled",A:A,LEFT(A172,LEN(A172)-3)&amp;"*")/COUNTIF(A:A,LEFT(A172,LEN(A172)-3)&amp;"*")</f>
        <v>0.375</v>
      </c>
      <c r="AH172" s="108">
        <f>(AD172-AF172)/(D172*$K$1*2)%</f>
        <v>12.618181818181819</v>
      </c>
      <c r="AI172" s="108">
        <f>(AE172+AF172)/(D172*$K$1*2)%</f>
        <v>4.872727272727273</v>
      </c>
      <c r="AK172" s="110"/>
      <c r="AL172" s="110"/>
      <c r="AM172" s="110"/>
      <c r="AN172" s="110"/>
      <c r="AO172" s="110"/>
      <c r="AP172" s="110"/>
      <c r="AQ172" s="110"/>
      <c r="AR172" s="110"/>
      <c r="AS172" s="110"/>
      <c r="AT172" s="110"/>
      <c r="AU172" s="110"/>
    </row>
    <row r="173" spans="1:47" ht="17.25" hidden="1" customHeight="1">
      <c r="A173" s="10" t="s">
        <v>445</v>
      </c>
      <c r="B173" s="229">
        <v>43966</v>
      </c>
      <c r="C173" s="10">
        <v>10000</v>
      </c>
      <c r="D173" s="10">
        <v>2.5</v>
      </c>
      <c r="E173" s="10"/>
      <c r="F173" s="107" t="s">
        <v>323</v>
      </c>
      <c r="G173" s="107"/>
      <c r="H173" s="107"/>
      <c r="I173" s="107"/>
      <c r="J173" s="107"/>
      <c r="K173" s="107"/>
      <c r="L173" s="107"/>
      <c r="M173" s="107"/>
      <c r="N173" s="107"/>
      <c r="O173" s="107"/>
      <c r="P173" s="107"/>
      <c r="Q173" s="107"/>
      <c r="R173" s="107"/>
      <c r="S173" s="107"/>
      <c r="T173" s="107"/>
      <c r="U173" s="107"/>
      <c r="V173" s="107"/>
      <c r="W173" s="107"/>
      <c r="X173" s="107"/>
      <c r="Y173" s="107"/>
      <c r="Z173" s="107"/>
      <c r="AA173" s="167">
        <v>43983</v>
      </c>
      <c r="AB173" s="109">
        <f>_xlfn.DAYS(AA173,B173)</f>
        <v>17</v>
      </c>
      <c r="AG173" s="10">
        <v>100</v>
      </c>
      <c r="AH173" s="107"/>
      <c r="AP173" s="110"/>
      <c r="AQ173" s="110"/>
      <c r="AR173" s="110"/>
      <c r="AS173" s="110"/>
      <c r="AT173" s="110"/>
      <c r="AU173" s="110"/>
    </row>
    <row r="174" spans="1:47" ht="17.25" hidden="1" customHeight="1">
      <c r="A174" s="10" t="s">
        <v>446</v>
      </c>
      <c r="B174" s="229">
        <v>43966</v>
      </c>
      <c r="C174" s="110" t="s">
        <v>349</v>
      </c>
      <c r="D174" s="10">
        <v>1.5</v>
      </c>
      <c r="E174" s="10"/>
      <c r="F174" s="107" t="s">
        <v>323</v>
      </c>
      <c r="G174" s="107"/>
      <c r="H174" s="107"/>
      <c r="I174" s="107"/>
      <c r="J174" s="107"/>
      <c r="K174" s="107"/>
      <c r="L174" s="107"/>
      <c r="M174" s="107"/>
      <c r="N174" s="107"/>
      <c r="O174" s="107"/>
      <c r="P174" s="107"/>
      <c r="Q174" s="107"/>
      <c r="R174" s="107"/>
      <c r="S174" s="107"/>
      <c r="T174" s="107"/>
      <c r="U174" s="107"/>
      <c r="V174" s="107"/>
      <c r="W174" s="107"/>
      <c r="X174" s="107"/>
      <c r="Y174" s="107"/>
      <c r="Z174" s="107"/>
      <c r="AA174" s="167">
        <v>43983</v>
      </c>
      <c r="AB174" s="109">
        <f>_xlfn.DAYS(AA174,B174)</f>
        <v>17</v>
      </c>
      <c r="AC174" s="110"/>
      <c r="AD174" s="110"/>
      <c r="AE174" s="110"/>
      <c r="AF174" s="110"/>
      <c r="AG174" s="110">
        <v>100</v>
      </c>
      <c r="AH174" s="107"/>
      <c r="AJ174" s="110"/>
      <c r="AK174" s="110"/>
      <c r="AL174" s="110"/>
      <c r="AM174" s="110"/>
      <c r="AN174" s="110"/>
      <c r="AO174" s="110"/>
      <c r="AP174" s="110"/>
      <c r="AQ174" s="110"/>
      <c r="AR174" s="110"/>
      <c r="AS174" s="110"/>
      <c r="AT174" s="110"/>
      <c r="AU174" s="110"/>
    </row>
    <row r="175" spans="1:47" ht="17.25" hidden="1" customHeight="1">
      <c r="A175" s="10" t="s">
        <v>447</v>
      </c>
      <c r="B175" s="229">
        <v>43950</v>
      </c>
      <c r="C175" s="10">
        <v>10000</v>
      </c>
      <c r="D175" s="10">
        <v>7.5</v>
      </c>
      <c r="E175" s="10"/>
      <c r="F175" s="107" t="s">
        <v>323</v>
      </c>
      <c r="G175" s="107"/>
      <c r="H175" s="107"/>
      <c r="I175" s="107"/>
      <c r="J175" s="107"/>
      <c r="K175" s="107"/>
      <c r="L175" s="107"/>
      <c r="M175" s="107"/>
      <c r="N175" s="107"/>
      <c r="O175" s="107"/>
      <c r="P175" s="107"/>
      <c r="Q175" s="107"/>
      <c r="R175" s="107"/>
      <c r="S175" s="107"/>
      <c r="T175" s="107"/>
      <c r="U175" s="107"/>
      <c r="V175" s="107"/>
      <c r="W175" s="107"/>
      <c r="X175" s="107"/>
      <c r="Y175" s="107"/>
      <c r="Z175" s="107"/>
      <c r="AA175" s="167">
        <v>43984</v>
      </c>
      <c r="AB175" s="109">
        <f>_xlfn.DAYS(AA175,B175)</f>
        <v>34</v>
      </c>
      <c r="AG175" s="10">
        <v>16.670000000000002</v>
      </c>
      <c r="AH175" s="107"/>
      <c r="AJ175" s="110"/>
      <c r="AK175" s="110"/>
      <c r="AL175" s="110"/>
      <c r="AM175" s="110"/>
      <c r="AN175" s="110"/>
      <c r="AO175" s="110"/>
      <c r="AP175" s="110"/>
      <c r="AQ175" s="110"/>
      <c r="AR175" s="110"/>
      <c r="AS175" s="110"/>
      <c r="AT175" s="110"/>
      <c r="AU175" s="110"/>
    </row>
    <row r="176" spans="1:47" ht="17.25" hidden="1" customHeight="1">
      <c r="A176" s="110" t="s">
        <v>448</v>
      </c>
      <c r="B176" s="229">
        <v>43956</v>
      </c>
      <c r="C176" s="110">
        <v>10000</v>
      </c>
      <c r="D176" s="110">
        <v>6.5</v>
      </c>
      <c r="E176" s="110"/>
      <c r="F176" s="107" t="s">
        <v>323</v>
      </c>
      <c r="G176" s="107"/>
      <c r="H176" s="107"/>
      <c r="I176" s="107"/>
      <c r="J176" s="107"/>
      <c r="K176" s="107"/>
      <c r="L176" s="107"/>
      <c r="M176" s="107"/>
      <c r="N176" s="107"/>
      <c r="O176" s="107"/>
      <c r="P176" s="107"/>
      <c r="Q176" s="107"/>
      <c r="R176" s="107"/>
      <c r="S176" s="107"/>
      <c r="T176" s="107"/>
      <c r="U176" s="107"/>
      <c r="V176" s="107"/>
      <c r="W176" s="107"/>
      <c r="X176" s="107"/>
      <c r="Y176" s="107"/>
      <c r="Z176" s="107"/>
      <c r="AA176" s="167">
        <v>43984</v>
      </c>
      <c r="AB176" s="109">
        <f>_xlfn.DAYS(AA176,B176)</f>
        <v>28</v>
      </c>
      <c r="AC176" s="110"/>
      <c r="AD176" s="110"/>
      <c r="AE176" s="110"/>
      <c r="AF176" s="110"/>
      <c r="AG176" s="10">
        <v>100</v>
      </c>
      <c r="AH176" s="107"/>
      <c r="AJ176" s="110"/>
      <c r="AK176" s="110"/>
      <c r="AL176" s="110"/>
      <c r="AM176" s="110"/>
      <c r="AN176" s="110"/>
      <c r="AO176" s="110"/>
      <c r="AP176" s="110"/>
      <c r="AQ176" s="110"/>
      <c r="AR176" s="110"/>
      <c r="AS176" s="110"/>
      <c r="AT176" s="110"/>
      <c r="AU176" s="110"/>
    </row>
    <row r="177" spans="1:47" ht="17.25" hidden="1" customHeight="1">
      <c r="A177" s="110" t="s">
        <v>449</v>
      </c>
      <c r="B177" s="229">
        <v>43956</v>
      </c>
      <c r="C177" s="110">
        <v>10000</v>
      </c>
      <c r="D177" s="110">
        <v>6.5</v>
      </c>
      <c r="E177" s="110"/>
      <c r="F177" s="107" t="s">
        <v>323</v>
      </c>
      <c r="G177" s="107"/>
      <c r="H177" s="107"/>
      <c r="I177" s="107"/>
      <c r="J177" s="107"/>
      <c r="K177" s="107"/>
      <c r="L177" s="107"/>
      <c r="M177" s="107"/>
      <c r="N177" s="107"/>
      <c r="O177" s="107"/>
      <c r="P177" s="107"/>
      <c r="Q177" s="107"/>
      <c r="R177" s="107"/>
      <c r="S177" s="107"/>
      <c r="T177" s="107"/>
      <c r="U177" s="107"/>
      <c r="V177" s="107"/>
      <c r="W177" s="107"/>
      <c r="X177" s="107"/>
      <c r="Y177" s="107"/>
      <c r="Z177" s="107"/>
      <c r="AA177" s="167">
        <v>43984</v>
      </c>
      <c r="AB177" s="109">
        <f>_xlfn.DAYS(AA177,B177)</f>
        <v>28</v>
      </c>
      <c r="AC177" s="110"/>
      <c r="AD177" s="110"/>
      <c r="AE177" s="110"/>
      <c r="AF177" s="110"/>
      <c r="AG177" s="10">
        <v>100</v>
      </c>
      <c r="AH177" s="107"/>
      <c r="AJ177" s="110"/>
      <c r="AK177" s="110"/>
      <c r="AL177" s="110"/>
      <c r="AM177" s="110"/>
      <c r="AN177" s="110"/>
      <c r="AO177" s="110"/>
      <c r="AP177" s="110"/>
      <c r="AQ177" s="110"/>
      <c r="AR177" s="110"/>
      <c r="AS177" s="110"/>
      <c r="AT177" s="110"/>
      <c r="AU177" s="110"/>
    </row>
    <row r="178" spans="1:47" ht="17.25" hidden="1" customHeight="1">
      <c r="A178" s="110" t="s">
        <v>450</v>
      </c>
      <c r="B178" s="229">
        <v>43956</v>
      </c>
      <c r="C178" s="110">
        <v>10000</v>
      </c>
      <c r="D178" s="110">
        <v>6.5</v>
      </c>
      <c r="E178" s="110"/>
      <c r="F178" s="107" t="s">
        <v>323</v>
      </c>
      <c r="G178" s="107"/>
      <c r="H178" s="107"/>
      <c r="I178" s="107"/>
      <c r="J178" s="107"/>
      <c r="K178" s="107"/>
      <c r="L178" s="107"/>
      <c r="M178" s="107"/>
      <c r="N178" s="107"/>
      <c r="O178" s="107"/>
      <c r="P178" s="107"/>
      <c r="Q178" s="107"/>
      <c r="R178" s="107"/>
      <c r="S178" s="107"/>
      <c r="T178" s="107"/>
      <c r="U178" s="107"/>
      <c r="V178" s="107"/>
      <c r="W178" s="107"/>
      <c r="X178" s="107"/>
      <c r="Y178" s="107"/>
      <c r="Z178" s="107"/>
      <c r="AA178" s="167">
        <v>43984</v>
      </c>
      <c r="AB178" s="109">
        <f>_xlfn.DAYS(AA178,B178)</f>
        <v>28</v>
      </c>
      <c r="AC178" s="110"/>
      <c r="AD178" s="110"/>
      <c r="AE178" s="110"/>
      <c r="AF178" s="110"/>
      <c r="AG178" s="10">
        <v>100</v>
      </c>
      <c r="AH178" s="107"/>
      <c r="AJ178" s="110"/>
      <c r="AK178" s="110"/>
      <c r="AL178" s="110"/>
      <c r="AM178" s="110"/>
      <c r="AN178" s="110"/>
      <c r="AO178" s="110"/>
      <c r="AP178" s="110"/>
      <c r="AQ178" s="110"/>
      <c r="AR178" s="110"/>
      <c r="AS178" s="110"/>
      <c r="AT178" s="110"/>
      <c r="AU178" s="110"/>
    </row>
    <row r="179" spans="1:47" ht="12.75" hidden="1">
      <c r="A179" s="110" t="s">
        <v>451</v>
      </c>
      <c r="B179" s="229">
        <v>43962</v>
      </c>
      <c r="C179" s="10">
        <v>9000</v>
      </c>
      <c r="D179" s="110">
        <v>1.5</v>
      </c>
      <c r="E179" s="110"/>
      <c r="F179" s="107" t="s">
        <v>323</v>
      </c>
      <c r="G179" s="107"/>
      <c r="H179" s="107"/>
      <c r="I179" s="107"/>
      <c r="J179" s="107"/>
      <c r="K179" s="107"/>
      <c r="L179" s="107"/>
      <c r="M179" s="107"/>
      <c r="N179" s="107"/>
      <c r="O179" s="107"/>
      <c r="P179" s="107"/>
      <c r="Q179" s="107"/>
      <c r="R179" s="107"/>
      <c r="S179" s="107"/>
      <c r="T179" s="107"/>
      <c r="U179" s="107"/>
      <c r="V179" s="107"/>
      <c r="W179" s="107"/>
      <c r="X179" s="107"/>
      <c r="Y179" s="107"/>
      <c r="Z179" s="107"/>
      <c r="AA179" s="167">
        <v>43984</v>
      </c>
      <c r="AB179" s="109">
        <f>_xlfn.DAYS(AA179,B179)</f>
        <v>22</v>
      </c>
      <c r="AC179" s="110"/>
      <c r="AD179" s="110"/>
      <c r="AE179" s="110"/>
      <c r="AF179" s="110"/>
      <c r="AG179" s="10">
        <v>100</v>
      </c>
      <c r="AH179" s="107"/>
      <c r="AJ179" s="110"/>
      <c r="AK179" s="110"/>
      <c r="AL179" s="110"/>
      <c r="AM179" s="110"/>
      <c r="AN179" s="110"/>
      <c r="AO179" s="110"/>
    </row>
    <row r="180" spans="1:47" ht="12.75" hidden="1">
      <c r="A180" s="10" t="s">
        <v>452</v>
      </c>
      <c r="B180" s="229">
        <v>43966</v>
      </c>
      <c r="C180" s="10">
        <v>10000</v>
      </c>
      <c r="D180" s="10">
        <v>3</v>
      </c>
      <c r="E180" s="10"/>
      <c r="F180" s="107" t="s">
        <v>323</v>
      </c>
      <c r="G180" s="107"/>
      <c r="H180" s="107"/>
      <c r="I180" s="107"/>
      <c r="J180" s="107"/>
      <c r="K180" s="107"/>
      <c r="L180" s="107"/>
      <c r="M180" s="107"/>
      <c r="N180" s="107"/>
      <c r="O180" s="107"/>
      <c r="P180" s="107"/>
      <c r="Q180" s="107"/>
      <c r="R180" s="107"/>
      <c r="S180" s="107"/>
      <c r="T180" s="107"/>
      <c r="U180" s="107"/>
      <c r="V180" s="107"/>
      <c r="W180" s="107"/>
      <c r="X180" s="107"/>
      <c r="Y180" s="107"/>
      <c r="Z180" s="107"/>
      <c r="AA180" s="167">
        <v>43984</v>
      </c>
      <c r="AB180" s="109">
        <f>_xlfn.DAYS(AA180,B180)</f>
        <v>18</v>
      </c>
      <c r="AG180" s="10">
        <v>100</v>
      </c>
      <c r="AH180" s="107"/>
    </row>
    <row r="181" spans="1:47" ht="12.75" hidden="1">
      <c r="A181" s="10" t="s">
        <v>453</v>
      </c>
      <c r="B181" s="229">
        <v>43966</v>
      </c>
      <c r="C181" s="10">
        <v>10000</v>
      </c>
      <c r="D181" s="10">
        <v>3</v>
      </c>
      <c r="E181" s="10"/>
      <c r="F181" s="107" t="s">
        <v>323</v>
      </c>
      <c r="G181" s="107"/>
      <c r="H181" s="107"/>
      <c r="I181" s="107"/>
      <c r="J181" s="107"/>
      <c r="K181" s="107"/>
      <c r="L181" s="107"/>
      <c r="M181" s="107"/>
      <c r="N181" s="107"/>
      <c r="O181" s="107"/>
      <c r="P181" s="107"/>
      <c r="Q181" s="107"/>
      <c r="R181" s="107"/>
      <c r="S181" s="107"/>
      <c r="T181" s="107"/>
      <c r="U181" s="107"/>
      <c r="V181" s="107"/>
      <c r="W181" s="107"/>
      <c r="X181" s="107"/>
      <c r="Y181" s="107"/>
      <c r="Z181" s="107"/>
      <c r="AA181" s="167">
        <v>43984</v>
      </c>
      <c r="AB181" s="109">
        <f>_xlfn.DAYS(AA181,B181)</f>
        <v>18</v>
      </c>
      <c r="AG181" s="10">
        <v>100</v>
      </c>
      <c r="AH181" s="107"/>
    </row>
    <row r="182" spans="1:47" ht="12.75" hidden="1">
      <c r="A182" s="10" t="s">
        <v>454</v>
      </c>
      <c r="B182" s="229">
        <v>43966</v>
      </c>
      <c r="C182" s="10">
        <v>10000</v>
      </c>
      <c r="D182" s="10">
        <v>3</v>
      </c>
      <c r="E182" s="10"/>
      <c r="F182" s="107" t="s">
        <v>323</v>
      </c>
      <c r="G182" s="107"/>
      <c r="H182" s="107"/>
      <c r="I182" s="107"/>
      <c r="J182" s="107"/>
      <c r="K182" s="107"/>
      <c r="L182" s="107"/>
      <c r="M182" s="107"/>
      <c r="N182" s="107"/>
      <c r="O182" s="107"/>
      <c r="P182" s="107"/>
      <c r="Q182" s="107"/>
      <c r="R182" s="107"/>
      <c r="S182" s="107"/>
      <c r="T182" s="107"/>
      <c r="U182" s="107"/>
      <c r="V182" s="107"/>
      <c r="W182" s="107"/>
      <c r="X182" s="107"/>
      <c r="Y182" s="107"/>
      <c r="Z182" s="107"/>
      <c r="AA182" s="167">
        <v>43984</v>
      </c>
      <c r="AB182" s="109">
        <f>_xlfn.DAYS(AA182,B182)</f>
        <v>18</v>
      </c>
      <c r="AG182" s="10">
        <v>100</v>
      </c>
      <c r="AH182" s="107"/>
    </row>
    <row r="183" spans="1:47" ht="12.75" hidden="1">
      <c r="A183" s="10" t="s">
        <v>455</v>
      </c>
      <c r="B183" s="229">
        <v>43966</v>
      </c>
      <c r="C183" s="10">
        <v>10000</v>
      </c>
      <c r="D183" s="10">
        <v>3</v>
      </c>
      <c r="E183" s="10"/>
      <c r="F183" s="107" t="s">
        <v>323</v>
      </c>
      <c r="G183" s="107"/>
      <c r="H183" s="107"/>
      <c r="I183" s="107"/>
      <c r="J183" s="107"/>
      <c r="K183" s="107"/>
      <c r="L183" s="107"/>
      <c r="M183" s="107"/>
      <c r="N183" s="107"/>
      <c r="O183" s="107"/>
      <c r="P183" s="107"/>
      <c r="Q183" s="107"/>
      <c r="R183" s="107"/>
      <c r="S183" s="107"/>
      <c r="T183" s="107"/>
      <c r="U183" s="107"/>
      <c r="V183" s="107"/>
      <c r="W183" s="107"/>
      <c r="X183" s="107"/>
      <c r="Y183" s="107"/>
      <c r="Z183" s="107"/>
      <c r="AA183" s="167">
        <v>43984</v>
      </c>
      <c r="AB183" s="109">
        <f>_xlfn.DAYS(AA183,B183)</f>
        <v>18</v>
      </c>
      <c r="AG183" s="10">
        <v>100</v>
      </c>
      <c r="AH183" s="107"/>
    </row>
    <row r="184" spans="1:47" ht="17.25" hidden="1" customHeight="1">
      <c r="A184" s="10" t="s">
        <v>456</v>
      </c>
      <c r="B184" s="229">
        <v>43972</v>
      </c>
      <c r="C184" s="110">
        <v>10000</v>
      </c>
      <c r="D184" s="10">
        <v>3.5</v>
      </c>
      <c r="E184" s="10"/>
      <c r="F184" s="107" t="s">
        <v>323</v>
      </c>
      <c r="G184" s="107"/>
      <c r="H184" s="107"/>
      <c r="I184" s="107"/>
      <c r="J184" s="107"/>
      <c r="K184" s="107"/>
      <c r="L184" s="107"/>
      <c r="M184" s="107"/>
      <c r="N184" s="107"/>
      <c r="O184" s="107"/>
      <c r="P184" s="107"/>
      <c r="Q184" s="107"/>
      <c r="R184" s="107"/>
      <c r="S184" s="107"/>
      <c r="T184" s="107"/>
      <c r="U184" s="107"/>
      <c r="V184" s="107"/>
      <c r="W184" s="107"/>
      <c r="X184" s="107"/>
      <c r="Y184" s="107"/>
      <c r="Z184" s="107"/>
      <c r="AA184" s="167">
        <v>43987</v>
      </c>
      <c r="AB184" s="109">
        <f>_xlfn.DAYS(AA184,B184)</f>
        <v>15</v>
      </c>
      <c r="AG184" s="10">
        <v>100</v>
      </c>
      <c r="AH184" s="107"/>
      <c r="AP184" s="110"/>
      <c r="AQ184" s="110"/>
      <c r="AR184" s="110"/>
      <c r="AS184" s="110"/>
      <c r="AT184" s="110"/>
      <c r="AU184" s="110"/>
    </row>
    <row r="185" spans="1:47" ht="17.25" hidden="1" customHeight="1">
      <c r="A185" s="10" t="s">
        <v>457</v>
      </c>
      <c r="B185" s="229">
        <v>43972</v>
      </c>
      <c r="C185" s="10">
        <v>10000</v>
      </c>
      <c r="D185" s="10">
        <v>3</v>
      </c>
      <c r="E185" s="10"/>
      <c r="F185" s="107" t="s">
        <v>323</v>
      </c>
      <c r="G185" s="107"/>
      <c r="H185" s="107"/>
      <c r="I185" s="107"/>
      <c r="J185" s="107"/>
      <c r="K185" s="107"/>
      <c r="L185" s="107"/>
      <c r="M185" s="107"/>
      <c r="N185" s="107"/>
      <c r="O185" s="107"/>
      <c r="P185" s="107"/>
      <c r="Q185" s="107"/>
      <c r="R185" s="107"/>
      <c r="S185" s="107"/>
      <c r="T185" s="107"/>
      <c r="U185" s="107"/>
      <c r="V185" s="107"/>
      <c r="W185" s="107"/>
      <c r="X185" s="107"/>
      <c r="Y185" s="107"/>
      <c r="Z185" s="107"/>
      <c r="AA185" s="167">
        <v>43987</v>
      </c>
      <c r="AB185" s="109">
        <f>_xlfn.DAYS(AA185,B185)</f>
        <v>15</v>
      </c>
      <c r="AG185" s="10">
        <v>100</v>
      </c>
      <c r="AH185" s="107"/>
      <c r="AP185" s="110"/>
      <c r="AQ185" s="110"/>
      <c r="AR185" s="110"/>
      <c r="AS185" s="110"/>
      <c r="AT185" s="110"/>
      <c r="AU185" s="110"/>
    </row>
    <row r="186" spans="1:47" ht="17.25" hidden="1" customHeight="1">
      <c r="A186" s="10" t="s">
        <v>458</v>
      </c>
      <c r="B186" s="229">
        <v>43972</v>
      </c>
      <c r="C186" s="110">
        <v>10000</v>
      </c>
      <c r="D186" s="10">
        <v>3</v>
      </c>
      <c r="E186" s="10"/>
      <c r="F186" s="107" t="s">
        <v>323</v>
      </c>
      <c r="G186" s="107"/>
      <c r="H186" s="107"/>
      <c r="I186" s="107"/>
      <c r="J186" s="107"/>
      <c r="K186" s="107"/>
      <c r="L186" s="107"/>
      <c r="M186" s="107"/>
      <c r="N186" s="107"/>
      <c r="O186" s="107"/>
      <c r="P186" s="107"/>
      <c r="Q186" s="107"/>
      <c r="R186" s="107"/>
      <c r="S186" s="107"/>
      <c r="T186" s="107"/>
      <c r="U186" s="107"/>
      <c r="V186" s="107"/>
      <c r="W186" s="107"/>
      <c r="X186" s="107"/>
      <c r="Y186" s="107"/>
      <c r="Z186" s="107"/>
      <c r="AA186" s="167">
        <v>43987</v>
      </c>
      <c r="AB186" s="109">
        <f>_xlfn.DAYS(AA186,B186)</f>
        <v>15</v>
      </c>
      <c r="AG186" s="10">
        <v>100</v>
      </c>
      <c r="AH186" s="107"/>
      <c r="AP186" s="110"/>
      <c r="AQ186" s="110"/>
      <c r="AR186" s="110"/>
      <c r="AS186" s="110"/>
      <c r="AT186" s="110"/>
      <c r="AU186" s="110"/>
    </row>
    <row r="187" spans="1:47" ht="17.25" hidden="1" customHeight="1">
      <c r="A187" s="10" t="s">
        <v>459</v>
      </c>
      <c r="B187" s="229">
        <v>43972</v>
      </c>
      <c r="C187" s="10">
        <v>10000</v>
      </c>
      <c r="D187" s="10">
        <v>3.5</v>
      </c>
      <c r="E187" s="10"/>
      <c r="F187" s="107" t="s">
        <v>323</v>
      </c>
      <c r="G187" s="107"/>
      <c r="H187" s="107"/>
      <c r="I187" s="107"/>
      <c r="J187" s="107"/>
      <c r="K187" s="107"/>
      <c r="L187" s="107"/>
      <c r="M187" s="107"/>
      <c r="N187" s="107"/>
      <c r="O187" s="107"/>
      <c r="P187" s="107"/>
      <c r="Q187" s="107"/>
      <c r="R187" s="107"/>
      <c r="S187" s="107"/>
      <c r="T187" s="107"/>
      <c r="U187" s="107"/>
      <c r="V187" s="107"/>
      <c r="W187" s="107"/>
      <c r="X187" s="107"/>
      <c r="Y187" s="107"/>
      <c r="Z187" s="107"/>
      <c r="AA187" s="167">
        <v>43987</v>
      </c>
      <c r="AB187" s="109">
        <f>_xlfn.DAYS(AA187,B187)</f>
        <v>15</v>
      </c>
      <c r="AG187" s="10">
        <v>100</v>
      </c>
      <c r="AH187" s="107"/>
      <c r="AP187" s="110"/>
      <c r="AQ187" s="110"/>
      <c r="AR187" s="110"/>
      <c r="AS187" s="110"/>
      <c r="AT187" s="110"/>
      <c r="AU187" s="110"/>
    </row>
    <row r="188" spans="1:47" ht="17.25" hidden="1" customHeight="1">
      <c r="A188" s="10" t="s">
        <v>460</v>
      </c>
      <c r="B188" s="229">
        <v>43972</v>
      </c>
      <c r="C188" s="110">
        <v>10000</v>
      </c>
      <c r="D188" s="10">
        <v>3</v>
      </c>
      <c r="E188" s="10"/>
      <c r="F188" s="107" t="s">
        <v>323</v>
      </c>
      <c r="G188" s="107"/>
      <c r="H188" s="107"/>
      <c r="I188" s="107"/>
      <c r="J188" s="107"/>
      <c r="K188" s="107"/>
      <c r="L188" s="107"/>
      <c r="M188" s="107"/>
      <c r="N188" s="107"/>
      <c r="O188" s="107"/>
      <c r="P188" s="107"/>
      <c r="Q188" s="107"/>
      <c r="R188" s="107"/>
      <c r="S188" s="107"/>
      <c r="T188" s="107"/>
      <c r="U188" s="107"/>
      <c r="V188" s="107"/>
      <c r="W188" s="107"/>
      <c r="X188" s="107"/>
      <c r="Y188" s="107"/>
      <c r="Z188" s="107"/>
      <c r="AA188" s="167">
        <v>43987</v>
      </c>
      <c r="AB188" s="109">
        <f>_xlfn.DAYS(AA188,B188)</f>
        <v>15</v>
      </c>
      <c r="AG188" s="10">
        <v>100</v>
      </c>
      <c r="AH188" s="107"/>
      <c r="AP188" s="110"/>
      <c r="AQ188" s="110"/>
      <c r="AR188" s="110"/>
      <c r="AS188" s="110"/>
      <c r="AT188" s="110"/>
      <c r="AU188" s="110"/>
    </row>
    <row r="189" spans="1:47" ht="17.25" hidden="1" customHeight="1">
      <c r="A189" s="110" t="s">
        <v>461</v>
      </c>
      <c r="B189" s="229">
        <v>43956</v>
      </c>
      <c r="C189" s="110">
        <v>10000</v>
      </c>
      <c r="D189" s="110">
        <v>7</v>
      </c>
      <c r="E189" s="110"/>
      <c r="F189" s="107" t="s">
        <v>323</v>
      </c>
      <c r="G189" s="107"/>
      <c r="H189" s="107"/>
      <c r="I189" s="107"/>
      <c r="J189" s="107"/>
      <c r="K189" s="107"/>
      <c r="L189" s="107"/>
      <c r="M189" s="107"/>
      <c r="N189" s="107"/>
      <c r="O189" s="107"/>
      <c r="P189" s="107"/>
      <c r="Q189" s="107"/>
      <c r="R189" s="107"/>
      <c r="S189" s="107"/>
      <c r="T189" s="107"/>
      <c r="U189" s="107"/>
      <c r="V189" s="107"/>
      <c r="W189" s="107"/>
      <c r="X189" s="107"/>
      <c r="Y189" s="107"/>
      <c r="Z189" s="107"/>
      <c r="AA189" s="167">
        <v>43990</v>
      </c>
      <c r="AB189" s="109">
        <f>_xlfn.DAYS(AA189,B189)</f>
        <v>34</v>
      </c>
      <c r="AC189" s="110"/>
      <c r="AD189" s="110"/>
      <c r="AE189" s="110"/>
      <c r="AF189" s="110"/>
      <c r="AG189" s="10">
        <v>100</v>
      </c>
      <c r="AH189" s="107"/>
      <c r="AJ189" s="110"/>
      <c r="AK189" s="110"/>
      <c r="AL189" s="110"/>
      <c r="AM189" s="110"/>
      <c r="AN189" s="110"/>
      <c r="AO189" s="110"/>
      <c r="AP189" s="110"/>
      <c r="AQ189" s="110"/>
      <c r="AR189" s="110"/>
      <c r="AS189" s="110"/>
      <c r="AT189" s="110"/>
      <c r="AU189" s="110"/>
    </row>
    <row r="190" spans="1:47" ht="17.25" hidden="1" customHeight="1">
      <c r="A190" s="110" t="s">
        <v>462</v>
      </c>
      <c r="B190" s="229">
        <v>43962</v>
      </c>
      <c r="C190" s="110">
        <v>9000</v>
      </c>
      <c r="D190" s="110">
        <v>4</v>
      </c>
      <c r="E190" s="110"/>
      <c r="F190" s="107" t="s">
        <v>323</v>
      </c>
      <c r="G190" s="107"/>
      <c r="H190" s="107"/>
      <c r="I190" s="107"/>
      <c r="J190" s="107"/>
      <c r="K190" s="107"/>
      <c r="L190" s="107"/>
      <c r="M190" s="107"/>
      <c r="N190" s="107"/>
      <c r="O190" s="107"/>
      <c r="P190" s="107"/>
      <c r="Q190" s="107"/>
      <c r="R190" s="107"/>
      <c r="S190" s="107"/>
      <c r="T190" s="107"/>
      <c r="U190" s="107"/>
      <c r="V190" s="107"/>
      <c r="W190" s="107"/>
      <c r="X190" s="107"/>
      <c r="Y190" s="107"/>
      <c r="Z190" s="107"/>
      <c r="AA190" s="167">
        <v>43990</v>
      </c>
      <c r="AB190" s="109">
        <f>_xlfn.DAYS(AA190,B190)</f>
        <v>28</v>
      </c>
      <c r="AC190" s="110"/>
      <c r="AD190" s="110"/>
      <c r="AE190" s="110"/>
      <c r="AF190" s="110"/>
      <c r="AG190" s="10">
        <v>100</v>
      </c>
      <c r="AH190" s="107"/>
      <c r="AJ190" s="110"/>
      <c r="AK190" s="110"/>
      <c r="AL190" s="110"/>
      <c r="AM190" s="110"/>
      <c r="AN190" s="110"/>
      <c r="AO190" s="110"/>
      <c r="AP190" s="110"/>
      <c r="AQ190" s="110"/>
      <c r="AR190" s="110"/>
      <c r="AS190" s="110"/>
      <c r="AT190" s="110"/>
      <c r="AU190" s="110"/>
    </row>
    <row r="191" spans="1:47" ht="17.25" hidden="1" customHeight="1">
      <c r="A191" s="110" t="s">
        <v>463</v>
      </c>
      <c r="B191" s="229">
        <v>43962</v>
      </c>
      <c r="C191" s="110">
        <v>9000</v>
      </c>
      <c r="D191" s="110">
        <v>4</v>
      </c>
      <c r="E191" s="110"/>
      <c r="F191" s="107" t="s">
        <v>323</v>
      </c>
      <c r="G191" s="107"/>
      <c r="H191" s="107"/>
      <c r="I191" s="107"/>
      <c r="J191" s="107"/>
      <c r="K191" s="107"/>
      <c r="L191" s="107"/>
      <c r="M191" s="107"/>
      <c r="N191" s="107"/>
      <c r="O191" s="107"/>
      <c r="P191" s="107"/>
      <c r="Q191" s="107"/>
      <c r="R191" s="107"/>
      <c r="S191" s="107"/>
      <c r="T191" s="107"/>
      <c r="U191" s="107"/>
      <c r="V191" s="107"/>
      <c r="W191" s="107"/>
      <c r="X191" s="107"/>
      <c r="Y191" s="107"/>
      <c r="Z191" s="107"/>
      <c r="AA191" s="167">
        <v>43990</v>
      </c>
      <c r="AB191" s="109">
        <f>_xlfn.DAYS(AA191,B191)</f>
        <v>28</v>
      </c>
      <c r="AC191" s="110"/>
      <c r="AD191" s="110"/>
      <c r="AE191" s="110"/>
      <c r="AF191" s="110"/>
      <c r="AG191" s="10">
        <v>100</v>
      </c>
      <c r="AH191" s="107"/>
      <c r="AJ191" s="110"/>
      <c r="AK191" s="110"/>
      <c r="AL191" s="110"/>
      <c r="AM191" s="110"/>
      <c r="AN191" s="110"/>
      <c r="AO191" s="110"/>
      <c r="AP191" s="110"/>
      <c r="AQ191" s="110"/>
      <c r="AR191" s="110"/>
      <c r="AS191" s="110"/>
      <c r="AT191" s="110"/>
      <c r="AU191" s="110"/>
    </row>
    <row r="192" spans="1:47" ht="17.25" hidden="1" customHeight="1">
      <c r="A192" s="10" t="s">
        <v>464</v>
      </c>
      <c r="B192" s="229">
        <v>43969</v>
      </c>
      <c r="C192" s="110">
        <v>10000</v>
      </c>
      <c r="D192" s="10">
        <v>3.5</v>
      </c>
      <c r="E192" s="10"/>
      <c r="F192" s="107" t="s">
        <v>323</v>
      </c>
      <c r="G192" s="107"/>
      <c r="H192" s="107"/>
      <c r="I192" s="107"/>
      <c r="J192" s="107"/>
      <c r="K192" s="107"/>
      <c r="L192" s="107"/>
      <c r="M192" s="107"/>
      <c r="N192" s="107"/>
      <c r="O192" s="107"/>
      <c r="P192" s="107"/>
      <c r="Q192" s="107"/>
      <c r="R192" s="107"/>
      <c r="S192" s="107"/>
      <c r="T192" s="107"/>
      <c r="U192" s="107"/>
      <c r="V192" s="107"/>
      <c r="W192" s="107"/>
      <c r="X192" s="107"/>
      <c r="Y192" s="107"/>
      <c r="Z192" s="107"/>
      <c r="AA192" s="167">
        <v>43990</v>
      </c>
      <c r="AB192" s="109">
        <f>_xlfn.DAYS(AA192,B192)</f>
        <v>21</v>
      </c>
      <c r="AG192" s="10">
        <v>100</v>
      </c>
      <c r="AH192" s="107"/>
      <c r="AJ192" s="110"/>
      <c r="AK192" s="110"/>
      <c r="AL192" s="110"/>
      <c r="AM192" s="110"/>
      <c r="AN192" s="110"/>
      <c r="AO192" s="110"/>
      <c r="AP192" s="110"/>
      <c r="AQ192" s="110"/>
      <c r="AR192" s="110"/>
      <c r="AS192" s="110"/>
      <c r="AT192" s="110"/>
      <c r="AU192" s="110"/>
    </row>
    <row r="193" spans="1:47" ht="17.25" hidden="1" customHeight="1">
      <c r="A193" s="10" t="s">
        <v>465</v>
      </c>
      <c r="B193" s="229">
        <v>43969</v>
      </c>
      <c r="C193" s="110">
        <v>10000</v>
      </c>
      <c r="D193" s="10">
        <v>3.5</v>
      </c>
      <c r="E193" s="10"/>
      <c r="F193" s="107" t="s">
        <v>323</v>
      </c>
      <c r="G193" s="107"/>
      <c r="H193" s="107"/>
      <c r="I193" s="107"/>
      <c r="J193" s="107"/>
      <c r="K193" s="107"/>
      <c r="L193" s="107"/>
      <c r="M193" s="107"/>
      <c r="N193" s="107"/>
      <c r="O193" s="107"/>
      <c r="P193" s="107"/>
      <c r="Q193" s="107"/>
      <c r="R193" s="107"/>
      <c r="S193" s="107"/>
      <c r="T193" s="107"/>
      <c r="U193" s="107"/>
      <c r="V193" s="107"/>
      <c r="W193" s="107"/>
      <c r="X193" s="107"/>
      <c r="Y193" s="107"/>
      <c r="Z193" s="107"/>
      <c r="AA193" s="167">
        <v>43990</v>
      </c>
      <c r="AB193" s="109">
        <f>_xlfn.DAYS(AA193,B193)</f>
        <v>21</v>
      </c>
      <c r="AG193" s="10">
        <v>100</v>
      </c>
      <c r="AH193" s="107"/>
      <c r="AJ193" s="110"/>
      <c r="AK193" s="110"/>
      <c r="AL193" s="110"/>
      <c r="AM193" s="110"/>
      <c r="AN193" s="110"/>
      <c r="AO193" s="110"/>
      <c r="AP193" s="110"/>
      <c r="AQ193" s="110"/>
      <c r="AR193" s="110"/>
      <c r="AS193" s="110"/>
      <c r="AT193" s="110"/>
      <c r="AU193" s="110"/>
    </row>
    <row r="194" spans="1:47" ht="17.25" hidden="1" customHeight="1">
      <c r="A194" s="10" t="s">
        <v>466</v>
      </c>
      <c r="B194" s="229">
        <v>43969</v>
      </c>
      <c r="C194" s="110">
        <v>10000</v>
      </c>
      <c r="D194" s="10">
        <v>3.5</v>
      </c>
      <c r="E194" s="10"/>
      <c r="F194" s="107" t="s">
        <v>323</v>
      </c>
      <c r="G194" s="107"/>
      <c r="H194" s="107"/>
      <c r="I194" s="107"/>
      <c r="J194" s="107"/>
      <c r="K194" s="107"/>
      <c r="L194" s="107"/>
      <c r="M194" s="107"/>
      <c r="N194" s="107"/>
      <c r="O194" s="107"/>
      <c r="P194" s="107"/>
      <c r="Q194" s="107"/>
      <c r="R194" s="107"/>
      <c r="S194" s="107"/>
      <c r="T194" s="107"/>
      <c r="U194" s="107"/>
      <c r="V194" s="107"/>
      <c r="W194" s="107"/>
      <c r="X194" s="107"/>
      <c r="Y194" s="107"/>
      <c r="Z194" s="107"/>
      <c r="AA194" s="167">
        <v>43990</v>
      </c>
      <c r="AB194" s="109">
        <f>_xlfn.DAYS(AA194,B194)</f>
        <v>21</v>
      </c>
      <c r="AG194" s="10">
        <v>100</v>
      </c>
      <c r="AH194" s="107"/>
      <c r="AJ194" s="110"/>
      <c r="AK194" s="110"/>
      <c r="AL194" s="110"/>
      <c r="AM194" s="110"/>
      <c r="AN194" s="110"/>
      <c r="AO194" s="110"/>
      <c r="AP194" s="110"/>
      <c r="AQ194" s="110"/>
      <c r="AR194" s="110"/>
      <c r="AS194" s="110"/>
      <c r="AT194" s="110"/>
      <c r="AU194" s="110"/>
    </row>
    <row r="195" spans="1:47" ht="12.75" hidden="1">
      <c r="A195" s="10" t="s">
        <v>467</v>
      </c>
      <c r="B195" s="229">
        <v>43969</v>
      </c>
      <c r="C195" s="110">
        <v>10000</v>
      </c>
      <c r="D195" s="10">
        <v>3.5</v>
      </c>
      <c r="E195" s="10"/>
      <c r="F195" s="107" t="s">
        <v>323</v>
      </c>
      <c r="G195" s="107"/>
      <c r="H195" s="107"/>
      <c r="I195" s="107"/>
      <c r="J195" s="107"/>
      <c r="K195" s="107"/>
      <c r="L195" s="107"/>
      <c r="M195" s="107"/>
      <c r="N195" s="107"/>
      <c r="O195" s="107"/>
      <c r="P195" s="107"/>
      <c r="Q195" s="107"/>
      <c r="R195" s="107"/>
      <c r="S195" s="107"/>
      <c r="T195" s="107"/>
      <c r="U195" s="107"/>
      <c r="V195" s="107"/>
      <c r="W195" s="107"/>
      <c r="X195" s="107"/>
      <c r="Y195" s="107"/>
      <c r="Z195" s="107"/>
      <c r="AA195" s="167">
        <v>43990</v>
      </c>
      <c r="AB195" s="109">
        <f>_xlfn.DAYS(AA195,B195)</f>
        <v>21</v>
      </c>
      <c r="AG195" s="10">
        <v>100</v>
      </c>
      <c r="AH195" s="107"/>
      <c r="AJ195" s="110"/>
      <c r="AK195" s="110"/>
      <c r="AL195" s="110"/>
      <c r="AM195" s="110"/>
      <c r="AN195" s="110"/>
      <c r="AO195" s="110"/>
    </row>
    <row r="196" spans="1:47" ht="12.75" hidden="1">
      <c r="A196" s="10" t="s">
        <v>468</v>
      </c>
      <c r="B196" s="229">
        <v>43977</v>
      </c>
      <c r="C196" s="10">
        <v>10000</v>
      </c>
      <c r="D196" s="10">
        <v>2.5</v>
      </c>
      <c r="E196" s="10"/>
      <c r="F196" s="107" t="s">
        <v>323</v>
      </c>
      <c r="G196" s="107"/>
      <c r="H196" s="107"/>
      <c r="I196" s="107"/>
      <c r="J196" s="107"/>
      <c r="K196" s="107"/>
      <c r="L196" s="107"/>
      <c r="M196" s="107"/>
      <c r="N196" s="107"/>
      <c r="O196" s="107"/>
      <c r="P196" s="107"/>
      <c r="Q196" s="107"/>
      <c r="R196" s="107"/>
      <c r="S196" s="107"/>
      <c r="T196" s="107"/>
      <c r="U196" s="107"/>
      <c r="V196" s="107"/>
      <c r="W196" s="107"/>
      <c r="X196" s="107"/>
      <c r="Y196" s="107"/>
      <c r="Z196" s="107"/>
      <c r="AA196" s="167">
        <v>43990</v>
      </c>
      <c r="AB196" s="109">
        <f>_xlfn.DAYS(AA196,B196)</f>
        <v>13</v>
      </c>
      <c r="AG196" s="10">
        <v>100</v>
      </c>
      <c r="AH196" s="107"/>
    </row>
    <row r="197" spans="1:47" ht="12.75" hidden="1">
      <c r="A197" s="10" t="s">
        <v>469</v>
      </c>
      <c r="B197" s="229">
        <v>43972</v>
      </c>
      <c r="C197" s="10">
        <v>10000</v>
      </c>
      <c r="D197" s="10">
        <v>3</v>
      </c>
      <c r="E197" s="10"/>
      <c r="F197" s="107" t="s">
        <v>323</v>
      </c>
      <c r="G197" s="107"/>
      <c r="H197" s="107"/>
      <c r="I197" s="107"/>
      <c r="J197" s="107"/>
      <c r="K197" s="107"/>
      <c r="L197" s="107"/>
      <c r="M197" s="107"/>
      <c r="N197" s="107"/>
      <c r="O197" s="107"/>
      <c r="P197" s="107"/>
      <c r="Q197" s="107"/>
      <c r="R197" s="107"/>
      <c r="S197" s="107"/>
      <c r="T197" s="107"/>
      <c r="U197" s="107"/>
      <c r="V197" s="107"/>
      <c r="W197" s="107"/>
      <c r="X197" s="107"/>
      <c r="Y197" s="107"/>
      <c r="Z197" s="107"/>
      <c r="AA197" s="167">
        <v>43990</v>
      </c>
      <c r="AB197" s="109">
        <f>_xlfn.DAYS(AA197,B197)</f>
        <v>18</v>
      </c>
      <c r="AG197" s="10">
        <v>100</v>
      </c>
      <c r="AH197" s="107"/>
    </row>
    <row r="198" spans="1:47" ht="12.75" hidden="1">
      <c r="A198" s="10" t="s">
        <v>470</v>
      </c>
      <c r="B198" s="229">
        <v>43972</v>
      </c>
      <c r="C198" s="10">
        <v>10000</v>
      </c>
      <c r="D198" s="10">
        <v>2.5</v>
      </c>
      <c r="E198" s="10"/>
      <c r="F198" s="107" t="s">
        <v>323</v>
      </c>
      <c r="G198" s="107"/>
      <c r="H198" s="107"/>
      <c r="I198" s="107"/>
      <c r="J198" s="107"/>
      <c r="K198" s="107"/>
      <c r="L198" s="107"/>
      <c r="M198" s="107"/>
      <c r="N198" s="107"/>
      <c r="O198" s="107"/>
      <c r="P198" s="107"/>
      <c r="Q198" s="107"/>
      <c r="R198" s="107"/>
      <c r="S198" s="107"/>
      <c r="T198" s="107"/>
      <c r="U198" s="107"/>
      <c r="V198" s="107"/>
      <c r="W198" s="107"/>
      <c r="X198" s="107"/>
      <c r="Y198" s="107"/>
      <c r="Z198" s="107"/>
      <c r="AA198" s="167">
        <v>43990</v>
      </c>
      <c r="AB198" s="109">
        <f>_xlfn.DAYS(AA198,B198)</f>
        <v>18</v>
      </c>
      <c r="AG198" s="10">
        <v>100</v>
      </c>
      <c r="AH198" s="107"/>
    </row>
    <row r="199" spans="1:47" ht="12.75" hidden="1">
      <c r="A199" s="110" t="s">
        <v>471</v>
      </c>
      <c r="B199" s="229">
        <v>43963</v>
      </c>
      <c r="C199" s="110">
        <v>10000</v>
      </c>
      <c r="D199" s="110">
        <v>5.5</v>
      </c>
      <c r="E199" s="110"/>
      <c r="F199" s="107" t="s">
        <v>323</v>
      </c>
      <c r="G199" s="107"/>
      <c r="H199" s="107"/>
      <c r="I199" s="107"/>
      <c r="J199" s="107"/>
      <c r="K199" s="107"/>
      <c r="L199" s="107"/>
      <c r="M199" s="107"/>
      <c r="N199" s="107"/>
      <c r="O199" s="107"/>
      <c r="P199" s="107"/>
      <c r="Q199" s="107"/>
      <c r="R199" s="107"/>
      <c r="S199" s="107"/>
      <c r="T199" s="107"/>
      <c r="U199" s="107"/>
      <c r="V199" s="107"/>
      <c r="W199" s="107"/>
      <c r="X199" s="107"/>
      <c r="Y199" s="107"/>
      <c r="Z199" s="107"/>
      <c r="AA199" s="167">
        <v>43990</v>
      </c>
      <c r="AB199" s="109">
        <f>_xlfn.DAYS(AA199,B199)</f>
        <v>27</v>
      </c>
      <c r="AC199" s="110"/>
      <c r="AD199" s="110"/>
      <c r="AE199" s="110"/>
      <c r="AF199" s="110"/>
      <c r="AG199" s="110">
        <v>100</v>
      </c>
      <c r="AH199" s="107"/>
      <c r="AJ199" s="110"/>
      <c r="AK199" s="110"/>
      <c r="AL199" s="110"/>
      <c r="AM199" s="110"/>
      <c r="AN199" s="110"/>
      <c r="AO199" s="110"/>
    </row>
    <row r="200" spans="1:47" ht="12.75" hidden="1">
      <c r="A200" s="10" t="s">
        <v>472</v>
      </c>
      <c r="B200" s="229">
        <v>43966</v>
      </c>
      <c r="C200" s="10">
        <v>10000</v>
      </c>
      <c r="D200" s="10">
        <v>5</v>
      </c>
      <c r="E200" s="10"/>
      <c r="F200" s="107" t="s">
        <v>323</v>
      </c>
      <c r="G200" s="107"/>
      <c r="H200" s="107"/>
      <c r="I200" s="107"/>
      <c r="J200" s="107"/>
      <c r="K200" s="107"/>
      <c r="L200" s="107"/>
      <c r="M200" s="107"/>
      <c r="N200" s="107"/>
      <c r="O200" s="107"/>
      <c r="P200" s="107"/>
      <c r="Q200" s="107"/>
      <c r="R200" s="107"/>
      <c r="S200" s="107"/>
      <c r="T200" s="107"/>
      <c r="U200" s="107"/>
      <c r="V200" s="107"/>
      <c r="W200" s="107"/>
      <c r="X200" s="107"/>
      <c r="Y200" s="107"/>
      <c r="Z200" s="107"/>
      <c r="AA200" s="167">
        <v>43994</v>
      </c>
      <c r="AB200" s="109">
        <f>_xlfn.DAYS(AA200,B200)</f>
        <v>28</v>
      </c>
      <c r="AG200" s="10">
        <v>100</v>
      </c>
      <c r="AH200" s="107"/>
    </row>
    <row r="201" spans="1:47" ht="12.75" hidden="1">
      <c r="A201" s="10" t="s">
        <v>473</v>
      </c>
      <c r="B201" s="229">
        <v>43966</v>
      </c>
      <c r="C201" s="10">
        <v>10000</v>
      </c>
      <c r="D201" s="10">
        <v>5</v>
      </c>
      <c r="E201" s="10"/>
      <c r="F201" s="107" t="s">
        <v>323</v>
      </c>
      <c r="G201" s="107"/>
      <c r="H201" s="107"/>
      <c r="I201" s="107"/>
      <c r="J201" s="107"/>
      <c r="K201" s="107"/>
      <c r="L201" s="107"/>
      <c r="M201" s="107"/>
      <c r="N201" s="107"/>
      <c r="O201" s="107"/>
      <c r="P201" s="107"/>
      <c r="Q201" s="107"/>
      <c r="R201" s="107"/>
      <c r="S201" s="107"/>
      <c r="T201" s="107"/>
      <c r="U201" s="107"/>
      <c r="V201" s="107"/>
      <c r="W201" s="107"/>
      <c r="X201" s="107"/>
      <c r="Y201" s="107"/>
      <c r="Z201" s="107"/>
      <c r="AA201" s="167">
        <v>43994</v>
      </c>
      <c r="AB201" s="109">
        <f>_xlfn.DAYS(AA201,B201)</f>
        <v>28</v>
      </c>
      <c r="AG201" s="10">
        <v>100</v>
      </c>
      <c r="AH201" s="107"/>
    </row>
    <row r="202" spans="1:47" ht="12.75" hidden="1">
      <c r="A202" s="10" t="s">
        <v>474</v>
      </c>
      <c r="B202" s="229">
        <v>43966</v>
      </c>
      <c r="C202" s="10">
        <v>10000</v>
      </c>
      <c r="D202" s="10">
        <v>5</v>
      </c>
      <c r="E202" s="10"/>
      <c r="F202" s="107" t="s">
        <v>323</v>
      </c>
      <c r="G202" s="107"/>
      <c r="H202" s="107"/>
      <c r="I202" s="107"/>
      <c r="J202" s="107"/>
      <c r="K202" s="107"/>
      <c r="L202" s="107"/>
      <c r="M202" s="107"/>
      <c r="N202" s="107"/>
      <c r="O202" s="107"/>
      <c r="P202" s="107"/>
      <c r="Q202" s="107"/>
      <c r="R202" s="107"/>
      <c r="S202" s="107"/>
      <c r="T202" s="107"/>
      <c r="U202" s="107"/>
      <c r="V202" s="107"/>
      <c r="W202" s="107"/>
      <c r="X202" s="107"/>
      <c r="Y202" s="107"/>
      <c r="Z202" s="107"/>
      <c r="AA202" s="167">
        <v>43994</v>
      </c>
      <c r="AB202" s="109">
        <f>_xlfn.DAYS(AA202,B202)</f>
        <v>28</v>
      </c>
      <c r="AG202" s="10">
        <v>100</v>
      </c>
      <c r="AH202" s="107"/>
    </row>
    <row r="203" spans="1:47" ht="12.75" hidden="1">
      <c r="A203" s="10" t="s">
        <v>475</v>
      </c>
      <c r="B203" s="229">
        <v>43972</v>
      </c>
      <c r="C203" s="10">
        <v>10000</v>
      </c>
      <c r="D203" s="10">
        <v>4</v>
      </c>
      <c r="E203" s="10"/>
      <c r="F203" s="107" t="s">
        <v>323</v>
      </c>
      <c r="G203" s="107"/>
      <c r="H203" s="107"/>
      <c r="I203" s="107"/>
      <c r="J203" s="107"/>
      <c r="K203" s="107"/>
      <c r="L203" s="107"/>
      <c r="M203" s="107"/>
      <c r="N203" s="107"/>
      <c r="O203" s="107"/>
      <c r="P203" s="107"/>
      <c r="Q203" s="107"/>
      <c r="R203" s="107"/>
      <c r="S203" s="107"/>
      <c r="T203" s="107"/>
      <c r="U203" s="107"/>
      <c r="V203" s="107"/>
      <c r="W203" s="107"/>
      <c r="X203" s="107"/>
      <c r="Y203" s="107"/>
      <c r="Z203" s="107"/>
      <c r="AA203" s="167">
        <v>43994</v>
      </c>
      <c r="AB203" s="109">
        <f>_xlfn.DAYS(AA203,B203)</f>
        <v>22</v>
      </c>
      <c r="AG203" s="10">
        <v>100</v>
      </c>
      <c r="AH203" s="107"/>
    </row>
    <row r="204" spans="1:47" ht="12.75" hidden="1">
      <c r="A204" s="10" t="s">
        <v>476</v>
      </c>
      <c r="B204" s="229">
        <v>43977</v>
      </c>
      <c r="C204" s="10">
        <v>10000</v>
      </c>
      <c r="D204" s="10">
        <v>3.5</v>
      </c>
      <c r="E204" s="10"/>
      <c r="F204" s="107" t="s">
        <v>323</v>
      </c>
      <c r="G204" s="107"/>
      <c r="H204" s="107"/>
      <c r="I204" s="107"/>
      <c r="J204" s="107"/>
      <c r="K204" s="107"/>
      <c r="L204" s="107"/>
      <c r="M204" s="107"/>
      <c r="N204" s="107"/>
      <c r="O204" s="107"/>
      <c r="P204" s="107"/>
      <c r="Q204" s="107"/>
      <c r="R204" s="107"/>
      <c r="S204" s="107"/>
      <c r="T204" s="107"/>
      <c r="U204" s="107"/>
      <c r="V204" s="107"/>
      <c r="W204" s="107"/>
      <c r="X204" s="107"/>
      <c r="Y204" s="107"/>
      <c r="Z204" s="107"/>
      <c r="AA204" s="167">
        <v>43994</v>
      </c>
      <c r="AB204" s="109">
        <f>_xlfn.DAYS(AA204,B204)</f>
        <v>17</v>
      </c>
      <c r="AG204" s="10">
        <v>100</v>
      </c>
      <c r="AH204" s="107"/>
    </row>
    <row r="205" spans="1:47" ht="12.75" hidden="1">
      <c r="A205" s="10" t="s">
        <v>477</v>
      </c>
      <c r="B205" s="229">
        <v>43966</v>
      </c>
      <c r="C205" s="10">
        <v>10000</v>
      </c>
      <c r="D205" s="10">
        <v>6</v>
      </c>
      <c r="E205" s="10"/>
      <c r="F205" s="107" t="s">
        <v>323</v>
      </c>
      <c r="G205" s="107"/>
      <c r="H205" s="107"/>
      <c r="I205" s="107"/>
      <c r="J205" s="107"/>
      <c r="K205" s="107"/>
      <c r="L205" s="107"/>
      <c r="M205" s="107"/>
      <c r="N205" s="107"/>
      <c r="O205" s="107"/>
      <c r="P205" s="107"/>
      <c r="Q205" s="107"/>
      <c r="R205" s="107"/>
      <c r="S205" s="107"/>
      <c r="T205" s="107"/>
      <c r="U205" s="107"/>
      <c r="V205" s="107"/>
      <c r="W205" s="107"/>
      <c r="X205" s="107"/>
      <c r="Y205" s="107"/>
      <c r="Z205" s="107"/>
      <c r="AA205" s="167">
        <v>43994</v>
      </c>
      <c r="AB205" s="109">
        <f>_xlfn.DAYS(AA205,B205)</f>
        <v>28</v>
      </c>
      <c r="AG205" s="10">
        <v>100</v>
      </c>
      <c r="AH205" s="107"/>
    </row>
    <row r="206" spans="1:47" ht="12.75" hidden="1">
      <c r="A206" s="110" t="s">
        <v>478</v>
      </c>
      <c r="B206" s="229">
        <v>43977</v>
      </c>
      <c r="C206" s="10">
        <v>10000</v>
      </c>
      <c r="D206" s="110">
        <v>4</v>
      </c>
      <c r="E206" s="110"/>
      <c r="F206" s="107" t="s">
        <v>323</v>
      </c>
      <c r="G206" s="107"/>
      <c r="H206" s="107"/>
      <c r="I206" s="107"/>
      <c r="J206" s="107"/>
      <c r="K206" s="107"/>
      <c r="L206" s="107"/>
      <c r="M206" s="107"/>
      <c r="N206" s="107"/>
      <c r="O206" s="107"/>
      <c r="P206" s="107"/>
      <c r="Q206" s="107"/>
      <c r="R206" s="107"/>
      <c r="S206" s="107"/>
      <c r="T206" s="107"/>
      <c r="U206" s="107"/>
      <c r="V206" s="107"/>
      <c r="W206" s="107"/>
      <c r="X206" s="107"/>
      <c r="Y206" s="107"/>
      <c r="Z206" s="107"/>
      <c r="AA206" s="167">
        <v>43994</v>
      </c>
      <c r="AB206" s="109">
        <f>_xlfn.DAYS(AA206,B206)</f>
        <v>17</v>
      </c>
      <c r="AG206" s="10">
        <v>100</v>
      </c>
      <c r="AH206" s="107"/>
    </row>
    <row r="207" spans="1:47" ht="12.75" hidden="1">
      <c r="A207" s="10" t="s">
        <v>479</v>
      </c>
      <c r="B207" s="229">
        <v>43983</v>
      </c>
      <c r="C207" s="10">
        <v>10000</v>
      </c>
      <c r="D207" s="10">
        <v>2</v>
      </c>
      <c r="E207" s="10"/>
      <c r="F207" s="107" t="s">
        <v>323</v>
      </c>
      <c r="G207" s="107"/>
      <c r="H207" s="107"/>
      <c r="I207" s="107"/>
      <c r="J207" s="107"/>
      <c r="K207" s="107"/>
      <c r="L207" s="107"/>
      <c r="M207" s="107"/>
      <c r="N207" s="107"/>
      <c r="O207" s="107"/>
      <c r="P207" s="107"/>
      <c r="Q207" s="107"/>
      <c r="R207" s="107"/>
      <c r="S207" s="107"/>
      <c r="T207" s="107"/>
      <c r="U207" s="107"/>
      <c r="V207" s="107"/>
      <c r="W207" s="107"/>
      <c r="X207" s="107"/>
      <c r="Y207" s="107"/>
      <c r="Z207" s="107"/>
      <c r="AA207" s="167">
        <v>43994</v>
      </c>
      <c r="AB207" s="109">
        <f>_xlfn.DAYS(AA207,B207)</f>
        <v>11</v>
      </c>
      <c r="AG207" s="10">
        <v>100</v>
      </c>
      <c r="AH207" s="107"/>
    </row>
    <row r="208" spans="1:47" ht="12.75" hidden="1">
      <c r="A208" s="10" t="s">
        <v>480</v>
      </c>
      <c r="B208" s="229">
        <v>43983</v>
      </c>
      <c r="C208" s="10">
        <v>10000</v>
      </c>
      <c r="D208" s="10">
        <v>2</v>
      </c>
      <c r="E208" s="10"/>
      <c r="F208" s="107" t="s">
        <v>323</v>
      </c>
      <c r="G208" s="107"/>
      <c r="H208" s="107"/>
      <c r="I208" s="107"/>
      <c r="J208" s="107"/>
      <c r="K208" s="107"/>
      <c r="L208" s="107"/>
      <c r="M208" s="107"/>
      <c r="N208" s="107"/>
      <c r="O208" s="107"/>
      <c r="P208" s="107"/>
      <c r="Q208" s="107"/>
      <c r="R208" s="107"/>
      <c r="S208" s="107"/>
      <c r="T208" s="107"/>
      <c r="U208" s="107"/>
      <c r="V208" s="107"/>
      <c r="W208" s="107"/>
      <c r="X208" s="107"/>
      <c r="Y208" s="107"/>
      <c r="Z208" s="107"/>
      <c r="AA208" s="167">
        <v>43994</v>
      </c>
      <c r="AB208" s="109">
        <f>_xlfn.DAYS(AA208,B208)</f>
        <v>11</v>
      </c>
      <c r="AG208" s="10">
        <v>100</v>
      </c>
      <c r="AH208" s="107"/>
    </row>
    <row r="209" spans="1:47" ht="17.25" hidden="1" customHeight="1">
      <c r="A209" s="110" t="s">
        <v>481</v>
      </c>
      <c r="B209" s="229">
        <v>43969</v>
      </c>
      <c r="C209" s="10">
        <v>10000</v>
      </c>
      <c r="D209" s="10">
        <v>5</v>
      </c>
      <c r="E209" s="10"/>
      <c r="F209" s="107" t="s">
        <v>323</v>
      </c>
      <c r="G209" s="107"/>
      <c r="H209" s="107"/>
      <c r="I209" s="107"/>
      <c r="J209" s="107"/>
      <c r="K209" s="107"/>
      <c r="L209" s="107"/>
      <c r="M209" s="107"/>
      <c r="N209" s="107"/>
      <c r="O209" s="107"/>
      <c r="P209" s="107"/>
      <c r="Q209" s="107"/>
      <c r="R209" s="107"/>
      <c r="S209" s="107"/>
      <c r="T209" s="107"/>
      <c r="U209" s="107"/>
      <c r="V209" s="107"/>
      <c r="W209" s="107"/>
      <c r="X209" s="107"/>
      <c r="Y209" s="107"/>
      <c r="Z209" s="107"/>
      <c r="AA209" s="167">
        <v>43994</v>
      </c>
      <c r="AB209" s="109">
        <f>_xlfn.DAYS(AA209,B209)</f>
        <v>25</v>
      </c>
      <c r="AC209" s="110"/>
      <c r="AD209" s="110"/>
      <c r="AE209" s="110"/>
      <c r="AF209" s="110"/>
      <c r="AG209" s="10">
        <v>100</v>
      </c>
      <c r="AH209" s="107"/>
      <c r="AJ209" s="110"/>
      <c r="AK209" s="110"/>
      <c r="AL209" s="110"/>
      <c r="AM209" s="110"/>
      <c r="AN209" s="110"/>
      <c r="AO209" s="110"/>
      <c r="AP209" s="110"/>
      <c r="AQ209" s="110"/>
      <c r="AR209" s="110"/>
      <c r="AS209" s="110"/>
      <c r="AT209" s="110"/>
      <c r="AU209" s="110"/>
    </row>
    <row r="210" spans="1:47" ht="17.25" hidden="1" customHeight="1">
      <c r="A210" s="110" t="s">
        <v>482</v>
      </c>
      <c r="B210" s="229">
        <v>43969</v>
      </c>
      <c r="C210" s="10">
        <v>10000</v>
      </c>
      <c r="D210" s="10">
        <v>5</v>
      </c>
      <c r="E210" s="10"/>
      <c r="F210" s="107" t="s">
        <v>323</v>
      </c>
      <c r="G210" s="107"/>
      <c r="H210" s="107"/>
      <c r="I210" s="107"/>
      <c r="J210" s="107"/>
      <c r="K210" s="107"/>
      <c r="L210" s="107"/>
      <c r="M210" s="107"/>
      <c r="N210" s="107"/>
      <c r="O210" s="107"/>
      <c r="P210" s="107"/>
      <c r="Q210" s="107"/>
      <c r="R210" s="107"/>
      <c r="S210" s="107"/>
      <c r="T210" s="107"/>
      <c r="U210" s="107"/>
      <c r="V210" s="107"/>
      <c r="W210" s="107"/>
      <c r="X210" s="107"/>
      <c r="Y210" s="107"/>
      <c r="Z210" s="107"/>
      <c r="AA210" s="167">
        <v>43994</v>
      </c>
      <c r="AB210" s="109">
        <f>_xlfn.DAYS(AA210,B210)</f>
        <v>25</v>
      </c>
      <c r="AC210" s="110"/>
      <c r="AD210" s="110"/>
      <c r="AE210" s="110"/>
      <c r="AF210" s="110"/>
      <c r="AG210" s="10">
        <v>100</v>
      </c>
      <c r="AH210" s="107"/>
      <c r="AJ210" s="110"/>
      <c r="AK210" s="110"/>
      <c r="AL210" s="110"/>
      <c r="AM210" s="110"/>
      <c r="AN210" s="110"/>
      <c r="AO210" s="110"/>
      <c r="AP210" s="110"/>
      <c r="AQ210" s="110"/>
      <c r="AR210" s="110"/>
      <c r="AS210" s="110"/>
      <c r="AT210" s="110"/>
      <c r="AU210" s="110"/>
    </row>
    <row r="211" spans="1:47" ht="17.25" hidden="1" customHeight="1">
      <c r="A211" s="10" t="s">
        <v>483</v>
      </c>
      <c r="B211" s="229">
        <v>43972</v>
      </c>
      <c r="C211" s="10">
        <v>10000</v>
      </c>
      <c r="D211" s="10">
        <v>4</v>
      </c>
      <c r="E211" s="10"/>
      <c r="F211" s="107" t="s">
        <v>323</v>
      </c>
      <c r="G211" s="107"/>
      <c r="H211" s="107"/>
      <c r="I211" s="107"/>
      <c r="J211" s="107"/>
      <c r="K211" s="107"/>
      <c r="L211" s="107"/>
      <c r="M211" s="107"/>
      <c r="N211" s="107"/>
      <c r="O211" s="107"/>
      <c r="P211" s="107"/>
      <c r="Q211" s="107"/>
      <c r="R211" s="107"/>
      <c r="S211" s="107"/>
      <c r="T211" s="107"/>
      <c r="U211" s="107"/>
      <c r="V211" s="107"/>
      <c r="W211" s="107"/>
      <c r="X211" s="107"/>
      <c r="Y211" s="107"/>
      <c r="Z211" s="107"/>
      <c r="AA211" s="167">
        <v>43994</v>
      </c>
      <c r="AB211" s="109">
        <f>_xlfn.DAYS(AA211,B211)</f>
        <v>22</v>
      </c>
      <c r="AC211" s="110"/>
      <c r="AD211" s="110"/>
      <c r="AE211" s="110"/>
      <c r="AF211" s="110"/>
      <c r="AG211" s="10">
        <v>66.599999999999994</v>
      </c>
      <c r="AH211" s="107"/>
      <c r="AP211" s="110"/>
      <c r="AQ211" s="110"/>
      <c r="AR211" s="110"/>
      <c r="AS211" s="110"/>
      <c r="AT211" s="110"/>
      <c r="AU211" s="110"/>
    </row>
    <row r="212" spans="1:47" ht="17.25" hidden="1" customHeight="1">
      <c r="A212" s="110" t="s">
        <v>484</v>
      </c>
      <c r="B212" s="229">
        <v>43969</v>
      </c>
      <c r="C212" s="10">
        <v>10000</v>
      </c>
      <c r="D212" s="10">
        <v>5.5</v>
      </c>
      <c r="E212" s="10"/>
      <c r="F212" s="107" t="s">
        <v>323</v>
      </c>
      <c r="G212" s="107"/>
      <c r="H212" s="107"/>
      <c r="I212" s="107"/>
      <c r="J212" s="107"/>
      <c r="K212" s="107"/>
      <c r="L212" s="107"/>
      <c r="M212" s="107"/>
      <c r="N212" s="107"/>
      <c r="O212" s="107"/>
      <c r="P212" s="107"/>
      <c r="Q212" s="107"/>
      <c r="R212" s="107"/>
      <c r="S212" s="107"/>
      <c r="T212" s="107"/>
      <c r="U212" s="107"/>
      <c r="V212" s="107"/>
      <c r="W212" s="107"/>
      <c r="X212" s="107"/>
      <c r="Y212" s="107"/>
      <c r="Z212" s="107"/>
      <c r="AA212" s="167">
        <v>43997</v>
      </c>
      <c r="AB212" s="109">
        <f>_xlfn.DAYS(AA212,B212)</f>
        <v>28</v>
      </c>
      <c r="AC212" s="110"/>
      <c r="AD212" s="110"/>
      <c r="AE212" s="110"/>
      <c r="AF212" s="110"/>
      <c r="AG212" s="10">
        <v>100</v>
      </c>
      <c r="AH212" s="107"/>
      <c r="AJ212" s="110"/>
      <c r="AK212" s="110"/>
      <c r="AL212" s="110"/>
      <c r="AM212" s="110"/>
      <c r="AN212" s="110"/>
      <c r="AO212" s="110"/>
    </row>
    <row r="213" spans="1:47" ht="17.25" hidden="1" customHeight="1">
      <c r="A213" s="10" t="s">
        <v>485</v>
      </c>
      <c r="B213" s="229">
        <v>43972</v>
      </c>
      <c r="C213" s="10">
        <v>10000</v>
      </c>
      <c r="D213" s="10">
        <v>4</v>
      </c>
      <c r="E213" s="10"/>
      <c r="F213" s="107" t="s">
        <v>323</v>
      </c>
      <c r="G213" s="107"/>
      <c r="H213" s="107"/>
      <c r="I213" s="107"/>
      <c r="J213" s="107"/>
      <c r="K213" s="107"/>
      <c r="L213" s="107"/>
      <c r="M213" s="107"/>
      <c r="N213" s="107"/>
      <c r="O213" s="107"/>
      <c r="P213" s="107"/>
      <c r="Q213" s="107"/>
      <c r="R213" s="107"/>
      <c r="S213" s="107"/>
      <c r="T213" s="107"/>
      <c r="U213" s="107"/>
      <c r="V213" s="107"/>
      <c r="W213" s="107"/>
      <c r="X213" s="107"/>
      <c r="Y213" s="107"/>
      <c r="Z213" s="107"/>
      <c r="AA213" s="167">
        <v>43997</v>
      </c>
      <c r="AB213" s="109">
        <f>_xlfn.DAYS(AA213,B213)</f>
        <v>25</v>
      </c>
      <c r="AG213" s="10">
        <v>100</v>
      </c>
      <c r="AH213" s="107"/>
    </row>
    <row r="214" spans="1:47" ht="17.25" hidden="1" customHeight="1">
      <c r="A214" s="10" t="s">
        <v>486</v>
      </c>
      <c r="B214" s="229">
        <v>43972</v>
      </c>
      <c r="C214" s="10">
        <v>10000</v>
      </c>
      <c r="D214" s="10">
        <v>4</v>
      </c>
      <c r="E214" s="10"/>
      <c r="F214" s="107" t="s">
        <v>323</v>
      </c>
      <c r="G214" s="107"/>
      <c r="H214" s="107"/>
      <c r="I214" s="107"/>
      <c r="J214" s="107"/>
      <c r="K214" s="107"/>
      <c r="L214" s="107"/>
      <c r="M214" s="107"/>
      <c r="N214" s="107"/>
      <c r="O214" s="107"/>
      <c r="P214" s="107"/>
      <c r="Q214" s="107"/>
      <c r="R214" s="107"/>
      <c r="S214" s="107"/>
      <c r="T214" s="107"/>
      <c r="U214" s="107"/>
      <c r="V214" s="107"/>
      <c r="W214" s="107"/>
      <c r="X214" s="107"/>
      <c r="Y214" s="107"/>
      <c r="Z214" s="107"/>
      <c r="AA214" s="167">
        <v>43997</v>
      </c>
      <c r="AB214" s="109">
        <f>_xlfn.DAYS(AA214,B214)</f>
        <v>25</v>
      </c>
      <c r="AG214" s="10">
        <v>100</v>
      </c>
      <c r="AH214" s="107"/>
    </row>
    <row r="215" spans="1:47" ht="17.25" hidden="1" customHeight="1">
      <c r="A215" s="10" t="s">
        <v>487</v>
      </c>
      <c r="B215" s="229">
        <v>43972</v>
      </c>
      <c r="C215" s="10">
        <v>10000</v>
      </c>
      <c r="D215" s="10">
        <v>3.5</v>
      </c>
      <c r="E215" s="10"/>
      <c r="F215" s="107" t="s">
        <v>323</v>
      </c>
      <c r="G215" s="107"/>
      <c r="H215" s="107"/>
      <c r="I215" s="107"/>
      <c r="J215" s="107"/>
      <c r="K215" s="107"/>
      <c r="L215" s="107"/>
      <c r="M215" s="107"/>
      <c r="N215" s="107"/>
      <c r="O215" s="107"/>
      <c r="P215" s="107"/>
      <c r="Q215" s="107"/>
      <c r="R215" s="107"/>
      <c r="S215" s="107"/>
      <c r="T215" s="107"/>
      <c r="U215" s="107"/>
      <c r="V215" s="107"/>
      <c r="W215" s="107"/>
      <c r="X215" s="107"/>
      <c r="Y215" s="107"/>
      <c r="Z215" s="107"/>
      <c r="AA215" s="167">
        <v>43997</v>
      </c>
      <c r="AB215" s="109">
        <f>_xlfn.DAYS(AA215,B215)</f>
        <v>25</v>
      </c>
      <c r="AG215" s="10">
        <v>100</v>
      </c>
      <c r="AH215" s="107"/>
    </row>
    <row r="216" spans="1:47" ht="17.25" hidden="1" customHeight="1">
      <c r="A216" s="10" t="s">
        <v>488</v>
      </c>
      <c r="B216" s="229">
        <v>43972</v>
      </c>
      <c r="C216" s="10">
        <v>10000</v>
      </c>
      <c r="D216" s="10">
        <v>4</v>
      </c>
      <c r="E216" s="10"/>
      <c r="F216" s="107" t="s">
        <v>323</v>
      </c>
      <c r="G216" s="107"/>
      <c r="H216" s="107"/>
      <c r="I216" s="107"/>
      <c r="J216" s="107"/>
      <c r="K216" s="107"/>
      <c r="L216" s="107"/>
      <c r="M216" s="107"/>
      <c r="N216" s="107"/>
      <c r="O216" s="107"/>
      <c r="P216" s="107"/>
      <c r="Q216" s="107"/>
      <c r="R216" s="107"/>
      <c r="S216" s="107"/>
      <c r="T216" s="107"/>
      <c r="U216" s="107"/>
      <c r="V216" s="107"/>
      <c r="W216" s="107"/>
      <c r="X216" s="107"/>
      <c r="Y216" s="107"/>
      <c r="Z216" s="107"/>
      <c r="AA216" s="167">
        <v>43997</v>
      </c>
      <c r="AB216" s="109">
        <f>_xlfn.DAYS(AA216,B216)</f>
        <v>25</v>
      </c>
      <c r="AG216" s="10">
        <v>100</v>
      </c>
      <c r="AH216" s="107"/>
    </row>
    <row r="217" spans="1:47" ht="17.25" hidden="1" customHeight="1">
      <c r="A217" s="10" t="s">
        <v>489</v>
      </c>
      <c r="B217" s="229">
        <v>43977</v>
      </c>
      <c r="C217" s="10">
        <v>10000</v>
      </c>
      <c r="D217" s="10">
        <v>4</v>
      </c>
      <c r="E217" s="10"/>
      <c r="F217" s="107" t="s">
        <v>323</v>
      </c>
      <c r="G217" s="107"/>
      <c r="H217" s="107"/>
      <c r="I217" s="107"/>
      <c r="J217" s="107"/>
      <c r="K217" s="107"/>
      <c r="L217" s="107"/>
      <c r="M217" s="107"/>
      <c r="N217" s="107"/>
      <c r="O217" s="107"/>
      <c r="P217" s="107"/>
      <c r="Q217" s="107"/>
      <c r="R217" s="107"/>
      <c r="S217" s="107"/>
      <c r="T217" s="107"/>
      <c r="U217" s="107"/>
      <c r="V217" s="107"/>
      <c r="W217" s="107"/>
      <c r="X217" s="107"/>
      <c r="Y217" s="107"/>
      <c r="Z217" s="107"/>
      <c r="AA217" s="167">
        <v>43997</v>
      </c>
      <c r="AB217" s="109">
        <f>_xlfn.DAYS(AA217,B217)</f>
        <v>20</v>
      </c>
      <c r="AG217" s="10">
        <v>100</v>
      </c>
      <c r="AH217" s="107"/>
      <c r="AJ217" s="110"/>
      <c r="AK217" s="110"/>
      <c r="AL217" s="110"/>
      <c r="AM217" s="110"/>
      <c r="AN217" s="110"/>
      <c r="AO217" s="110"/>
    </row>
    <row r="218" spans="1:47" ht="17.25" hidden="1" customHeight="1">
      <c r="A218" s="110" t="s">
        <v>490</v>
      </c>
      <c r="B218" s="229">
        <v>43993</v>
      </c>
      <c r="C218" s="10">
        <v>10000</v>
      </c>
      <c r="D218" s="110">
        <v>1.5</v>
      </c>
      <c r="E218" s="110"/>
      <c r="F218" s="107" t="s">
        <v>323</v>
      </c>
      <c r="G218" s="107"/>
      <c r="H218" s="107"/>
      <c r="I218" s="107"/>
      <c r="J218" s="107"/>
      <c r="K218" s="107"/>
      <c r="L218" s="107"/>
      <c r="M218" s="107"/>
      <c r="N218" s="107"/>
      <c r="O218" s="107"/>
      <c r="P218" s="107"/>
      <c r="Q218" s="107"/>
      <c r="R218" s="107"/>
      <c r="S218" s="107"/>
      <c r="T218" s="107"/>
      <c r="U218" s="107"/>
      <c r="V218" s="107"/>
      <c r="W218" s="107"/>
      <c r="X218" s="107"/>
      <c r="Y218" s="107"/>
      <c r="Z218" s="107"/>
      <c r="AA218" s="167">
        <v>43998</v>
      </c>
      <c r="AB218" s="109">
        <f>_xlfn.DAYS(AA218,B218)</f>
        <v>5</v>
      </c>
      <c r="AG218" s="110">
        <v>100</v>
      </c>
      <c r="AH218" s="107"/>
      <c r="AP218" s="110"/>
      <c r="AQ218" s="110"/>
      <c r="AR218" s="110"/>
      <c r="AS218" s="110"/>
      <c r="AT218" s="110"/>
      <c r="AU218" s="110"/>
    </row>
    <row r="219" spans="1:47" ht="17.25" hidden="1" customHeight="1">
      <c r="A219" s="110" t="s">
        <v>491</v>
      </c>
      <c r="B219" s="229">
        <v>43993</v>
      </c>
      <c r="C219" s="10">
        <v>10000</v>
      </c>
      <c r="D219" s="110">
        <v>1.5</v>
      </c>
      <c r="E219" s="110"/>
      <c r="F219" s="107" t="s">
        <v>323</v>
      </c>
      <c r="G219" s="107"/>
      <c r="H219" s="107"/>
      <c r="I219" s="107"/>
      <c r="J219" s="107"/>
      <c r="K219" s="107"/>
      <c r="L219" s="107"/>
      <c r="M219" s="107"/>
      <c r="N219" s="107"/>
      <c r="O219" s="107"/>
      <c r="P219" s="107"/>
      <c r="Q219" s="107"/>
      <c r="R219" s="107"/>
      <c r="S219" s="107"/>
      <c r="T219" s="107"/>
      <c r="U219" s="107"/>
      <c r="V219" s="107"/>
      <c r="W219" s="107"/>
      <c r="X219" s="107"/>
      <c r="Y219" s="107"/>
      <c r="Z219" s="107"/>
      <c r="AA219" s="167">
        <v>43998</v>
      </c>
      <c r="AB219" s="109">
        <f>_xlfn.DAYS(AA219,B219)</f>
        <v>5</v>
      </c>
      <c r="AG219" s="110">
        <v>100</v>
      </c>
      <c r="AH219" s="107"/>
      <c r="AP219" s="110"/>
      <c r="AQ219" s="110"/>
      <c r="AR219" s="110"/>
      <c r="AS219" s="110"/>
      <c r="AT219" s="110"/>
      <c r="AU219" s="110"/>
    </row>
    <row r="220" spans="1:47" ht="17.25" hidden="1" customHeight="1">
      <c r="A220" s="110" t="s">
        <v>492</v>
      </c>
      <c r="B220" s="229">
        <v>43993</v>
      </c>
      <c r="C220" s="10">
        <v>10000</v>
      </c>
      <c r="D220" s="110">
        <v>1.5</v>
      </c>
      <c r="E220" s="110"/>
      <c r="F220" s="107" t="s">
        <v>323</v>
      </c>
      <c r="G220" s="107"/>
      <c r="H220" s="107"/>
      <c r="I220" s="107"/>
      <c r="J220" s="107"/>
      <c r="K220" s="107"/>
      <c r="L220" s="107"/>
      <c r="M220" s="107"/>
      <c r="N220" s="107"/>
      <c r="O220" s="107"/>
      <c r="P220" s="107"/>
      <c r="Q220" s="107"/>
      <c r="R220" s="107"/>
      <c r="S220" s="107"/>
      <c r="T220" s="107"/>
      <c r="U220" s="107"/>
      <c r="V220" s="107"/>
      <c r="W220" s="107"/>
      <c r="X220" s="107"/>
      <c r="Y220" s="107"/>
      <c r="Z220" s="107"/>
      <c r="AA220" s="167">
        <v>43998</v>
      </c>
      <c r="AB220" s="109">
        <f>_xlfn.DAYS(AA220,B220)</f>
        <v>5</v>
      </c>
      <c r="AG220" s="110">
        <v>100</v>
      </c>
      <c r="AH220" s="107"/>
    </row>
    <row r="221" spans="1:47" ht="17.25" hidden="1" customHeight="1">
      <c r="A221" s="110" t="s">
        <v>493</v>
      </c>
      <c r="B221" s="229">
        <v>43993</v>
      </c>
      <c r="C221" s="10">
        <v>10000</v>
      </c>
      <c r="D221" s="110">
        <v>1.5</v>
      </c>
      <c r="E221" s="110"/>
      <c r="F221" s="107" t="s">
        <v>323</v>
      </c>
      <c r="G221" s="107"/>
      <c r="H221" s="107"/>
      <c r="I221" s="107"/>
      <c r="J221" s="107"/>
      <c r="K221" s="107"/>
      <c r="L221" s="107"/>
      <c r="M221" s="107"/>
      <c r="N221" s="107"/>
      <c r="O221" s="107"/>
      <c r="P221" s="107"/>
      <c r="Q221" s="107"/>
      <c r="R221" s="107"/>
      <c r="S221" s="107"/>
      <c r="T221" s="107"/>
      <c r="U221" s="107"/>
      <c r="V221" s="107"/>
      <c r="W221" s="107"/>
      <c r="X221" s="107"/>
      <c r="Y221" s="107"/>
      <c r="Z221" s="107"/>
      <c r="AA221" s="167">
        <v>43998</v>
      </c>
      <c r="AB221" s="109">
        <f>_xlfn.DAYS(AA221,B221)</f>
        <v>5</v>
      </c>
      <c r="AG221" s="110">
        <v>100</v>
      </c>
      <c r="AH221" s="107"/>
      <c r="AP221" s="110"/>
      <c r="AQ221" s="110"/>
      <c r="AR221" s="110"/>
      <c r="AS221" s="110"/>
      <c r="AT221" s="110"/>
      <c r="AU221" s="110"/>
    </row>
    <row r="222" spans="1:47" ht="17.25" hidden="1" customHeight="1">
      <c r="A222" s="110" t="s">
        <v>494</v>
      </c>
      <c r="B222" s="229">
        <v>43993</v>
      </c>
      <c r="C222" s="10">
        <v>10000</v>
      </c>
      <c r="D222" s="110">
        <v>1.5</v>
      </c>
      <c r="E222" s="110"/>
      <c r="F222" s="107" t="s">
        <v>323</v>
      </c>
      <c r="G222" s="107"/>
      <c r="H222" s="107"/>
      <c r="I222" s="107"/>
      <c r="J222" s="107"/>
      <c r="K222" s="107"/>
      <c r="L222" s="107"/>
      <c r="M222" s="107"/>
      <c r="N222" s="107"/>
      <c r="O222" s="107"/>
      <c r="P222" s="107"/>
      <c r="Q222" s="107"/>
      <c r="R222" s="107"/>
      <c r="S222" s="107"/>
      <c r="T222" s="107"/>
      <c r="U222" s="107"/>
      <c r="V222" s="107"/>
      <c r="W222" s="107"/>
      <c r="X222" s="107"/>
      <c r="Y222" s="107"/>
      <c r="Z222" s="107"/>
      <c r="AA222" s="167">
        <v>43998</v>
      </c>
      <c r="AB222" s="109">
        <f>_xlfn.DAYS(AA222,B222)</f>
        <v>5</v>
      </c>
      <c r="AG222" s="110">
        <v>100</v>
      </c>
      <c r="AH222" s="107"/>
      <c r="AP222" s="110"/>
      <c r="AQ222" s="110"/>
      <c r="AR222" s="110"/>
      <c r="AS222" s="110"/>
      <c r="AT222" s="110"/>
      <c r="AU222" s="110"/>
    </row>
    <row r="223" spans="1:47" ht="12.75" hidden="1">
      <c r="A223" s="110" t="s">
        <v>495</v>
      </c>
      <c r="B223" s="229">
        <v>43993</v>
      </c>
      <c r="C223" s="10">
        <v>10000</v>
      </c>
      <c r="D223" s="110">
        <v>1.5</v>
      </c>
      <c r="E223" s="110"/>
      <c r="F223" s="107" t="s">
        <v>323</v>
      </c>
      <c r="G223" s="107"/>
      <c r="H223" s="107"/>
      <c r="I223" s="107"/>
      <c r="J223" s="107"/>
      <c r="K223" s="107"/>
      <c r="L223" s="107"/>
      <c r="M223" s="107"/>
      <c r="N223" s="107"/>
      <c r="O223" s="107"/>
      <c r="P223" s="107"/>
      <c r="Q223" s="107"/>
      <c r="R223" s="107"/>
      <c r="S223" s="107"/>
      <c r="T223" s="107"/>
      <c r="U223" s="107"/>
      <c r="V223" s="107"/>
      <c r="W223" s="107"/>
      <c r="X223" s="107"/>
      <c r="Y223" s="107"/>
      <c r="Z223" s="107"/>
      <c r="AA223" s="167">
        <v>43998</v>
      </c>
      <c r="AB223" s="109">
        <f>_xlfn.DAYS(AA223,B223)</f>
        <v>5</v>
      </c>
      <c r="AG223" s="110">
        <v>100</v>
      </c>
      <c r="AH223" s="107"/>
    </row>
    <row r="224" spans="1:47" ht="12.75" hidden="1">
      <c r="A224" s="110" t="s">
        <v>496</v>
      </c>
      <c r="B224" s="229">
        <v>43993</v>
      </c>
      <c r="C224" s="10">
        <v>10000</v>
      </c>
      <c r="D224" s="110">
        <v>1.5</v>
      </c>
      <c r="E224" s="110"/>
      <c r="F224" s="107" t="s">
        <v>323</v>
      </c>
      <c r="G224" s="107"/>
      <c r="H224" s="107"/>
      <c r="I224" s="107"/>
      <c r="J224" s="107"/>
      <c r="K224" s="107"/>
      <c r="L224" s="107"/>
      <c r="M224" s="107"/>
      <c r="N224" s="107"/>
      <c r="O224" s="107"/>
      <c r="P224" s="107"/>
      <c r="Q224" s="107"/>
      <c r="R224" s="107"/>
      <c r="S224" s="107"/>
      <c r="T224" s="107"/>
      <c r="U224" s="107"/>
      <c r="V224" s="107"/>
      <c r="W224" s="107"/>
      <c r="X224" s="107"/>
      <c r="Y224" s="107"/>
      <c r="Z224" s="107"/>
      <c r="AA224" s="167">
        <v>43998</v>
      </c>
      <c r="AB224" s="109">
        <f>_xlfn.DAYS(AA224,B224)</f>
        <v>5</v>
      </c>
      <c r="AG224" s="110">
        <v>100</v>
      </c>
      <c r="AH224" s="107"/>
    </row>
    <row r="225" spans="1:47" ht="12.75" hidden="1">
      <c r="A225" s="110" t="s">
        <v>497</v>
      </c>
      <c r="B225" s="229">
        <v>43993</v>
      </c>
      <c r="C225" s="10">
        <v>10000</v>
      </c>
      <c r="D225" s="110">
        <v>1.5</v>
      </c>
      <c r="E225" s="110"/>
      <c r="F225" s="107" t="s">
        <v>323</v>
      </c>
      <c r="G225" s="107"/>
      <c r="H225" s="107"/>
      <c r="I225" s="107"/>
      <c r="J225" s="107"/>
      <c r="K225" s="107"/>
      <c r="L225" s="107"/>
      <c r="M225" s="107"/>
      <c r="N225" s="107"/>
      <c r="O225" s="107"/>
      <c r="P225" s="107"/>
      <c r="Q225" s="107"/>
      <c r="R225" s="107"/>
      <c r="S225" s="107"/>
      <c r="T225" s="107"/>
      <c r="U225" s="107"/>
      <c r="V225" s="107"/>
      <c r="W225" s="107"/>
      <c r="X225" s="107"/>
      <c r="Y225" s="107"/>
      <c r="Z225" s="107"/>
      <c r="AA225" s="167">
        <v>43998</v>
      </c>
      <c r="AB225" s="109">
        <f>_xlfn.DAYS(AA225,B225)</f>
        <v>5</v>
      </c>
      <c r="AG225" s="110">
        <v>100</v>
      </c>
      <c r="AH225" s="107"/>
    </row>
    <row r="226" spans="1:47" ht="12.75" hidden="1">
      <c r="A226" s="110" t="s">
        <v>498</v>
      </c>
      <c r="B226" s="229">
        <v>43993</v>
      </c>
      <c r="C226" s="10">
        <v>10000</v>
      </c>
      <c r="D226" s="110">
        <v>1.5</v>
      </c>
      <c r="E226" s="110"/>
      <c r="F226" s="107" t="s">
        <v>323</v>
      </c>
      <c r="G226" s="107"/>
      <c r="H226" s="107"/>
      <c r="I226" s="107"/>
      <c r="J226" s="107"/>
      <c r="K226" s="107"/>
      <c r="L226" s="107"/>
      <c r="M226" s="107"/>
      <c r="N226" s="107"/>
      <c r="O226" s="107"/>
      <c r="P226" s="107"/>
      <c r="Q226" s="107"/>
      <c r="R226" s="107"/>
      <c r="S226" s="107"/>
      <c r="T226" s="107"/>
      <c r="U226" s="107"/>
      <c r="V226" s="107"/>
      <c r="W226" s="107"/>
      <c r="X226" s="107"/>
      <c r="Y226" s="107"/>
      <c r="Z226" s="107"/>
      <c r="AA226" s="167">
        <v>43998</v>
      </c>
      <c r="AB226" s="109">
        <f>_xlfn.DAYS(AA226,B226)</f>
        <v>5</v>
      </c>
      <c r="AG226" s="110">
        <v>100</v>
      </c>
      <c r="AH226" s="107"/>
    </row>
    <row r="227" spans="1:47" ht="12.75" hidden="1">
      <c r="A227" s="10" t="s">
        <v>499</v>
      </c>
      <c r="B227" s="229">
        <v>43977</v>
      </c>
      <c r="C227" s="10">
        <v>10000</v>
      </c>
      <c r="D227" s="10">
        <v>4.5</v>
      </c>
      <c r="E227" s="10"/>
      <c r="F227" s="107" t="s">
        <v>323</v>
      </c>
      <c r="G227" s="107"/>
      <c r="H227" s="107"/>
      <c r="I227" s="107"/>
      <c r="J227" s="107"/>
      <c r="K227" s="107"/>
      <c r="L227" s="107"/>
      <c r="M227" s="107"/>
      <c r="N227" s="107"/>
      <c r="O227" s="107"/>
      <c r="P227" s="107"/>
      <c r="Q227" s="107"/>
      <c r="R227" s="107"/>
      <c r="S227" s="107"/>
      <c r="T227" s="107"/>
      <c r="U227" s="107"/>
      <c r="V227" s="107"/>
      <c r="W227" s="107"/>
      <c r="X227" s="107"/>
      <c r="Y227" s="107"/>
      <c r="Z227" s="107"/>
      <c r="AA227" s="167">
        <v>44000</v>
      </c>
      <c r="AB227" s="109">
        <f>_xlfn.DAYS(AA227,B227)</f>
        <v>23</v>
      </c>
      <c r="AG227" s="10">
        <v>100</v>
      </c>
      <c r="AH227" s="107"/>
      <c r="AJ227" s="110"/>
      <c r="AK227" s="110"/>
      <c r="AL227" s="110"/>
      <c r="AM227" s="110"/>
      <c r="AN227" s="110"/>
      <c r="AO227" s="110"/>
    </row>
    <row r="228" spans="1:47" ht="12.75" hidden="1">
      <c r="A228" s="10" t="s">
        <v>500</v>
      </c>
      <c r="B228" s="229">
        <v>43987</v>
      </c>
      <c r="C228" s="10">
        <v>10000</v>
      </c>
      <c r="D228" s="10">
        <v>2.5</v>
      </c>
      <c r="E228" s="10"/>
      <c r="F228" s="107" t="s">
        <v>323</v>
      </c>
      <c r="G228" s="107"/>
      <c r="H228" s="107"/>
      <c r="I228" s="107"/>
      <c r="J228" s="107"/>
      <c r="K228" s="107"/>
      <c r="L228" s="107"/>
      <c r="M228" s="107"/>
      <c r="N228" s="107"/>
      <c r="O228" s="107"/>
      <c r="P228" s="107"/>
      <c r="Q228" s="107"/>
      <c r="R228" s="107"/>
      <c r="S228" s="107"/>
      <c r="T228" s="107"/>
      <c r="U228" s="107"/>
      <c r="V228" s="107"/>
      <c r="W228" s="107"/>
      <c r="X228" s="107"/>
      <c r="Y228" s="107"/>
      <c r="Z228" s="107"/>
      <c r="AA228" s="167">
        <v>44000</v>
      </c>
      <c r="AB228" s="109">
        <f>_xlfn.DAYS(AA228,B228)</f>
        <v>13</v>
      </c>
      <c r="AG228" s="10">
        <v>100</v>
      </c>
      <c r="AH228" s="107"/>
    </row>
    <row r="229" spans="1:47" ht="12.75" hidden="1">
      <c r="A229" s="110" t="s">
        <v>501</v>
      </c>
      <c r="B229" s="229">
        <v>43963</v>
      </c>
      <c r="C229" s="110">
        <v>10000</v>
      </c>
      <c r="D229" s="110">
        <v>7</v>
      </c>
      <c r="E229" s="110"/>
      <c r="F229" s="107" t="s">
        <v>323</v>
      </c>
      <c r="G229" s="107"/>
      <c r="H229" s="107"/>
      <c r="I229" s="107"/>
      <c r="J229" s="107"/>
      <c r="K229" s="107"/>
      <c r="L229" s="107"/>
      <c r="M229" s="107"/>
      <c r="N229" s="107"/>
      <c r="O229" s="107"/>
      <c r="P229" s="107"/>
      <c r="Q229" s="107"/>
      <c r="R229" s="107"/>
      <c r="S229" s="107"/>
      <c r="T229" s="107"/>
      <c r="U229" s="107"/>
      <c r="V229" s="107"/>
      <c r="W229" s="107"/>
      <c r="X229" s="107"/>
      <c r="Y229" s="107"/>
      <c r="Z229" s="107"/>
      <c r="AA229" s="167">
        <v>44000</v>
      </c>
      <c r="AB229" s="109">
        <f>_xlfn.DAYS(AA229,B229)</f>
        <v>37</v>
      </c>
      <c r="AC229" s="110"/>
      <c r="AD229" s="110"/>
      <c r="AE229" s="110"/>
      <c r="AF229" s="110"/>
      <c r="AG229" s="110">
        <v>100</v>
      </c>
      <c r="AH229" s="107"/>
      <c r="AJ229" s="110"/>
      <c r="AK229" s="110"/>
      <c r="AL229" s="110"/>
      <c r="AM229" s="110"/>
      <c r="AN229" s="110"/>
      <c r="AO229" s="110"/>
    </row>
    <row r="230" spans="1:47" ht="12.75" hidden="1">
      <c r="A230" s="10" t="s">
        <v>502</v>
      </c>
      <c r="B230" s="229">
        <v>43963</v>
      </c>
      <c r="C230" s="10">
        <v>10000</v>
      </c>
      <c r="D230" s="10">
        <v>6.5</v>
      </c>
      <c r="E230" s="10"/>
      <c r="F230" s="107" t="s">
        <v>323</v>
      </c>
      <c r="G230" s="107"/>
      <c r="H230" s="107"/>
      <c r="I230" s="107"/>
      <c r="J230" s="107"/>
      <c r="K230" s="107"/>
      <c r="L230" s="107"/>
      <c r="M230" s="107"/>
      <c r="N230" s="107"/>
      <c r="O230" s="107"/>
      <c r="P230" s="107"/>
      <c r="Q230" s="107"/>
      <c r="R230" s="107"/>
      <c r="S230" s="107"/>
      <c r="T230" s="107"/>
      <c r="U230" s="107"/>
      <c r="V230" s="107"/>
      <c r="W230" s="107"/>
      <c r="X230" s="107"/>
      <c r="Y230" s="107"/>
      <c r="Z230" s="107"/>
      <c r="AA230" s="167">
        <v>44000</v>
      </c>
      <c r="AB230" s="109">
        <f>_xlfn.DAYS(AA230,B230)</f>
        <v>37</v>
      </c>
      <c r="AG230" s="110">
        <v>100</v>
      </c>
      <c r="AH230" s="107"/>
    </row>
    <row r="231" spans="1:47" ht="12.75" hidden="1">
      <c r="A231" s="10" t="s">
        <v>503</v>
      </c>
      <c r="B231" s="229">
        <v>43972</v>
      </c>
      <c r="C231" s="10">
        <v>10000</v>
      </c>
      <c r="D231" s="10">
        <v>4.5</v>
      </c>
      <c r="E231" s="10"/>
      <c r="F231" s="107" t="s">
        <v>323</v>
      </c>
      <c r="G231" s="107"/>
      <c r="H231" s="107"/>
      <c r="I231" s="107"/>
      <c r="J231" s="107"/>
      <c r="K231" s="107"/>
      <c r="L231" s="107"/>
      <c r="M231" s="107"/>
      <c r="N231" s="107"/>
      <c r="O231" s="107"/>
      <c r="P231" s="107"/>
      <c r="Q231" s="107"/>
      <c r="R231" s="107"/>
      <c r="S231" s="107"/>
      <c r="T231" s="107"/>
      <c r="U231" s="107"/>
      <c r="V231" s="107"/>
      <c r="W231" s="107"/>
      <c r="X231" s="107"/>
      <c r="Y231" s="107"/>
      <c r="Z231" s="107"/>
      <c r="AA231" s="167">
        <v>44000</v>
      </c>
      <c r="AB231" s="109">
        <f>_xlfn.DAYS(AA231,B231)</f>
        <v>28</v>
      </c>
      <c r="AC231" s="110"/>
      <c r="AD231" s="110"/>
      <c r="AE231" s="110"/>
      <c r="AF231" s="110"/>
      <c r="AG231" s="10">
        <v>66.599999999999994</v>
      </c>
      <c r="AH231" s="107"/>
    </row>
    <row r="232" spans="1:47" ht="12.75" hidden="1">
      <c r="A232" s="110" t="s">
        <v>504</v>
      </c>
      <c r="B232" s="229">
        <v>43993</v>
      </c>
      <c r="C232" s="10">
        <v>10000</v>
      </c>
      <c r="D232" s="110">
        <v>1.5</v>
      </c>
      <c r="E232" s="110"/>
      <c r="F232" s="107" t="s">
        <v>323</v>
      </c>
      <c r="G232" s="107"/>
      <c r="H232" s="107"/>
      <c r="I232" s="107"/>
      <c r="J232" s="107"/>
      <c r="K232" s="107"/>
      <c r="L232" s="107"/>
      <c r="M232" s="107"/>
      <c r="N232" s="107"/>
      <c r="O232" s="107"/>
      <c r="P232" s="107"/>
      <c r="Q232" s="107"/>
      <c r="R232" s="107"/>
      <c r="S232" s="107"/>
      <c r="T232" s="107"/>
      <c r="U232" s="107"/>
      <c r="V232" s="107"/>
      <c r="W232" s="107"/>
      <c r="X232" s="107"/>
      <c r="Y232" s="107"/>
      <c r="Z232" s="107"/>
      <c r="AA232" s="167">
        <v>44007</v>
      </c>
      <c r="AB232" s="109">
        <f>_xlfn.DAYS(AA232,B232)</f>
        <v>14</v>
      </c>
      <c r="AG232" s="110">
        <v>100</v>
      </c>
      <c r="AH232" s="107"/>
    </row>
    <row r="233" spans="1:47" ht="12.75" hidden="1">
      <c r="A233" s="110" t="s">
        <v>505</v>
      </c>
      <c r="B233" s="229">
        <v>43993</v>
      </c>
      <c r="C233" s="10">
        <v>10000</v>
      </c>
      <c r="D233" s="110">
        <v>1.5</v>
      </c>
      <c r="E233" s="110"/>
      <c r="F233" s="107" t="s">
        <v>323</v>
      </c>
      <c r="G233" s="107"/>
      <c r="H233" s="107"/>
      <c r="I233" s="107"/>
      <c r="J233" s="107"/>
      <c r="K233" s="107"/>
      <c r="L233" s="107"/>
      <c r="M233" s="107"/>
      <c r="N233" s="107"/>
      <c r="O233" s="107"/>
      <c r="P233" s="107"/>
      <c r="Q233" s="107"/>
      <c r="R233" s="107"/>
      <c r="S233" s="107"/>
      <c r="T233" s="107"/>
      <c r="U233" s="107"/>
      <c r="V233" s="107"/>
      <c r="W233" s="107"/>
      <c r="X233" s="107"/>
      <c r="Y233" s="107"/>
      <c r="Z233" s="107"/>
      <c r="AA233" s="167">
        <v>44007</v>
      </c>
      <c r="AB233" s="109">
        <f>_xlfn.DAYS(AA233,B233)</f>
        <v>14</v>
      </c>
      <c r="AG233" s="110">
        <v>100</v>
      </c>
      <c r="AH233" s="107"/>
    </row>
    <row r="234" spans="1:47" ht="17.25" hidden="1" customHeight="1">
      <c r="A234" s="110" t="s">
        <v>506</v>
      </c>
      <c r="B234" s="229">
        <v>43994</v>
      </c>
      <c r="C234" s="110">
        <v>6556</v>
      </c>
      <c r="D234" s="110">
        <v>1.5</v>
      </c>
      <c r="E234" s="110"/>
      <c r="F234" s="107" t="s">
        <v>323</v>
      </c>
      <c r="G234" s="107"/>
      <c r="H234" s="107"/>
      <c r="I234" s="107"/>
      <c r="J234" s="107"/>
      <c r="K234" s="107"/>
      <c r="L234" s="107"/>
      <c r="M234" s="107"/>
      <c r="N234" s="107"/>
      <c r="O234" s="107"/>
      <c r="P234" s="107"/>
      <c r="Q234" s="107"/>
      <c r="R234" s="107"/>
      <c r="S234" s="107"/>
      <c r="T234" s="107"/>
      <c r="U234" s="107"/>
      <c r="V234" s="107"/>
      <c r="W234" s="107"/>
      <c r="X234" s="107"/>
      <c r="Y234" s="107"/>
      <c r="Z234" s="107"/>
      <c r="AA234" s="167">
        <v>44007</v>
      </c>
      <c r="AB234" s="109">
        <f>_xlfn.DAYS(AA234,B234)</f>
        <v>13</v>
      </c>
      <c r="AC234" s="110"/>
      <c r="AD234" s="110"/>
      <c r="AE234" s="110"/>
      <c r="AF234" s="110"/>
      <c r="AG234" s="110">
        <v>100</v>
      </c>
      <c r="AH234" s="107"/>
      <c r="AJ234" s="110"/>
      <c r="AK234" s="110"/>
      <c r="AL234" s="110"/>
      <c r="AM234" s="110"/>
      <c r="AN234" s="110"/>
      <c r="AO234" s="110"/>
      <c r="AP234" s="110"/>
      <c r="AQ234" s="110"/>
      <c r="AR234" s="110"/>
      <c r="AS234" s="110"/>
      <c r="AT234" s="110"/>
      <c r="AU234" s="110"/>
    </row>
    <row r="235" spans="1:47" ht="12.75" hidden="1">
      <c r="A235" s="232" t="s">
        <v>507</v>
      </c>
      <c r="B235" s="233">
        <v>43990</v>
      </c>
      <c r="C235" s="10">
        <v>10000</v>
      </c>
      <c r="D235" s="10">
        <v>4</v>
      </c>
      <c r="E235" s="10"/>
      <c r="F235" s="107" t="s">
        <v>323</v>
      </c>
      <c r="G235" s="107"/>
      <c r="H235" s="107"/>
      <c r="I235" s="107"/>
      <c r="J235" s="107"/>
      <c r="K235" s="107"/>
      <c r="L235" s="107"/>
      <c r="M235" s="107"/>
      <c r="N235" s="107"/>
      <c r="O235" s="107"/>
      <c r="P235" s="107"/>
      <c r="Q235" s="107"/>
      <c r="R235" s="107"/>
      <c r="S235" s="107"/>
      <c r="T235" s="107"/>
      <c r="U235" s="107"/>
      <c r="V235" s="107"/>
      <c r="W235" s="107"/>
      <c r="X235" s="107"/>
      <c r="Y235" s="107"/>
      <c r="Z235" s="107"/>
      <c r="AA235" s="167">
        <v>44008</v>
      </c>
      <c r="AB235" s="109">
        <f>_xlfn.DAYS(AA235,B235)</f>
        <v>18</v>
      </c>
      <c r="AG235" s="107">
        <v>66.599999999999994</v>
      </c>
      <c r="AH235" s="107"/>
    </row>
    <row r="236" spans="1:47" ht="12.75" hidden="1">
      <c r="A236" s="110" t="s">
        <v>508</v>
      </c>
      <c r="B236" s="229">
        <v>44029</v>
      </c>
      <c r="C236" s="110">
        <v>10000</v>
      </c>
      <c r="D236" s="110">
        <v>7.5</v>
      </c>
      <c r="E236" s="110"/>
      <c r="F236" s="107" t="s">
        <v>263</v>
      </c>
      <c r="G236" s="107"/>
      <c r="H236" s="107"/>
      <c r="I236" s="107"/>
      <c r="J236" s="107"/>
      <c r="K236" s="107"/>
      <c r="L236" s="107"/>
      <c r="M236" s="107"/>
      <c r="N236" s="107"/>
      <c r="O236" s="107"/>
      <c r="P236" s="107"/>
      <c r="Q236" s="107"/>
      <c r="R236" s="107"/>
      <c r="S236" s="107"/>
      <c r="T236" s="107"/>
      <c r="U236" s="107"/>
      <c r="V236" s="107"/>
      <c r="W236" s="107"/>
      <c r="X236" s="107"/>
      <c r="Y236" s="107"/>
      <c r="Z236" s="107"/>
      <c r="AA236" s="167">
        <v>44063</v>
      </c>
      <c r="AB236" s="109">
        <f>_xlfn.DAYS(AA236,B236)</f>
        <v>34</v>
      </c>
      <c r="AC236" s="110">
        <f>(4/24+4/19)/2%</f>
        <v>18.859649122807014</v>
      </c>
      <c r="AD236" s="110">
        <v>1152</v>
      </c>
      <c r="AE236" s="110">
        <v>291.5</v>
      </c>
      <c r="AF236" s="110">
        <v>67</v>
      </c>
      <c r="AG236" s="107">
        <f>COUNTIFS(F:F,"Culled",A:A,LEFT(A236,LEN(A236)-3)&amp;"*")/COUNTIF(A:A,LEFT(A236,LEN(A236)-3)&amp;"*")</f>
        <v>0.375</v>
      </c>
      <c r="AH236" s="108">
        <f>(AD236-AF236)/(D236*$K$1*2)%</f>
        <v>13.151515151515152</v>
      </c>
      <c r="AI236" s="108">
        <f>(AE236+AF236)/(D236*$K$1*2)%</f>
        <v>4.3454545454545457</v>
      </c>
      <c r="AK236" s="110"/>
      <c r="AL236" s="110"/>
      <c r="AM236" s="110"/>
      <c r="AN236" s="110"/>
      <c r="AO236" s="110"/>
    </row>
    <row r="237" spans="1:47" ht="12.75" hidden="1">
      <c r="A237" s="10" t="s">
        <v>509</v>
      </c>
      <c r="B237" s="229">
        <v>43990</v>
      </c>
      <c r="C237" s="10">
        <v>10000</v>
      </c>
      <c r="D237" s="10">
        <v>4.5</v>
      </c>
      <c r="E237" s="10"/>
      <c r="F237" s="107" t="s">
        <v>323</v>
      </c>
      <c r="G237" s="107"/>
      <c r="H237" s="107"/>
      <c r="I237" s="107"/>
      <c r="J237" s="107"/>
      <c r="K237" s="107"/>
      <c r="L237" s="107"/>
      <c r="M237" s="107"/>
      <c r="N237" s="107"/>
      <c r="O237" s="107"/>
      <c r="P237" s="107"/>
      <c r="Q237" s="107"/>
      <c r="R237" s="107"/>
      <c r="S237" s="107"/>
      <c r="T237" s="107"/>
      <c r="U237" s="107"/>
      <c r="V237" s="107"/>
      <c r="W237" s="107"/>
      <c r="X237" s="107"/>
      <c r="Y237" s="107"/>
      <c r="Z237" s="107"/>
      <c r="AA237" s="167">
        <v>44008</v>
      </c>
      <c r="AB237" s="109">
        <f>_xlfn.DAYS(AA237,B237)</f>
        <v>18</v>
      </c>
      <c r="AG237" s="107">
        <v>66.599999999999994</v>
      </c>
      <c r="AH237" s="107"/>
    </row>
    <row r="238" spans="1:47" ht="17.25" hidden="1" customHeight="1">
      <c r="A238" s="110" t="s">
        <v>510</v>
      </c>
      <c r="B238" s="229">
        <v>43993</v>
      </c>
      <c r="C238" s="10">
        <v>10000</v>
      </c>
      <c r="D238" s="110">
        <v>3</v>
      </c>
      <c r="E238" s="110"/>
      <c r="F238" s="107" t="s">
        <v>323</v>
      </c>
      <c r="G238" s="107"/>
      <c r="H238" s="107"/>
      <c r="I238" s="107"/>
      <c r="J238" s="107"/>
      <c r="K238" s="107"/>
      <c r="L238" s="107"/>
      <c r="M238" s="107"/>
      <c r="N238" s="107"/>
      <c r="O238" s="107"/>
      <c r="P238" s="107"/>
      <c r="Q238" s="107"/>
      <c r="R238" s="107"/>
      <c r="S238" s="107"/>
      <c r="T238" s="107"/>
      <c r="U238" s="107"/>
      <c r="V238" s="107"/>
      <c r="W238" s="107"/>
      <c r="X238" s="107"/>
      <c r="Y238" s="107"/>
      <c r="Z238" s="107"/>
      <c r="AA238" s="167">
        <v>44008</v>
      </c>
      <c r="AB238" s="109">
        <f>_xlfn.DAYS(AA238,B238)</f>
        <v>15</v>
      </c>
      <c r="AC238" s="110"/>
      <c r="AD238" s="110"/>
      <c r="AE238" s="110"/>
      <c r="AF238" s="110"/>
      <c r="AG238" s="110">
        <v>100</v>
      </c>
      <c r="AH238" s="107"/>
      <c r="AJ238" s="110"/>
      <c r="AK238" s="110"/>
      <c r="AL238" s="110"/>
      <c r="AM238" s="110"/>
      <c r="AN238" s="110"/>
      <c r="AO238" s="110"/>
      <c r="AP238" s="110"/>
      <c r="AQ238" s="110"/>
      <c r="AR238" s="110"/>
      <c r="AS238" s="110"/>
      <c r="AT238" s="110"/>
      <c r="AU238" s="110"/>
    </row>
    <row r="239" spans="1:47" ht="17.25" hidden="1" customHeight="1">
      <c r="A239" s="110" t="s">
        <v>511</v>
      </c>
      <c r="B239" s="229">
        <v>43993</v>
      </c>
      <c r="C239" s="10">
        <v>10000</v>
      </c>
      <c r="D239" s="110">
        <v>3</v>
      </c>
      <c r="E239" s="110"/>
      <c r="F239" s="107" t="s">
        <v>323</v>
      </c>
      <c r="G239" s="107"/>
      <c r="H239" s="107"/>
      <c r="I239" s="107"/>
      <c r="J239" s="107"/>
      <c r="K239" s="107"/>
      <c r="L239" s="107"/>
      <c r="M239" s="107"/>
      <c r="N239" s="107"/>
      <c r="O239" s="107"/>
      <c r="P239" s="107"/>
      <c r="Q239" s="107"/>
      <c r="R239" s="107"/>
      <c r="S239" s="107"/>
      <c r="T239" s="107"/>
      <c r="U239" s="107"/>
      <c r="V239" s="107"/>
      <c r="W239" s="107"/>
      <c r="X239" s="107"/>
      <c r="Y239" s="107"/>
      <c r="Z239" s="107"/>
      <c r="AA239" s="167">
        <v>44008</v>
      </c>
      <c r="AB239" s="109">
        <f>_xlfn.DAYS(AA239,B239)</f>
        <v>15</v>
      </c>
      <c r="AC239" s="110"/>
      <c r="AD239" s="110"/>
      <c r="AE239" s="110"/>
      <c r="AF239" s="110"/>
      <c r="AG239" s="110">
        <v>100</v>
      </c>
      <c r="AH239" s="107"/>
      <c r="AJ239" s="110"/>
      <c r="AK239" s="110"/>
      <c r="AL239" s="110"/>
      <c r="AM239" s="110"/>
      <c r="AN239" s="110"/>
      <c r="AO239" s="110"/>
      <c r="AP239" s="110"/>
      <c r="AQ239" s="110"/>
      <c r="AR239" s="110"/>
      <c r="AS239" s="110"/>
      <c r="AT239" s="110"/>
      <c r="AU239" s="110"/>
    </row>
    <row r="240" spans="1:47" ht="12.75" hidden="1">
      <c r="A240" s="110" t="s">
        <v>512</v>
      </c>
      <c r="B240" s="229">
        <v>43993</v>
      </c>
      <c r="C240" s="10">
        <v>10000</v>
      </c>
      <c r="D240" s="110">
        <v>3</v>
      </c>
      <c r="E240" s="110"/>
      <c r="F240" s="107" t="s">
        <v>323</v>
      </c>
      <c r="G240" s="107"/>
      <c r="H240" s="107"/>
      <c r="I240" s="107"/>
      <c r="J240" s="107"/>
      <c r="K240" s="107"/>
      <c r="L240" s="107"/>
      <c r="M240" s="107"/>
      <c r="N240" s="107"/>
      <c r="O240" s="107"/>
      <c r="P240" s="107"/>
      <c r="Q240" s="107"/>
      <c r="R240" s="107"/>
      <c r="S240" s="107"/>
      <c r="T240" s="107"/>
      <c r="U240" s="107"/>
      <c r="V240" s="107"/>
      <c r="W240" s="107"/>
      <c r="X240" s="107"/>
      <c r="Y240" s="107"/>
      <c r="Z240" s="107"/>
      <c r="AA240" s="167">
        <v>44008</v>
      </c>
      <c r="AB240" s="109">
        <f>_xlfn.DAYS(AA240,B240)</f>
        <v>15</v>
      </c>
      <c r="AC240" s="110"/>
      <c r="AD240" s="110"/>
      <c r="AE240" s="110"/>
      <c r="AF240" s="110"/>
      <c r="AG240" s="110">
        <v>100</v>
      </c>
      <c r="AH240" s="107"/>
      <c r="AJ240" s="110"/>
      <c r="AK240" s="110"/>
      <c r="AL240" s="110"/>
      <c r="AM240" s="110"/>
      <c r="AN240" s="110"/>
      <c r="AO240" s="110"/>
      <c r="AP240" s="110"/>
      <c r="AQ240" s="110"/>
      <c r="AR240" s="110"/>
      <c r="AS240" s="110"/>
      <c r="AT240" s="110"/>
      <c r="AU240" s="110"/>
    </row>
    <row r="241" spans="1:47" ht="17.25" hidden="1" customHeight="1">
      <c r="A241" s="110" t="s">
        <v>513</v>
      </c>
      <c r="B241" s="229">
        <v>43909</v>
      </c>
      <c r="C241" s="110">
        <v>10000</v>
      </c>
      <c r="D241" s="110">
        <v>7</v>
      </c>
      <c r="E241" s="110"/>
      <c r="F241" s="107" t="s">
        <v>263</v>
      </c>
      <c r="G241" s="107"/>
      <c r="H241" s="107"/>
      <c r="I241" s="107"/>
      <c r="J241" s="107"/>
      <c r="K241" s="107"/>
      <c r="L241" s="107"/>
      <c r="M241" s="107"/>
      <c r="N241" s="107"/>
      <c r="O241" s="107"/>
      <c r="P241" s="107"/>
      <c r="Q241" s="107"/>
      <c r="R241" s="107"/>
      <c r="S241" s="107"/>
      <c r="T241" s="107"/>
      <c r="U241" s="107"/>
      <c r="V241" s="107"/>
      <c r="W241" s="107"/>
      <c r="X241" s="107"/>
      <c r="Y241" s="107"/>
      <c r="Z241" s="107"/>
      <c r="AA241" s="167">
        <v>43935</v>
      </c>
      <c r="AB241" s="109">
        <f>_xlfn.DAYS(AA241,B241)</f>
        <v>26</v>
      </c>
      <c r="AC241" s="110">
        <v>20</v>
      </c>
      <c r="AD241" s="110">
        <v>1420.5</v>
      </c>
      <c r="AE241" s="110">
        <v>372</v>
      </c>
      <c r="AF241" s="110">
        <v>107</v>
      </c>
      <c r="AG241" s="110"/>
      <c r="AH241" s="108">
        <f>(AD241-AF241)/(D241*$K$1*2)%</f>
        <v>17.058441558441558</v>
      </c>
      <c r="AI241" s="108">
        <f>(AE241+AF241)/(D241*$K$1*2)%</f>
        <v>6.220779220779221</v>
      </c>
      <c r="AJ241" s="110"/>
      <c r="AK241" s="110"/>
      <c r="AL241" s="110"/>
      <c r="AM241" s="110"/>
      <c r="AN241" s="110"/>
      <c r="AO241" s="110"/>
    </row>
    <row r="242" spans="1:47" ht="17.25" hidden="1" customHeight="1">
      <c r="A242" s="110" t="s">
        <v>514</v>
      </c>
      <c r="B242" s="229">
        <v>43909</v>
      </c>
      <c r="C242" s="110">
        <v>10000</v>
      </c>
      <c r="D242" s="110">
        <v>7</v>
      </c>
      <c r="E242" s="110"/>
      <c r="F242" s="107" t="s">
        <v>263</v>
      </c>
      <c r="G242" s="107"/>
      <c r="H242" s="107"/>
      <c r="I242" s="107"/>
      <c r="J242" s="107"/>
      <c r="K242" s="107"/>
      <c r="L242" s="107"/>
      <c r="M242" s="107"/>
      <c r="N242" s="107"/>
      <c r="O242" s="107"/>
      <c r="P242" s="107"/>
      <c r="Q242" s="107"/>
      <c r="R242" s="107"/>
      <c r="S242" s="107"/>
      <c r="T242" s="107"/>
      <c r="U242" s="107"/>
      <c r="V242" s="107"/>
      <c r="W242" s="107"/>
      <c r="X242" s="107"/>
      <c r="Y242" s="107"/>
      <c r="Z242" s="107"/>
      <c r="AA242" s="167">
        <v>43935</v>
      </c>
      <c r="AB242" s="109">
        <f>_xlfn.DAYS(AA242,B242)</f>
        <v>26</v>
      </c>
      <c r="AC242" s="110">
        <v>18.75</v>
      </c>
      <c r="AD242" s="110">
        <v>1423.5</v>
      </c>
      <c r="AE242" s="110">
        <v>432</v>
      </c>
      <c r="AF242" s="110">
        <v>125</v>
      </c>
      <c r="AG242" s="110"/>
      <c r="AH242" s="108">
        <f>(AD242-AF242)/(D242*$K$1*2)%</f>
        <v>16.863636363636363</v>
      </c>
      <c r="AI242" s="108">
        <f>(AE242+AF242)/(D242*$K$1*2)%</f>
        <v>7.2337662337662341</v>
      </c>
      <c r="AJ242" s="110"/>
      <c r="AK242" s="110"/>
      <c r="AL242" s="110"/>
      <c r="AM242" s="110"/>
      <c r="AN242" s="110"/>
      <c r="AO242" s="110"/>
    </row>
    <row r="243" spans="1:47" ht="17.25" hidden="1" customHeight="1">
      <c r="A243" s="110" t="s">
        <v>515</v>
      </c>
      <c r="B243" s="229">
        <v>43909</v>
      </c>
      <c r="C243" s="110">
        <v>10000</v>
      </c>
      <c r="D243" s="110">
        <v>7</v>
      </c>
      <c r="E243" s="110"/>
      <c r="F243" s="107" t="s">
        <v>263</v>
      </c>
      <c r="G243" s="107"/>
      <c r="H243" s="107"/>
      <c r="I243" s="107"/>
      <c r="J243" s="107"/>
      <c r="K243" s="107"/>
      <c r="L243" s="107"/>
      <c r="M243" s="107"/>
      <c r="N243" s="107"/>
      <c r="O243" s="107"/>
      <c r="P243" s="107"/>
      <c r="Q243" s="107"/>
      <c r="R243" s="107"/>
      <c r="S243" s="107"/>
      <c r="T243" s="107"/>
      <c r="U243" s="107"/>
      <c r="V243" s="107"/>
      <c r="W243" s="107"/>
      <c r="X243" s="107"/>
      <c r="Y243" s="107"/>
      <c r="Z243" s="107"/>
      <c r="AA243" s="167">
        <v>43935</v>
      </c>
      <c r="AB243" s="109">
        <f>_xlfn.DAYS(AA243,B243)</f>
        <v>26</v>
      </c>
      <c r="AC243" s="110">
        <v>23.1</v>
      </c>
      <c r="AD243" s="110">
        <v>1398</v>
      </c>
      <c r="AE243" s="110">
        <v>428.5</v>
      </c>
      <c r="AF243" s="110">
        <v>138.5</v>
      </c>
      <c r="AG243" s="110"/>
      <c r="AH243" s="108">
        <f>(AD243-AF243)/(D243*$K$1*2)%</f>
        <v>16.357142857142858</v>
      </c>
      <c r="AI243" s="108">
        <f>(AE243+AF243)/(D243*$K$1*2)%</f>
        <v>7.3636363636363633</v>
      </c>
      <c r="AJ243" s="110"/>
      <c r="AK243" s="110"/>
      <c r="AL243" s="110"/>
      <c r="AM243" s="110"/>
      <c r="AN243" s="110"/>
      <c r="AO243" s="110"/>
      <c r="AP243" s="110"/>
      <c r="AQ243" s="110"/>
      <c r="AR243" s="110"/>
      <c r="AS243" s="110"/>
      <c r="AT243" s="110"/>
      <c r="AU243" s="110"/>
    </row>
    <row r="244" spans="1:47" ht="17.25" hidden="1" customHeight="1">
      <c r="A244" s="110" t="s">
        <v>516</v>
      </c>
      <c r="B244" s="229">
        <v>43909</v>
      </c>
      <c r="C244" s="110">
        <v>10000</v>
      </c>
      <c r="D244" s="110">
        <v>7</v>
      </c>
      <c r="E244" s="110"/>
      <c r="F244" s="107" t="s">
        <v>263</v>
      </c>
      <c r="G244" s="107"/>
      <c r="H244" s="107"/>
      <c r="I244" s="107"/>
      <c r="J244" s="107"/>
      <c r="K244" s="107"/>
      <c r="L244" s="107"/>
      <c r="M244" s="107"/>
      <c r="N244" s="107"/>
      <c r="O244" s="107"/>
      <c r="P244" s="107"/>
      <c r="Q244" s="107"/>
      <c r="R244" s="107"/>
      <c r="S244" s="107"/>
      <c r="T244" s="107"/>
      <c r="U244" s="107"/>
      <c r="V244" s="107"/>
      <c r="W244" s="107"/>
      <c r="X244" s="107"/>
      <c r="Y244" s="107"/>
      <c r="Z244" s="107"/>
      <c r="AA244" s="167">
        <v>43935</v>
      </c>
      <c r="AB244" s="109">
        <f>_xlfn.DAYS(AA244,B244)</f>
        <v>26</v>
      </c>
      <c r="AC244" s="110">
        <v>18.75</v>
      </c>
      <c r="AD244" s="110">
        <v>1641.5</v>
      </c>
      <c r="AE244" s="110">
        <v>387.5</v>
      </c>
      <c r="AF244" s="110">
        <v>131</v>
      </c>
      <c r="AG244" s="110"/>
      <c r="AH244" s="108">
        <f>(AD244-AF244)/(D244*$K$1*2)%</f>
        <v>19.616883116883116</v>
      </c>
      <c r="AI244" s="108">
        <f>(AE244+AF244)/(D244*$K$1*2)%</f>
        <v>6.7337662337662341</v>
      </c>
      <c r="AJ244" s="110"/>
      <c r="AK244" s="110"/>
      <c r="AL244" s="110"/>
      <c r="AM244" s="110"/>
      <c r="AN244" s="110"/>
      <c r="AO244" s="110"/>
      <c r="AP244" s="110"/>
      <c r="AQ244" s="110"/>
      <c r="AR244" s="110"/>
      <c r="AS244" s="110"/>
      <c r="AT244" s="110"/>
      <c r="AU244" s="110"/>
    </row>
    <row r="245" spans="1:47" ht="17.25" hidden="1" customHeight="1">
      <c r="A245" s="111" t="s">
        <v>517</v>
      </c>
      <c r="B245" s="234">
        <v>43972</v>
      </c>
      <c r="C245" s="111">
        <v>10000</v>
      </c>
      <c r="D245" s="111">
        <v>7</v>
      </c>
      <c r="E245" s="111"/>
      <c r="F245" s="107" t="s">
        <v>263</v>
      </c>
      <c r="G245" s="107"/>
      <c r="H245" s="107"/>
      <c r="I245" s="107"/>
      <c r="J245" s="107"/>
      <c r="K245" s="107"/>
      <c r="L245" s="107"/>
      <c r="M245" s="107"/>
      <c r="N245" s="107"/>
      <c r="O245" s="107"/>
      <c r="P245" s="107"/>
      <c r="Q245" s="107"/>
      <c r="R245" s="107"/>
      <c r="S245" s="107"/>
      <c r="T245" s="107"/>
      <c r="U245" s="107"/>
      <c r="V245" s="107"/>
      <c r="W245" s="107"/>
      <c r="X245" s="107"/>
      <c r="Y245" s="107"/>
      <c r="Z245" s="107"/>
      <c r="AA245" s="168">
        <v>44014</v>
      </c>
      <c r="AB245" s="109">
        <f>_xlfn.DAYS(AA245,B245)</f>
        <v>42</v>
      </c>
      <c r="AC245" s="111"/>
      <c r="AD245" s="111"/>
      <c r="AE245" s="111"/>
      <c r="AF245" s="111"/>
      <c r="AG245" s="111">
        <v>66.599999999999994</v>
      </c>
      <c r="AH245" s="108">
        <f>(AD245-AF245)/(D245*$K$1*2)%</f>
        <v>0</v>
      </c>
      <c r="AI245" s="108">
        <f>(AE245+AF245)/(D245*$K$1*2)%</f>
        <v>0</v>
      </c>
      <c r="AJ245" s="112"/>
      <c r="AK245" s="110"/>
      <c r="AL245" s="110"/>
      <c r="AM245" s="110"/>
      <c r="AN245" s="110"/>
      <c r="AO245" s="110"/>
      <c r="AP245" s="110"/>
      <c r="AQ245" s="110"/>
      <c r="AR245" s="110"/>
      <c r="AS245" s="110"/>
      <c r="AT245" s="110"/>
      <c r="AU245" s="110"/>
    </row>
    <row r="246" spans="1:47" ht="17.25" hidden="1" customHeight="1">
      <c r="A246" s="112" t="s">
        <v>518</v>
      </c>
      <c r="B246" s="235">
        <v>43972</v>
      </c>
      <c r="C246" s="112">
        <v>10000</v>
      </c>
      <c r="D246" s="112">
        <v>7</v>
      </c>
      <c r="E246" s="112"/>
      <c r="F246" s="107" t="s">
        <v>263</v>
      </c>
      <c r="G246" s="107"/>
      <c r="H246" s="107"/>
      <c r="I246" s="107"/>
      <c r="J246" s="107"/>
      <c r="K246" s="107"/>
      <c r="L246" s="107"/>
      <c r="M246" s="107"/>
      <c r="N246" s="107"/>
      <c r="O246" s="107"/>
      <c r="P246" s="107"/>
      <c r="Q246" s="107"/>
      <c r="R246" s="107"/>
      <c r="S246" s="107"/>
      <c r="T246" s="107"/>
      <c r="U246" s="107"/>
      <c r="V246" s="107"/>
      <c r="W246" s="107"/>
      <c r="X246" s="107"/>
      <c r="Y246" s="107"/>
      <c r="Z246" s="107"/>
      <c r="AA246" s="169">
        <v>44006</v>
      </c>
      <c r="AB246" s="109">
        <f>_xlfn.DAYS(AA246,B246)</f>
        <v>34</v>
      </c>
      <c r="AC246" s="113">
        <f>AVERAGE(4/24,4/16)*100</f>
        <v>20.833333333333332</v>
      </c>
      <c r="AD246" s="113">
        <v>1398.5</v>
      </c>
      <c r="AE246" s="113">
        <v>865.5</v>
      </c>
      <c r="AF246" s="113">
        <v>15</v>
      </c>
      <c r="AG246" s="112">
        <v>66.599999999999994</v>
      </c>
      <c r="AH246" s="108">
        <f>(AD246-AF246)/(D246*$K$1*2)%</f>
        <v>17.967532467532468</v>
      </c>
      <c r="AI246" s="108">
        <f>(AE246+AF246)/(D246*$K$1*2)%</f>
        <v>11.435064935064934</v>
      </c>
      <c r="AJ246" s="112"/>
      <c r="AK246" s="110"/>
      <c r="AL246" s="110"/>
      <c r="AM246" s="110"/>
      <c r="AN246" s="110"/>
      <c r="AO246" s="110"/>
      <c r="AP246" s="110"/>
      <c r="AQ246" s="110"/>
      <c r="AR246" s="110"/>
      <c r="AS246" s="110"/>
      <c r="AT246" s="110"/>
      <c r="AU246" s="110"/>
    </row>
    <row r="247" spans="1:47" ht="17.25" hidden="1" customHeight="1">
      <c r="A247" s="10" t="s">
        <v>519</v>
      </c>
      <c r="B247" s="229">
        <v>43972</v>
      </c>
      <c r="C247" s="10">
        <v>10000</v>
      </c>
      <c r="D247" s="10">
        <v>7</v>
      </c>
      <c r="E247" s="10"/>
      <c r="F247" s="107" t="s">
        <v>263</v>
      </c>
      <c r="G247" s="107"/>
      <c r="H247" s="107"/>
      <c r="I247" s="107"/>
      <c r="J247" s="107"/>
      <c r="K247" s="107"/>
      <c r="L247" s="107"/>
      <c r="M247" s="107"/>
      <c r="N247" s="107"/>
      <c r="O247" s="107"/>
      <c r="P247" s="107"/>
      <c r="Q247" s="107"/>
      <c r="R247" s="107"/>
      <c r="S247" s="107"/>
      <c r="T247" s="107"/>
      <c r="U247" s="107"/>
      <c r="V247" s="107"/>
      <c r="W247" s="107"/>
      <c r="X247" s="107"/>
      <c r="Y247" s="107"/>
      <c r="Z247" s="107"/>
      <c r="AA247" s="167">
        <v>44006</v>
      </c>
      <c r="AB247" s="109">
        <f>_xlfn.DAYS(AA247,B247)</f>
        <v>34</v>
      </c>
      <c r="AC247" s="110">
        <f>AVERAGE(4/18,4/28)*100</f>
        <v>18.253968253968253</v>
      </c>
      <c r="AD247" s="110">
        <v>1518</v>
      </c>
      <c r="AE247" s="110">
        <v>514.5</v>
      </c>
      <c r="AF247" s="110">
        <v>28.5</v>
      </c>
      <c r="AG247" s="10">
        <v>66.599999999999994</v>
      </c>
      <c r="AH247" s="108">
        <f>(AD247-AF247)/(D247*$K$1*2)%</f>
        <v>19.344155844155843</v>
      </c>
      <c r="AI247" s="108">
        <f>(AE247+AF247)/(D247*$K$1*2)%</f>
        <v>7.0519480519480515</v>
      </c>
      <c r="AK247" s="110"/>
      <c r="AL247" s="110"/>
      <c r="AM247" s="110"/>
      <c r="AN247" s="110"/>
      <c r="AO247" s="110"/>
      <c r="AP247" s="110"/>
      <c r="AQ247" s="110"/>
      <c r="AR247" s="110"/>
      <c r="AS247" s="110"/>
      <c r="AT247" s="110"/>
      <c r="AU247" s="110"/>
    </row>
    <row r="248" spans="1:47" ht="17.25" hidden="1" customHeight="1">
      <c r="A248" s="110" t="s">
        <v>520</v>
      </c>
      <c r="B248" s="229">
        <v>44036</v>
      </c>
      <c r="C248" s="224">
        <v>10000</v>
      </c>
      <c r="D248" s="236">
        <v>11</v>
      </c>
      <c r="E248" s="236"/>
      <c r="F248" s="107" t="s">
        <v>263</v>
      </c>
      <c r="G248" s="107"/>
      <c r="H248" s="107"/>
      <c r="I248" s="107"/>
      <c r="J248" s="107"/>
      <c r="K248" s="107"/>
      <c r="L248" s="107"/>
      <c r="M248" s="107"/>
      <c r="N248" s="107"/>
      <c r="O248" s="107"/>
      <c r="P248" s="107"/>
      <c r="Q248" s="107"/>
      <c r="R248" s="107"/>
      <c r="S248" s="107"/>
      <c r="T248" s="107"/>
      <c r="U248" s="107"/>
      <c r="V248" s="107"/>
      <c r="W248" s="107"/>
      <c r="X248" s="107"/>
      <c r="Y248" s="107"/>
      <c r="Z248" s="107"/>
      <c r="AA248" s="167">
        <v>44077</v>
      </c>
      <c r="AB248" s="109">
        <f>_xlfn.DAYS(AA248,B248)</f>
        <v>41</v>
      </c>
      <c r="AC248" s="107">
        <f>AVERAGE(3/10,9/20)*100</f>
        <v>37.5</v>
      </c>
      <c r="AD248" s="110">
        <v>1197.5</v>
      </c>
      <c r="AE248" s="110">
        <v>437.5</v>
      </c>
      <c r="AF248" s="110">
        <v>51.5</v>
      </c>
      <c r="AG248" s="107">
        <f>COUNTIFS(F:F,"Culled",A:A,LEFT(A248,LEN(A248)-3)&amp;"*")/COUNTIF(A:A,LEFT(A248,LEN(A248)-3)&amp;"*")*100</f>
        <v>0</v>
      </c>
      <c r="AH248" s="108">
        <f>(AD248-AF248)/(D248*$K$1*2)%</f>
        <v>9.4710743801652892</v>
      </c>
      <c r="AI248" s="108">
        <f>(AE248+AF248)/(D248*$K$1*2)%</f>
        <v>4.0413223140495864</v>
      </c>
      <c r="AK248" s="110"/>
      <c r="AL248" s="110"/>
      <c r="AM248" s="110"/>
      <c r="AN248" s="110"/>
      <c r="AO248" s="110"/>
      <c r="AP248" s="110"/>
      <c r="AQ248" s="110"/>
      <c r="AR248" s="110"/>
      <c r="AS248" s="110"/>
      <c r="AT248" s="110"/>
      <c r="AU248" s="110"/>
    </row>
    <row r="249" spans="1:47" ht="17.25" hidden="1" customHeight="1">
      <c r="A249" s="112" t="s">
        <v>521</v>
      </c>
      <c r="B249" s="235">
        <v>43972</v>
      </c>
      <c r="C249" s="112">
        <v>10000</v>
      </c>
      <c r="D249" s="112">
        <v>6</v>
      </c>
      <c r="E249" s="112"/>
      <c r="F249" s="107" t="s">
        <v>323</v>
      </c>
      <c r="G249" s="107"/>
      <c r="H249" s="107"/>
      <c r="I249" s="107"/>
      <c r="J249" s="107"/>
      <c r="K249" s="107"/>
      <c r="L249" s="107"/>
      <c r="M249" s="107"/>
      <c r="N249" s="107"/>
      <c r="O249" s="107"/>
      <c r="P249" s="107"/>
      <c r="Q249" s="107"/>
      <c r="R249" s="107"/>
      <c r="S249" s="107"/>
      <c r="T249" s="107"/>
      <c r="U249" s="107"/>
      <c r="V249" s="107"/>
      <c r="W249" s="107"/>
      <c r="X249" s="107"/>
      <c r="Y249" s="107"/>
      <c r="Z249" s="107"/>
      <c r="AA249" s="169">
        <v>44008</v>
      </c>
      <c r="AB249" s="109">
        <f>_xlfn.DAYS(AA249,B249)</f>
        <v>36</v>
      </c>
      <c r="AC249" s="112"/>
      <c r="AD249" s="112"/>
      <c r="AE249" s="112"/>
      <c r="AF249" s="112"/>
      <c r="AG249" s="112">
        <v>66.599999999999994</v>
      </c>
      <c r="AH249" s="107"/>
      <c r="AJ249" s="112"/>
      <c r="AP249" s="110"/>
      <c r="AQ249" s="110"/>
      <c r="AR249" s="110"/>
      <c r="AS249" s="110"/>
      <c r="AT249" s="110"/>
      <c r="AU249" s="110"/>
    </row>
    <row r="250" spans="1:47" ht="17.25" hidden="1" customHeight="1">
      <c r="A250" s="110" t="s">
        <v>522</v>
      </c>
      <c r="B250" s="229">
        <v>44036</v>
      </c>
      <c r="C250" s="224">
        <v>10000</v>
      </c>
      <c r="D250" s="236">
        <v>11</v>
      </c>
      <c r="E250" s="236"/>
      <c r="F250" s="107" t="s">
        <v>263</v>
      </c>
      <c r="G250" s="107"/>
      <c r="H250" s="107"/>
      <c r="I250" s="107"/>
      <c r="J250" s="107"/>
      <c r="K250" s="107"/>
      <c r="L250" s="107"/>
      <c r="M250" s="107"/>
      <c r="N250" s="107"/>
      <c r="O250" s="107"/>
      <c r="P250" s="107"/>
      <c r="Q250" s="107"/>
      <c r="R250" s="107"/>
      <c r="S250" s="107"/>
      <c r="T250" s="107"/>
      <c r="U250" s="107"/>
      <c r="V250" s="107"/>
      <c r="W250" s="107"/>
      <c r="X250" s="107"/>
      <c r="Y250" s="107"/>
      <c r="Z250" s="107"/>
      <c r="AA250" s="167">
        <v>44077</v>
      </c>
      <c r="AB250" s="109">
        <f>_xlfn.DAYS(AA250,B250)</f>
        <v>41</v>
      </c>
      <c r="AC250" s="107">
        <f>AVERAGE(5/19,8/15)*100</f>
        <v>39.824561403508774</v>
      </c>
      <c r="AD250" s="110">
        <v>1440</v>
      </c>
      <c r="AE250" s="110">
        <v>303.5</v>
      </c>
      <c r="AF250" s="110">
        <v>93.5</v>
      </c>
      <c r="AG250" s="107">
        <f>COUNTIFS(F:F,"Culled",A:A,LEFT(A250,LEN(A250)-3)&amp;"*")/COUNTIF(A:A,LEFT(A250,LEN(A250)-3)&amp;"*")*100</f>
        <v>0</v>
      </c>
      <c r="AH250" s="108">
        <f>(AD250-AF250)/(D250*$K$1*2)%</f>
        <v>11.12809917355372</v>
      </c>
      <c r="AI250" s="108">
        <f>(AE250+AF250)/(D250*$K$1*2)%</f>
        <v>3.28099173553719</v>
      </c>
      <c r="AK250" s="110"/>
      <c r="AL250" s="110"/>
      <c r="AM250" s="110"/>
      <c r="AN250" s="110"/>
      <c r="AO250" s="110"/>
      <c r="AP250" s="110"/>
      <c r="AQ250" s="110"/>
      <c r="AR250" s="110"/>
      <c r="AS250" s="110"/>
      <c r="AT250" s="110"/>
      <c r="AU250" s="110"/>
    </row>
    <row r="251" spans="1:47" ht="17.25" hidden="1" customHeight="1">
      <c r="A251" s="110" t="s">
        <v>523</v>
      </c>
      <c r="B251" s="229">
        <v>44036</v>
      </c>
      <c r="C251" s="224">
        <v>10000</v>
      </c>
      <c r="D251" s="236">
        <v>11</v>
      </c>
      <c r="E251" s="236"/>
      <c r="F251" s="107" t="s">
        <v>263</v>
      </c>
      <c r="G251" s="107"/>
      <c r="H251" s="107"/>
      <c r="I251" s="107"/>
      <c r="J251" s="107"/>
      <c r="K251" s="107"/>
      <c r="L251" s="107"/>
      <c r="M251" s="107"/>
      <c r="N251" s="107"/>
      <c r="O251" s="107"/>
      <c r="P251" s="107"/>
      <c r="Q251" s="107"/>
      <c r="R251" s="107"/>
      <c r="S251" s="107"/>
      <c r="T251" s="107"/>
      <c r="U251" s="107"/>
      <c r="V251" s="107"/>
      <c r="W251" s="107"/>
      <c r="X251" s="107"/>
      <c r="Y251" s="107"/>
      <c r="Z251" s="107"/>
      <c r="AA251" s="167">
        <v>44077</v>
      </c>
      <c r="AB251" s="109">
        <f>_xlfn.DAYS(AA251,B251)</f>
        <v>41</v>
      </c>
      <c r="AC251" s="107">
        <f>AVERAGE(3/15,7/16)*100</f>
        <v>31.874999999999996</v>
      </c>
      <c r="AD251" s="110">
        <v>1244</v>
      </c>
      <c r="AE251" s="110">
        <v>482</v>
      </c>
      <c r="AF251" s="110">
        <v>80.5</v>
      </c>
      <c r="AG251" s="107">
        <f>COUNTIFS(F:F,"Culled",A:A,LEFT(A251,LEN(A251)-3)&amp;"*")/COUNTIF(A:A,LEFT(A251,LEN(A251)-3)&amp;"*")*100</f>
        <v>0</v>
      </c>
      <c r="AH251" s="108">
        <f>(AD251-AF251)/(D251*$K$1*2)%</f>
        <v>9.615702479338843</v>
      </c>
      <c r="AI251" s="108">
        <f>(AE251+AF251)/(D251*$K$1*2)%</f>
        <v>4.6487603305785123</v>
      </c>
      <c r="AK251" s="110"/>
      <c r="AL251" s="110"/>
      <c r="AM251" s="110"/>
      <c r="AN251" s="110"/>
      <c r="AO251" s="110"/>
      <c r="AP251" s="110"/>
      <c r="AQ251" s="110"/>
      <c r="AR251" s="110"/>
      <c r="AS251" s="110"/>
      <c r="AT251" s="110"/>
      <c r="AU251" s="110"/>
    </row>
    <row r="252" spans="1:47" ht="17.25" hidden="1" customHeight="1">
      <c r="A252" s="112" t="s">
        <v>524</v>
      </c>
      <c r="B252" s="235">
        <v>43972</v>
      </c>
      <c r="C252" s="112">
        <v>10000</v>
      </c>
      <c r="D252" s="112">
        <v>5.5</v>
      </c>
      <c r="E252" s="112"/>
      <c r="F252" s="107" t="s">
        <v>323</v>
      </c>
      <c r="G252" s="107"/>
      <c r="H252" s="107"/>
      <c r="I252" s="107"/>
      <c r="J252" s="107"/>
      <c r="K252" s="107"/>
      <c r="L252" s="107"/>
      <c r="M252" s="107"/>
      <c r="N252" s="107"/>
      <c r="O252" s="107"/>
      <c r="P252" s="107"/>
      <c r="Q252" s="107"/>
      <c r="R252" s="107"/>
      <c r="S252" s="107"/>
      <c r="T252" s="107"/>
      <c r="U252" s="107"/>
      <c r="V252" s="107"/>
      <c r="W252" s="107"/>
      <c r="X252" s="107"/>
      <c r="Y252" s="107"/>
      <c r="Z252" s="107"/>
      <c r="AA252" s="169">
        <v>44008</v>
      </c>
      <c r="AB252" s="109">
        <f>_xlfn.DAYS(AA252,B252)</f>
        <v>36</v>
      </c>
      <c r="AC252" s="113"/>
      <c r="AD252" s="113"/>
      <c r="AE252" s="113"/>
      <c r="AF252" s="113"/>
      <c r="AG252" s="112">
        <v>66.599999999999994</v>
      </c>
      <c r="AH252" s="107"/>
      <c r="AJ252" s="112"/>
      <c r="AP252" s="110"/>
      <c r="AQ252" s="110"/>
      <c r="AR252" s="110"/>
      <c r="AS252" s="110"/>
      <c r="AT252" s="110"/>
      <c r="AU252" s="110"/>
    </row>
    <row r="253" spans="1:47" ht="17.25" hidden="1" customHeight="1">
      <c r="A253" s="10" t="s">
        <v>525</v>
      </c>
      <c r="B253" s="229">
        <v>43963</v>
      </c>
      <c r="C253" s="10">
        <v>10000</v>
      </c>
      <c r="D253" s="10">
        <v>7</v>
      </c>
      <c r="E253" s="10"/>
      <c r="F253" s="107" t="s">
        <v>323</v>
      </c>
      <c r="G253" s="107"/>
      <c r="H253" s="107"/>
      <c r="I253" s="107"/>
      <c r="J253" s="107"/>
      <c r="K253" s="107"/>
      <c r="L253" s="107"/>
      <c r="M253" s="107"/>
      <c r="N253" s="107"/>
      <c r="O253" s="107"/>
      <c r="P253" s="107"/>
      <c r="Q253" s="107"/>
      <c r="R253" s="107"/>
      <c r="S253" s="107"/>
      <c r="T253" s="107"/>
      <c r="U253" s="107"/>
      <c r="V253" s="107"/>
      <c r="W253" s="107"/>
      <c r="X253" s="107"/>
      <c r="Y253" s="107"/>
      <c r="Z253" s="107"/>
      <c r="AA253" s="167">
        <v>44011</v>
      </c>
      <c r="AB253" s="109">
        <f>_xlfn.DAYS(AA253,B253)</f>
        <v>48</v>
      </c>
      <c r="AG253" s="110">
        <v>100</v>
      </c>
      <c r="AH253" s="107"/>
      <c r="AP253" s="110"/>
      <c r="AQ253" s="110"/>
      <c r="AR253" s="110"/>
      <c r="AS253" s="110"/>
      <c r="AT253" s="110"/>
      <c r="AU253" s="110"/>
    </row>
    <row r="254" spans="1:47" ht="17.25" hidden="1" customHeight="1">
      <c r="A254" s="10" t="s">
        <v>526</v>
      </c>
      <c r="B254" s="229">
        <v>43963</v>
      </c>
      <c r="C254" s="10">
        <v>10000</v>
      </c>
      <c r="D254" s="10">
        <v>7</v>
      </c>
      <c r="E254" s="10"/>
      <c r="F254" s="107" t="s">
        <v>323</v>
      </c>
      <c r="G254" s="107"/>
      <c r="H254" s="107"/>
      <c r="I254" s="107"/>
      <c r="J254" s="107"/>
      <c r="K254" s="107"/>
      <c r="L254" s="107"/>
      <c r="M254" s="107"/>
      <c r="N254" s="107"/>
      <c r="O254" s="107"/>
      <c r="P254" s="107"/>
      <c r="Q254" s="107"/>
      <c r="R254" s="107"/>
      <c r="S254" s="107"/>
      <c r="T254" s="107"/>
      <c r="U254" s="107"/>
      <c r="V254" s="107"/>
      <c r="W254" s="107"/>
      <c r="X254" s="107"/>
      <c r="Y254" s="107"/>
      <c r="Z254" s="107"/>
      <c r="AA254" s="167">
        <v>44011</v>
      </c>
      <c r="AB254" s="109">
        <f>_xlfn.DAYS(AA254,B254)</f>
        <v>48</v>
      </c>
      <c r="AG254" s="110">
        <v>100</v>
      </c>
      <c r="AH254" s="107"/>
      <c r="AP254" s="110"/>
      <c r="AQ254" s="110"/>
      <c r="AR254" s="110"/>
      <c r="AS254" s="110"/>
      <c r="AT254" s="110"/>
      <c r="AU254" s="110"/>
    </row>
    <row r="255" spans="1:47" ht="17.25" hidden="1" customHeight="1">
      <c r="A255" s="110" t="s">
        <v>527</v>
      </c>
      <c r="B255" s="229">
        <v>43977</v>
      </c>
      <c r="C255" s="110">
        <v>10000</v>
      </c>
      <c r="D255" s="110">
        <v>4.5</v>
      </c>
      <c r="E255" s="110"/>
      <c r="F255" s="107" t="s">
        <v>323</v>
      </c>
      <c r="G255" s="107"/>
      <c r="H255" s="107"/>
      <c r="I255" s="107"/>
      <c r="J255" s="107"/>
      <c r="K255" s="107"/>
      <c r="L255" s="107"/>
      <c r="M255" s="107"/>
      <c r="N255" s="107"/>
      <c r="O255" s="107"/>
      <c r="P255" s="107"/>
      <c r="Q255" s="107"/>
      <c r="R255" s="107"/>
      <c r="S255" s="107"/>
      <c r="T255" s="107"/>
      <c r="U255" s="107"/>
      <c r="V255" s="107"/>
      <c r="W255" s="107"/>
      <c r="X255" s="107"/>
      <c r="Y255" s="107"/>
      <c r="Z255" s="107"/>
      <c r="AA255" s="167">
        <v>44011</v>
      </c>
      <c r="AB255" s="109">
        <f>_xlfn.DAYS(AA255,B255)</f>
        <v>34</v>
      </c>
      <c r="AC255" s="110"/>
      <c r="AD255" s="110"/>
      <c r="AE255" s="110"/>
      <c r="AF255" s="110"/>
      <c r="AG255" s="110">
        <v>50</v>
      </c>
      <c r="AH255" s="107"/>
      <c r="AP255" s="110"/>
      <c r="AQ255" s="110"/>
      <c r="AR255" s="110"/>
      <c r="AS255" s="110"/>
      <c r="AT255" s="110"/>
      <c r="AU255" s="110"/>
    </row>
    <row r="256" spans="1:47" ht="12.75" hidden="1">
      <c r="A256" s="10" t="s">
        <v>528</v>
      </c>
      <c r="B256" s="229">
        <v>43987</v>
      </c>
      <c r="C256" s="10">
        <v>10000</v>
      </c>
      <c r="D256" s="10">
        <v>6</v>
      </c>
      <c r="E256" s="10"/>
      <c r="F256" s="107" t="s">
        <v>323</v>
      </c>
      <c r="G256" s="107"/>
      <c r="H256" s="107"/>
      <c r="I256" s="107"/>
      <c r="J256" s="107"/>
      <c r="K256" s="107"/>
      <c r="L256" s="107"/>
      <c r="M256" s="107"/>
      <c r="N256" s="107"/>
      <c r="O256" s="107"/>
      <c r="P256" s="107"/>
      <c r="Q256" s="107"/>
      <c r="R256" s="107"/>
      <c r="S256" s="107"/>
      <c r="T256" s="107"/>
      <c r="U256" s="107"/>
      <c r="V256" s="107"/>
      <c r="W256" s="107"/>
      <c r="X256" s="107"/>
      <c r="Y256" s="107"/>
      <c r="Z256" s="107"/>
      <c r="AA256" s="167">
        <v>44012</v>
      </c>
      <c r="AB256" s="109">
        <f>_xlfn.DAYS(AA256,B256)</f>
        <v>25</v>
      </c>
      <c r="AC256" s="110"/>
      <c r="AD256" s="110"/>
      <c r="AE256" s="110"/>
      <c r="AF256" s="110"/>
      <c r="AG256" s="110">
        <v>20</v>
      </c>
      <c r="AH256" s="107"/>
      <c r="AJ256" s="110"/>
      <c r="AK256" s="110"/>
      <c r="AL256" s="110"/>
      <c r="AM256" s="110"/>
      <c r="AN256" s="110"/>
      <c r="AO256" s="110"/>
    </row>
    <row r="257" spans="1:41" ht="12.75" hidden="1">
      <c r="A257" s="10" t="s">
        <v>529</v>
      </c>
      <c r="B257" s="229">
        <v>43998</v>
      </c>
      <c r="C257" s="10">
        <v>10000</v>
      </c>
      <c r="D257" s="10">
        <v>1</v>
      </c>
      <c r="E257" s="10"/>
      <c r="F257" s="107" t="s">
        <v>323</v>
      </c>
      <c r="G257" s="107"/>
      <c r="H257" s="107"/>
      <c r="I257" s="107"/>
      <c r="J257" s="107"/>
      <c r="K257" s="107"/>
      <c r="L257" s="107"/>
      <c r="M257" s="107"/>
      <c r="N257" s="107"/>
      <c r="O257" s="107"/>
      <c r="P257" s="107"/>
      <c r="Q257" s="107"/>
      <c r="R257" s="107"/>
      <c r="S257" s="107"/>
      <c r="T257" s="107"/>
      <c r="U257" s="107"/>
      <c r="V257" s="107"/>
      <c r="W257" s="107"/>
      <c r="X257" s="107"/>
      <c r="Y257" s="107"/>
      <c r="Z257" s="107"/>
      <c r="AA257" s="167">
        <v>44012</v>
      </c>
      <c r="AB257" s="109">
        <f>_xlfn.DAYS(AA257,B257)</f>
        <v>14</v>
      </c>
      <c r="AC257" s="110"/>
      <c r="AD257" s="110"/>
      <c r="AE257" s="110"/>
      <c r="AF257" s="110"/>
      <c r="AG257" s="110">
        <v>100</v>
      </c>
      <c r="AH257" s="107"/>
      <c r="AJ257" s="110"/>
      <c r="AK257" s="110"/>
      <c r="AL257" s="110"/>
      <c r="AM257" s="110"/>
      <c r="AN257" s="110"/>
      <c r="AO257" s="110"/>
    </row>
    <row r="258" spans="1:41" ht="12.75" hidden="1">
      <c r="A258" s="10" t="s">
        <v>530</v>
      </c>
      <c r="B258" s="229">
        <v>43998</v>
      </c>
      <c r="C258" s="10">
        <v>10000</v>
      </c>
      <c r="D258" s="10">
        <v>1</v>
      </c>
      <c r="E258" s="10"/>
      <c r="F258" s="107" t="s">
        <v>323</v>
      </c>
      <c r="G258" s="107"/>
      <c r="H258" s="107"/>
      <c r="I258" s="107"/>
      <c r="J258" s="107"/>
      <c r="K258" s="107"/>
      <c r="L258" s="107"/>
      <c r="M258" s="107"/>
      <c r="N258" s="107"/>
      <c r="O258" s="107"/>
      <c r="P258" s="107"/>
      <c r="Q258" s="107"/>
      <c r="R258" s="107"/>
      <c r="S258" s="107"/>
      <c r="T258" s="107"/>
      <c r="U258" s="107"/>
      <c r="V258" s="107"/>
      <c r="W258" s="107"/>
      <c r="X258" s="107"/>
      <c r="Y258" s="107"/>
      <c r="Z258" s="107"/>
      <c r="AA258" s="167">
        <v>44012</v>
      </c>
      <c r="AB258" s="109">
        <f>_xlfn.DAYS(AA258,B258)</f>
        <v>14</v>
      </c>
      <c r="AC258" s="110"/>
      <c r="AD258" s="110"/>
      <c r="AE258" s="110"/>
      <c r="AF258" s="110"/>
      <c r="AG258" s="110">
        <v>100</v>
      </c>
      <c r="AH258" s="107"/>
      <c r="AJ258" s="110"/>
      <c r="AK258" s="110"/>
      <c r="AL258" s="110"/>
      <c r="AM258" s="110"/>
      <c r="AN258" s="110"/>
      <c r="AO258" s="110"/>
    </row>
    <row r="259" spans="1:41" ht="12.75" hidden="1">
      <c r="A259" s="10" t="s">
        <v>531</v>
      </c>
      <c r="B259" s="229">
        <v>43998</v>
      </c>
      <c r="C259" s="10">
        <v>10000</v>
      </c>
      <c r="D259" s="10">
        <v>1</v>
      </c>
      <c r="E259" s="10"/>
      <c r="F259" s="107" t="s">
        <v>323</v>
      </c>
      <c r="G259" s="107"/>
      <c r="H259" s="107"/>
      <c r="I259" s="107"/>
      <c r="J259" s="107"/>
      <c r="K259" s="107"/>
      <c r="L259" s="107"/>
      <c r="M259" s="107"/>
      <c r="N259" s="107"/>
      <c r="O259" s="107"/>
      <c r="P259" s="107"/>
      <c r="Q259" s="107"/>
      <c r="R259" s="107"/>
      <c r="S259" s="107"/>
      <c r="T259" s="107"/>
      <c r="U259" s="107"/>
      <c r="V259" s="107"/>
      <c r="W259" s="107"/>
      <c r="X259" s="107"/>
      <c r="Y259" s="107"/>
      <c r="Z259" s="107"/>
      <c r="AA259" s="167">
        <v>44012</v>
      </c>
      <c r="AB259" s="109">
        <f>_xlfn.DAYS(AA259,B259)</f>
        <v>14</v>
      </c>
      <c r="AC259" s="110"/>
      <c r="AD259" s="110"/>
      <c r="AE259" s="110"/>
      <c r="AF259" s="110"/>
      <c r="AG259" s="110">
        <v>100</v>
      </c>
      <c r="AH259" s="107"/>
      <c r="AJ259" s="110"/>
      <c r="AK259" s="110"/>
      <c r="AL259" s="110"/>
      <c r="AM259" s="110"/>
      <c r="AN259" s="110"/>
      <c r="AO259" s="110"/>
    </row>
    <row r="260" spans="1:41" ht="12.75" hidden="1">
      <c r="A260" s="10" t="s">
        <v>532</v>
      </c>
      <c r="B260" s="229">
        <v>43998</v>
      </c>
      <c r="C260" s="10">
        <v>10000</v>
      </c>
      <c r="D260" s="10">
        <v>3</v>
      </c>
      <c r="E260" s="10"/>
      <c r="F260" s="107" t="s">
        <v>323</v>
      </c>
      <c r="G260" s="107"/>
      <c r="H260" s="107"/>
      <c r="I260" s="107"/>
      <c r="J260" s="107"/>
      <c r="K260" s="107"/>
      <c r="L260" s="107"/>
      <c r="M260" s="107"/>
      <c r="N260" s="107"/>
      <c r="O260" s="107"/>
      <c r="P260" s="107"/>
      <c r="Q260" s="107"/>
      <c r="R260" s="107"/>
      <c r="S260" s="107"/>
      <c r="T260" s="107"/>
      <c r="U260" s="107"/>
      <c r="V260" s="107"/>
      <c r="W260" s="107"/>
      <c r="X260" s="107"/>
      <c r="Y260" s="107"/>
      <c r="Z260" s="107"/>
      <c r="AA260" s="167">
        <v>44012</v>
      </c>
      <c r="AB260" s="109">
        <f>_xlfn.DAYS(AA260,B260)</f>
        <v>14</v>
      </c>
      <c r="AC260" s="110"/>
      <c r="AD260" s="110"/>
      <c r="AE260" s="110"/>
      <c r="AF260" s="110"/>
      <c r="AG260" s="110">
        <v>100</v>
      </c>
      <c r="AH260" s="107"/>
      <c r="AJ260" s="110"/>
      <c r="AK260" s="110"/>
      <c r="AL260" s="110"/>
      <c r="AM260" s="110"/>
      <c r="AN260" s="110"/>
      <c r="AO260" s="110"/>
    </row>
    <row r="261" spans="1:41" ht="12.75" hidden="1">
      <c r="A261" s="110" t="s">
        <v>533</v>
      </c>
      <c r="B261" s="229">
        <v>44005</v>
      </c>
      <c r="C261" s="110">
        <v>10000</v>
      </c>
      <c r="D261" s="110">
        <v>1</v>
      </c>
      <c r="E261" s="110"/>
      <c r="F261" s="107" t="s">
        <v>323</v>
      </c>
      <c r="G261" s="107"/>
      <c r="H261" s="107"/>
      <c r="I261" s="107"/>
      <c r="J261" s="107"/>
      <c r="K261" s="107"/>
      <c r="L261" s="107"/>
      <c r="M261" s="107"/>
      <c r="N261" s="107"/>
      <c r="O261" s="107"/>
      <c r="P261" s="107"/>
      <c r="Q261" s="107"/>
      <c r="R261" s="107"/>
      <c r="S261" s="107"/>
      <c r="T261" s="107"/>
      <c r="U261" s="107"/>
      <c r="V261" s="107"/>
      <c r="W261" s="107"/>
      <c r="X261" s="107"/>
      <c r="Y261" s="107"/>
      <c r="Z261" s="107"/>
      <c r="AA261" s="167">
        <v>44012</v>
      </c>
      <c r="AB261" s="109">
        <f>_xlfn.DAYS(AA261,B261)</f>
        <v>7</v>
      </c>
      <c r="AG261" s="110">
        <v>100</v>
      </c>
      <c r="AH261" s="107"/>
    </row>
    <row r="262" spans="1:41" ht="12.75" hidden="1">
      <c r="A262" s="110" t="s">
        <v>534</v>
      </c>
      <c r="B262" s="229">
        <v>44005</v>
      </c>
      <c r="C262" s="110">
        <v>10000</v>
      </c>
      <c r="D262" s="110">
        <v>1</v>
      </c>
      <c r="E262" s="110"/>
      <c r="F262" s="107" t="s">
        <v>323</v>
      </c>
      <c r="G262" s="107"/>
      <c r="H262" s="107"/>
      <c r="I262" s="107"/>
      <c r="J262" s="107"/>
      <c r="K262" s="107"/>
      <c r="L262" s="107"/>
      <c r="M262" s="107"/>
      <c r="N262" s="107"/>
      <c r="O262" s="107"/>
      <c r="P262" s="107"/>
      <c r="Q262" s="107"/>
      <c r="R262" s="107"/>
      <c r="S262" s="107"/>
      <c r="T262" s="107"/>
      <c r="U262" s="107"/>
      <c r="V262" s="107"/>
      <c r="W262" s="107"/>
      <c r="X262" s="107"/>
      <c r="Y262" s="107"/>
      <c r="Z262" s="107"/>
      <c r="AA262" s="167">
        <v>44012</v>
      </c>
      <c r="AB262" s="109">
        <f>_xlfn.DAYS(AA262,B262)</f>
        <v>7</v>
      </c>
      <c r="AG262" s="110">
        <v>100</v>
      </c>
      <c r="AH262" s="107"/>
    </row>
    <row r="263" spans="1:41" ht="12.75" hidden="1">
      <c r="A263" s="110" t="s">
        <v>535</v>
      </c>
      <c r="B263" s="229">
        <v>44005</v>
      </c>
      <c r="C263" s="110">
        <v>10000</v>
      </c>
      <c r="D263" s="110">
        <v>1</v>
      </c>
      <c r="E263" s="110"/>
      <c r="F263" s="107" t="s">
        <v>323</v>
      </c>
      <c r="G263" s="107"/>
      <c r="H263" s="107"/>
      <c r="I263" s="107"/>
      <c r="J263" s="107"/>
      <c r="K263" s="107"/>
      <c r="L263" s="107"/>
      <c r="M263" s="107"/>
      <c r="N263" s="107"/>
      <c r="O263" s="107"/>
      <c r="P263" s="107"/>
      <c r="Q263" s="107"/>
      <c r="R263" s="107"/>
      <c r="S263" s="107"/>
      <c r="T263" s="107"/>
      <c r="U263" s="107"/>
      <c r="V263" s="107"/>
      <c r="W263" s="107"/>
      <c r="X263" s="107"/>
      <c r="Y263" s="107"/>
      <c r="Z263" s="107"/>
      <c r="AA263" s="167">
        <v>44012</v>
      </c>
      <c r="AB263" s="109">
        <f>_xlfn.DAYS(AA263,B263)</f>
        <v>7</v>
      </c>
      <c r="AG263" s="110">
        <v>100</v>
      </c>
      <c r="AH263" s="107"/>
    </row>
    <row r="264" spans="1:41" ht="12.75" hidden="1">
      <c r="A264" s="112" t="s">
        <v>536</v>
      </c>
      <c r="B264" s="235">
        <v>43963</v>
      </c>
      <c r="C264" s="112">
        <v>10000</v>
      </c>
      <c r="D264" s="112">
        <v>7</v>
      </c>
      <c r="E264" s="112"/>
      <c r="F264" s="107" t="s">
        <v>323</v>
      </c>
      <c r="G264" s="107"/>
      <c r="H264" s="107"/>
      <c r="I264" s="107"/>
      <c r="J264" s="107"/>
      <c r="K264" s="107"/>
      <c r="L264" s="107"/>
      <c r="M264" s="107"/>
      <c r="N264" s="107"/>
      <c r="O264" s="107"/>
      <c r="P264" s="107"/>
      <c r="Q264" s="107"/>
      <c r="R264" s="107"/>
      <c r="S264" s="107"/>
      <c r="T264" s="107"/>
      <c r="U264" s="107"/>
      <c r="V264" s="107"/>
      <c r="W264" s="107"/>
      <c r="X264" s="107"/>
      <c r="Y264" s="107"/>
      <c r="Z264" s="107"/>
      <c r="AA264" s="169">
        <v>44012</v>
      </c>
      <c r="AB264" s="109">
        <f>_xlfn.DAYS(AA264,B264)</f>
        <v>49</v>
      </c>
      <c r="AC264" s="112"/>
      <c r="AD264" s="112"/>
      <c r="AE264" s="112"/>
      <c r="AF264" s="112"/>
      <c r="AG264" s="110">
        <v>100</v>
      </c>
      <c r="AH264" s="107"/>
      <c r="AJ264" s="112"/>
    </row>
    <row r="265" spans="1:41" ht="12.75" hidden="1">
      <c r="A265" s="110" t="s">
        <v>537</v>
      </c>
      <c r="B265" s="229">
        <v>43977</v>
      </c>
      <c r="C265" s="110">
        <v>10000</v>
      </c>
      <c r="D265" s="110">
        <v>6</v>
      </c>
      <c r="E265" s="110"/>
      <c r="F265" s="107" t="s">
        <v>263</v>
      </c>
      <c r="G265" s="107"/>
      <c r="H265" s="107"/>
      <c r="I265" s="107"/>
      <c r="J265" s="107"/>
      <c r="K265" s="107"/>
      <c r="L265" s="107"/>
      <c r="M265" s="107"/>
      <c r="N265" s="107"/>
      <c r="O265" s="107"/>
      <c r="P265" s="107"/>
      <c r="Q265" s="107"/>
      <c r="R265" s="107"/>
      <c r="S265" s="107"/>
      <c r="T265" s="107"/>
      <c r="U265" s="107"/>
      <c r="V265" s="107"/>
      <c r="W265" s="107"/>
      <c r="X265" s="107"/>
      <c r="Y265" s="107"/>
      <c r="Z265" s="107"/>
      <c r="AA265" s="167">
        <v>44006</v>
      </c>
      <c r="AB265" s="109">
        <f>_xlfn.DAYS(AA265,B265)</f>
        <v>29</v>
      </c>
      <c r="AC265" s="110">
        <f>AVERAGE(4/11,2/12)*100</f>
        <v>26.515151515151516</v>
      </c>
      <c r="AD265" s="110">
        <v>1423.5</v>
      </c>
      <c r="AE265" s="110">
        <v>437</v>
      </c>
      <c r="AF265" s="110">
        <v>33.5</v>
      </c>
      <c r="AG265" s="110">
        <v>50</v>
      </c>
      <c r="AH265" s="108">
        <f>(AD265-AF265)/(D265*$K$1*2)%</f>
        <v>21.060606060606062</v>
      </c>
      <c r="AI265" s="108">
        <f>(AE265+AF265)/(D265*$K$1*2)%</f>
        <v>7.1287878787878789</v>
      </c>
      <c r="AK265" s="110"/>
      <c r="AL265" s="110"/>
      <c r="AM265" s="110"/>
      <c r="AN265" s="110"/>
      <c r="AO265" s="110"/>
    </row>
    <row r="266" spans="1:41" ht="12.75" hidden="1">
      <c r="A266" s="10" t="s">
        <v>538</v>
      </c>
      <c r="B266" s="229">
        <v>43999</v>
      </c>
      <c r="C266" s="110">
        <v>9000</v>
      </c>
      <c r="D266" s="110">
        <v>2.5</v>
      </c>
      <c r="E266" s="110"/>
      <c r="F266" s="107" t="s">
        <v>323</v>
      </c>
      <c r="G266" s="107"/>
      <c r="H266" s="107"/>
      <c r="I266" s="107"/>
      <c r="J266" s="107"/>
      <c r="K266" s="107"/>
      <c r="L266" s="107"/>
      <c r="M266" s="107"/>
      <c r="N266" s="107"/>
      <c r="O266" s="107"/>
      <c r="P266" s="107"/>
      <c r="Q266" s="107"/>
      <c r="R266" s="107"/>
      <c r="S266" s="107"/>
      <c r="T266" s="107"/>
      <c r="U266" s="107"/>
      <c r="V266" s="107"/>
      <c r="W266" s="107"/>
      <c r="X266" s="107"/>
      <c r="Y266" s="107"/>
      <c r="Z266" s="107"/>
      <c r="AA266" s="167">
        <v>44012</v>
      </c>
      <c r="AB266" s="109">
        <f>_xlfn.DAYS(AA266,B266)</f>
        <v>13</v>
      </c>
      <c r="AC266" s="110"/>
      <c r="AD266" s="110"/>
      <c r="AE266" s="110"/>
      <c r="AF266" s="110"/>
      <c r="AG266" s="110">
        <v>100</v>
      </c>
      <c r="AH266" s="107"/>
    </row>
    <row r="267" spans="1:41" ht="12.75" hidden="1">
      <c r="A267" s="10" t="s">
        <v>539</v>
      </c>
      <c r="B267" s="229">
        <v>43999</v>
      </c>
      <c r="C267" s="110">
        <v>9000</v>
      </c>
      <c r="D267" s="110">
        <v>2.5</v>
      </c>
      <c r="E267" s="110"/>
      <c r="F267" s="107" t="s">
        <v>323</v>
      </c>
      <c r="G267" s="107"/>
      <c r="H267" s="107"/>
      <c r="I267" s="107"/>
      <c r="J267" s="107"/>
      <c r="K267" s="107"/>
      <c r="L267" s="107"/>
      <c r="M267" s="107"/>
      <c r="N267" s="107"/>
      <c r="O267" s="107"/>
      <c r="P267" s="107"/>
      <c r="Q267" s="107"/>
      <c r="R267" s="107"/>
      <c r="S267" s="107"/>
      <c r="T267" s="107"/>
      <c r="U267" s="107"/>
      <c r="V267" s="107"/>
      <c r="W267" s="107"/>
      <c r="X267" s="107"/>
      <c r="Y267" s="107"/>
      <c r="Z267" s="107"/>
      <c r="AA267" s="167">
        <v>44012</v>
      </c>
      <c r="AB267" s="109">
        <f>_xlfn.DAYS(AA267,B267)</f>
        <v>13</v>
      </c>
      <c r="AC267" s="110"/>
      <c r="AD267" s="110"/>
      <c r="AE267" s="110"/>
      <c r="AF267" s="110"/>
      <c r="AG267" s="110">
        <v>100</v>
      </c>
      <c r="AH267" s="107"/>
    </row>
    <row r="268" spans="1:41" ht="12.75" hidden="1">
      <c r="A268" s="110" t="s">
        <v>540</v>
      </c>
      <c r="B268" s="229">
        <v>44039</v>
      </c>
      <c r="C268" s="224">
        <v>10000</v>
      </c>
      <c r="D268" s="110">
        <v>9.5</v>
      </c>
      <c r="E268" s="110"/>
      <c r="F268" s="107" t="s">
        <v>263</v>
      </c>
      <c r="G268" s="107"/>
      <c r="H268" s="107"/>
      <c r="I268" s="107"/>
      <c r="J268" s="107"/>
      <c r="K268" s="107"/>
      <c r="L268" s="107"/>
      <c r="M268" s="107"/>
      <c r="N268" s="107"/>
      <c r="O268" s="107"/>
      <c r="P268" s="107"/>
      <c r="Q268" s="107"/>
      <c r="R268" s="107"/>
      <c r="S268" s="107"/>
      <c r="T268" s="107"/>
      <c r="U268" s="107"/>
      <c r="V268" s="107"/>
      <c r="W268" s="107"/>
      <c r="X268" s="107"/>
      <c r="Y268" s="107"/>
      <c r="Z268" s="107"/>
      <c r="AA268" s="167">
        <v>44075</v>
      </c>
      <c r="AB268" s="109">
        <f>_xlfn.DAYS(AA268,B268)</f>
        <v>36</v>
      </c>
      <c r="AC268" s="110">
        <f>AVERAGE(5/18,4/13)*100</f>
        <v>29.273504273504276</v>
      </c>
      <c r="AD268" s="110">
        <v>1399</v>
      </c>
      <c r="AE268" s="110">
        <v>349</v>
      </c>
      <c r="AF268" s="110">
        <v>83</v>
      </c>
      <c r="AG268" s="107">
        <f>COUNTIFS(F:F,"Culled",A:A,LEFT(A268,LEN(A268)-3)&amp;"*")/COUNTIF(A:A,LEFT(A268,LEN(A268)-3)&amp;"*")*100</f>
        <v>25</v>
      </c>
      <c r="AH268" s="108">
        <f>(AD268-AF268)/(D268*$K$1*2)%</f>
        <v>12.593301435406699</v>
      </c>
      <c r="AI268" s="108">
        <f>(AE268+AF268)/(D268*$K$1*2)%</f>
        <v>4.133971291866029</v>
      </c>
      <c r="AK268" s="110"/>
      <c r="AL268" s="110"/>
      <c r="AM268" s="110"/>
      <c r="AN268" s="110"/>
      <c r="AO268" s="110"/>
    </row>
    <row r="269" spans="1:41" ht="12.75" hidden="1">
      <c r="A269" s="110" t="s">
        <v>541</v>
      </c>
      <c r="B269" s="229">
        <v>44039</v>
      </c>
      <c r="C269" s="224">
        <v>10000</v>
      </c>
      <c r="D269" s="110">
        <v>9</v>
      </c>
      <c r="E269" s="110"/>
      <c r="F269" s="107" t="s">
        <v>263</v>
      </c>
      <c r="G269" s="107"/>
      <c r="H269" s="107"/>
      <c r="I269" s="107"/>
      <c r="J269" s="107"/>
      <c r="K269" s="107"/>
      <c r="L269" s="107"/>
      <c r="M269" s="107"/>
      <c r="N269" s="107"/>
      <c r="O269" s="107"/>
      <c r="P269" s="107"/>
      <c r="Q269" s="107"/>
      <c r="R269" s="107"/>
      <c r="S269" s="107"/>
      <c r="T269" s="107"/>
      <c r="U269" s="107"/>
      <c r="V269" s="107"/>
      <c r="W269" s="107"/>
      <c r="X269" s="107"/>
      <c r="Y269" s="107"/>
      <c r="Z269" s="107"/>
      <c r="AA269" s="167">
        <v>44075</v>
      </c>
      <c r="AB269" s="109">
        <f>_xlfn.DAYS(AA269,B269)</f>
        <v>36</v>
      </c>
      <c r="AC269" s="110">
        <f>AVERAGE(9/14,12/21)*100</f>
        <v>60.714285714285722</v>
      </c>
      <c r="AD269" s="110">
        <v>1367</v>
      </c>
      <c r="AE269" s="110">
        <v>271.5</v>
      </c>
      <c r="AF269" s="110">
        <v>60</v>
      </c>
      <c r="AG269" s="107">
        <f>COUNTIFS(F:F,"Culled",A:A,LEFT(A269,LEN(A269)-3)&amp;"*")/COUNTIF(A:A,LEFT(A269,LEN(A269)-3)&amp;"*")*100</f>
        <v>25</v>
      </c>
      <c r="AH269" s="108">
        <f>(AD269-AF269)/(D269*$K$1*2)%</f>
        <v>13.202020202020202</v>
      </c>
      <c r="AI269" s="108">
        <f>(AE269+AF269)/(D269*$K$1*2)%</f>
        <v>3.3484848484848486</v>
      </c>
    </row>
    <row r="270" spans="1:41" ht="12.75" hidden="1">
      <c r="A270" s="10" t="s">
        <v>542</v>
      </c>
      <c r="B270" s="229">
        <v>43963</v>
      </c>
      <c r="C270" s="10">
        <v>10000</v>
      </c>
      <c r="D270" s="10">
        <v>7</v>
      </c>
      <c r="E270" s="10"/>
      <c r="F270" s="107" t="s">
        <v>323</v>
      </c>
      <c r="G270" s="107"/>
      <c r="H270" s="107"/>
      <c r="I270" s="107"/>
      <c r="J270" s="107"/>
      <c r="K270" s="107"/>
      <c r="L270" s="107"/>
      <c r="M270" s="107"/>
      <c r="N270" s="107"/>
      <c r="O270" s="107"/>
      <c r="P270" s="107"/>
      <c r="Q270" s="107"/>
      <c r="R270" s="107"/>
      <c r="S270" s="107"/>
      <c r="T270" s="107"/>
      <c r="U270" s="107"/>
      <c r="V270" s="107"/>
      <c r="W270" s="107"/>
      <c r="X270" s="107"/>
      <c r="Y270" s="107"/>
      <c r="Z270" s="107"/>
      <c r="AA270" s="167">
        <v>44013</v>
      </c>
      <c r="AB270" s="109">
        <f>_xlfn.DAYS(AA270,B270)</f>
        <v>50</v>
      </c>
      <c r="AG270" s="110">
        <v>100</v>
      </c>
      <c r="AH270" s="107"/>
    </row>
    <row r="271" spans="1:41" ht="12.75" hidden="1">
      <c r="A271" s="10" t="s">
        <v>543</v>
      </c>
      <c r="B271" s="229">
        <v>43963</v>
      </c>
      <c r="C271" s="10">
        <v>10000</v>
      </c>
      <c r="D271" s="10">
        <v>7.5</v>
      </c>
      <c r="E271" s="10"/>
      <c r="F271" s="107" t="s">
        <v>323</v>
      </c>
      <c r="G271" s="107"/>
      <c r="H271" s="107"/>
      <c r="I271" s="107"/>
      <c r="J271" s="107"/>
      <c r="K271" s="107"/>
      <c r="L271" s="107"/>
      <c r="M271" s="107"/>
      <c r="N271" s="107"/>
      <c r="O271" s="107"/>
      <c r="P271" s="107"/>
      <c r="Q271" s="107"/>
      <c r="R271" s="107"/>
      <c r="S271" s="107"/>
      <c r="T271" s="107"/>
      <c r="U271" s="107"/>
      <c r="V271" s="107"/>
      <c r="W271" s="107"/>
      <c r="X271" s="107"/>
      <c r="Y271" s="107"/>
      <c r="Z271" s="107"/>
      <c r="AA271" s="167">
        <v>44013</v>
      </c>
      <c r="AB271" s="109">
        <f>_xlfn.DAYS(AA271,B271)</f>
        <v>50</v>
      </c>
      <c r="AG271" s="110">
        <v>100</v>
      </c>
      <c r="AH271" s="107"/>
    </row>
    <row r="272" spans="1:41" ht="12.75" hidden="1">
      <c r="A272" s="110" t="s">
        <v>544</v>
      </c>
      <c r="B272" s="229">
        <v>44039</v>
      </c>
      <c r="C272" s="224">
        <v>10000</v>
      </c>
      <c r="D272" s="110">
        <v>9</v>
      </c>
      <c r="E272" s="110"/>
      <c r="F272" s="107" t="s">
        <v>263</v>
      </c>
      <c r="G272" s="107"/>
      <c r="H272" s="107"/>
      <c r="I272" s="107"/>
      <c r="J272" s="107"/>
      <c r="K272" s="107"/>
      <c r="L272" s="107"/>
      <c r="M272" s="107"/>
      <c r="N272" s="107"/>
      <c r="O272" s="107"/>
      <c r="P272" s="107"/>
      <c r="Q272" s="107"/>
      <c r="R272" s="107"/>
      <c r="S272" s="107"/>
      <c r="T272" s="107"/>
      <c r="U272" s="107"/>
      <c r="V272" s="107"/>
      <c r="W272" s="107"/>
      <c r="X272" s="107"/>
      <c r="Y272" s="107"/>
      <c r="Z272" s="107"/>
      <c r="AA272" s="167">
        <v>44075</v>
      </c>
      <c r="AB272" s="109">
        <f>_xlfn.DAYS(AA272,B272)</f>
        <v>36</v>
      </c>
      <c r="AC272" s="110">
        <f>AVERAGE(5/20,10/24)*100</f>
        <v>33.333333333333336</v>
      </c>
      <c r="AD272" s="110">
        <v>1220.5</v>
      </c>
      <c r="AE272" s="110">
        <v>266</v>
      </c>
      <c r="AF272" s="110">
        <v>39</v>
      </c>
      <c r="AG272" s="107">
        <f>COUNTIFS(F:F,"Culled",A:A,LEFT(A272,LEN(A272)-3)&amp;"*")/COUNTIF(A:A,LEFT(A272,LEN(A272)-3)&amp;"*")*100</f>
        <v>25</v>
      </c>
      <c r="AH272" s="108">
        <f>(AD272-AF272)/(D272*$K$1*2)%</f>
        <v>11.934343434343434</v>
      </c>
      <c r="AI272" s="108">
        <f>(AE272+AF272)/(D272*$K$1*2)%</f>
        <v>3.0808080808080809</v>
      </c>
    </row>
    <row r="273" spans="1:41" ht="12.75" hidden="1">
      <c r="A273" s="10" t="s">
        <v>545</v>
      </c>
      <c r="B273" s="229">
        <v>43987</v>
      </c>
      <c r="C273" s="10">
        <v>10000</v>
      </c>
      <c r="D273" s="10">
        <v>7</v>
      </c>
      <c r="E273" s="10"/>
      <c r="F273" s="107" t="s">
        <v>323</v>
      </c>
      <c r="G273" s="107"/>
      <c r="H273" s="107"/>
      <c r="I273" s="107"/>
      <c r="J273" s="107"/>
      <c r="K273" s="107"/>
      <c r="L273" s="107"/>
      <c r="M273" s="107"/>
      <c r="N273" s="107"/>
      <c r="O273" s="107"/>
      <c r="P273" s="107"/>
      <c r="Q273" s="107"/>
      <c r="R273" s="107"/>
      <c r="S273" s="107"/>
      <c r="T273" s="107"/>
      <c r="U273" s="107"/>
      <c r="V273" s="107"/>
      <c r="W273" s="107"/>
      <c r="X273" s="107"/>
      <c r="Y273" s="107"/>
      <c r="Z273" s="107"/>
      <c r="AA273" s="167">
        <v>44014</v>
      </c>
      <c r="AB273" s="109">
        <f>_xlfn.DAYS(AA273,B273)</f>
        <v>27</v>
      </c>
      <c r="AG273" s="10">
        <v>30</v>
      </c>
      <c r="AH273" s="107"/>
    </row>
    <row r="274" spans="1:41" ht="12.75" hidden="1">
      <c r="A274" s="107" t="s">
        <v>546</v>
      </c>
      <c r="B274" s="226">
        <v>44070</v>
      </c>
      <c r="C274" s="230">
        <v>12016</v>
      </c>
      <c r="D274" s="107">
        <f>COUNTA(G274:Z274)*0.5</f>
        <v>5.5</v>
      </c>
      <c r="F274" s="107" t="s">
        <v>263</v>
      </c>
      <c r="G274" s="178">
        <v>44070</v>
      </c>
      <c r="H274" s="178">
        <v>44070</v>
      </c>
      <c r="I274" s="178">
        <v>44074</v>
      </c>
      <c r="J274" s="178">
        <v>44074</v>
      </c>
      <c r="K274" s="178">
        <v>44078</v>
      </c>
      <c r="L274" s="178">
        <v>44081</v>
      </c>
      <c r="M274" s="178">
        <v>44083</v>
      </c>
      <c r="N274" s="178">
        <v>44085</v>
      </c>
      <c r="O274" s="178">
        <v>44088</v>
      </c>
      <c r="P274" s="178" t="s">
        <v>375</v>
      </c>
      <c r="Q274" s="178" t="s">
        <v>376</v>
      </c>
      <c r="AA274" s="166">
        <v>44109</v>
      </c>
      <c r="AB274" s="109">
        <f>_xlfn.DAYS(AA274,B274)</f>
        <v>39</v>
      </c>
      <c r="AC274" s="107">
        <f>(17/21+19/29)/2%</f>
        <v>73.234811165845642</v>
      </c>
      <c r="AD274" s="107">
        <v>591.5</v>
      </c>
      <c r="AE274" s="107">
        <v>248</v>
      </c>
      <c r="AG274" s="107">
        <f>COUNTIFS(F:F,"Culled",A:A,LEFT(A274,LEN(A274)-3)&amp;"*")/COUNTIF(A:A,LEFT(A274,LEN(A274)-3)&amp;"*")*100</f>
        <v>25</v>
      </c>
      <c r="AH274" s="108">
        <f>(AD274-AF274)/(D274*$K$1*2)%</f>
        <v>9.776859504132231</v>
      </c>
      <c r="AI274" s="108">
        <f>(AE274+AF274)/(D274*$K$1*2)%</f>
        <v>4.0991735537190079</v>
      </c>
    </row>
    <row r="275" spans="1:41" ht="12.75" hidden="1">
      <c r="A275" s="107" t="s">
        <v>547</v>
      </c>
      <c r="B275" s="226">
        <v>44070</v>
      </c>
      <c r="C275" s="230">
        <v>12016</v>
      </c>
      <c r="D275" s="107">
        <f>COUNTA(G275:Z275)*0.5</f>
        <v>4.5</v>
      </c>
      <c r="F275" s="107" t="s">
        <v>263</v>
      </c>
      <c r="G275" s="178">
        <v>44070</v>
      </c>
      <c r="H275" s="178">
        <v>44070</v>
      </c>
      <c r="I275" s="178">
        <v>44074</v>
      </c>
      <c r="J275" s="178">
        <v>44074</v>
      </c>
      <c r="K275" s="178">
        <v>44078</v>
      </c>
      <c r="L275" s="178">
        <v>44081</v>
      </c>
      <c r="M275" s="178">
        <v>44088</v>
      </c>
      <c r="N275" s="178" t="s">
        <v>375</v>
      </c>
      <c r="O275" s="178" t="s">
        <v>376</v>
      </c>
      <c r="AA275" s="166">
        <v>44109</v>
      </c>
      <c r="AB275" s="109">
        <f>_xlfn.DAYS(AA275,B275)</f>
        <v>39</v>
      </c>
      <c r="AC275" s="107">
        <f>(18/29+19/23)/2%</f>
        <v>72.338830584707651</v>
      </c>
      <c r="AD275" s="107">
        <v>510.5</v>
      </c>
      <c r="AE275" s="107">
        <v>250.5</v>
      </c>
      <c r="AG275" s="107">
        <f>COUNTIFS(F:F,"Culled",A:A,LEFT(A275,LEN(A275)-3)&amp;"*")/COUNTIF(A:A,LEFT(A275,LEN(A275)-3)&amp;"*")*100</f>
        <v>25</v>
      </c>
      <c r="AH275" s="108">
        <f>(AD275-AF275)/(D275*$K$1*2)%</f>
        <v>10.313131313131313</v>
      </c>
      <c r="AI275" s="108">
        <f>(AE275+AF275)/(D275*$K$1*2)%</f>
        <v>5.0606060606060606</v>
      </c>
    </row>
    <row r="276" spans="1:41" ht="12.75" hidden="1">
      <c r="A276" s="110" t="s">
        <v>548</v>
      </c>
      <c r="B276" s="229">
        <v>44041</v>
      </c>
      <c r="C276" s="224">
        <v>10000</v>
      </c>
      <c r="D276" s="110">
        <v>7.5</v>
      </c>
      <c r="E276" s="110"/>
      <c r="F276" s="107" t="s">
        <v>263</v>
      </c>
      <c r="G276" s="107"/>
      <c r="H276" s="107"/>
      <c r="I276" s="107"/>
      <c r="J276" s="107"/>
      <c r="K276" s="107"/>
      <c r="L276" s="107"/>
      <c r="M276" s="107"/>
      <c r="N276" s="107"/>
      <c r="O276" s="107"/>
      <c r="P276" s="107"/>
      <c r="Q276" s="107"/>
      <c r="R276" s="107"/>
      <c r="S276" s="107"/>
      <c r="T276" s="107"/>
      <c r="U276" s="107"/>
      <c r="V276" s="107"/>
      <c r="W276" s="107"/>
      <c r="X276" s="107"/>
      <c r="Y276" s="107"/>
      <c r="Z276" s="107"/>
      <c r="AA276" s="167">
        <v>44076</v>
      </c>
      <c r="AB276" s="109">
        <f>_xlfn.DAYS(AA276,B276)</f>
        <v>35</v>
      </c>
      <c r="AC276" s="110">
        <f>AVERAGE(6/16,9/20)*100</f>
        <v>41.25</v>
      </c>
      <c r="AD276" s="110">
        <v>1473.5</v>
      </c>
      <c r="AE276" s="110">
        <v>315</v>
      </c>
      <c r="AF276" s="110">
        <v>93</v>
      </c>
      <c r="AG276" s="107">
        <f>COUNTIFS(F:F,"Culled",A:A,LEFT(A276,LEN(A276)-3)&amp;"*")/COUNTIF(A:A,LEFT(A276,LEN(A276)-3)&amp;"*")*100</f>
        <v>40</v>
      </c>
      <c r="AH276" s="108">
        <f>(AD276-AF276)/(D276*$K$1*2)%</f>
        <v>16.733333333333334</v>
      </c>
      <c r="AI276" s="108">
        <f>(AE276+AF276)/(D276*$K$1*2)%</f>
        <v>4.9454545454545453</v>
      </c>
    </row>
    <row r="277" spans="1:41" ht="12.75" hidden="1">
      <c r="A277" s="110" t="s">
        <v>549</v>
      </c>
      <c r="B277" s="229">
        <v>44041</v>
      </c>
      <c r="C277" s="224">
        <v>10000</v>
      </c>
      <c r="D277" s="110">
        <v>7.5</v>
      </c>
      <c r="E277" s="110"/>
      <c r="F277" s="107" t="s">
        <v>263</v>
      </c>
      <c r="G277" s="107"/>
      <c r="H277" s="107"/>
      <c r="I277" s="107"/>
      <c r="J277" s="107"/>
      <c r="K277" s="107"/>
      <c r="L277" s="107"/>
      <c r="M277" s="107"/>
      <c r="N277" s="107"/>
      <c r="O277" s="107"/>
      <c r="P277" s="107"/>
      <c r="Q277" s="107"/>
      <c r="R277" s="107"/>
      <c r="S277" s="107"/>
      <c r="T277" s="107"/>
      <c r="U277" s="107"/>
      <c r="V277" s="107"/>
      <c r="W277" s="107"/>
      <c r="X277" s="107"/>
      <c r="Y277" s="107"/>
      <c r="Z277" s="107"/>
      <c r="AA277" s="167">
        <v>44076</v>
      </c>
      <c r="AB277" s="109">
        <f>_xlfn.DAYS(AA277,B277)</f>
        <v>35</v>
      </c>
      <c r="AC277" s="110">
        <f>AVERAGE(7/21,9/24)*100</f>
        <v>35.416666666666664</v>
      </c>
      <c r="AD277" s="110">
        <v>1281.5</v>
      </c>
      <c r="AE277" s="110">
        <v>372.5</v>
      </c>
      <c r="AF277" s="110">
        <v>40</v>
      </c>
      <c r="AG277" s="107">
        <f>COUNTIFS(F:F,"Culled",A:A,LEFT(A277,LEN(A277)-3)&amp;"*")/COUNTIF(A:A,LEFT(A277,LEN(A277)-3)&amp;"*")*100</f>
        <v>40</v>
      </c>
      <c r="AH277" s="108">
        <f>(AD277-AF277)/(D277*$K$1*2)%</f>
        <v>15.048484848484849</v>
      </c>
      <c r="AI277" s="108">
        <f>(AE277+AF277)/(D277*$K$1*2)%</f>
        <v>5</v>
      </c>
      <c r="AK277" s="110"/>
      <c r="AL277" s="110"/>
      <c r="AM277" s="110"/>
      <c r="AN277" s="110"/>
      <c r="AO277" s="110"/>
    </row>
    <row r="278" spans="1:41" ht="12.75" hidden="1">
      <c r="A278" s="110" t="s">
        <v>550</v>
      </c>
      <c r="B278" s="229">
        <v>44041</v>
      </c>
      <c r="C278" s="224">
        <v>10000</v>
      </c>
      <c r="D278" s="110">
        <v>7.5</v>
      </c>
      <c r="E278" s="110"/>
      <c r="F278" s="107" t="s">
        <v>263</v>
      </c>
      <c r="G278" s="107"/>
      <c r="H278" s="107"/>
      <c r="I278" s="107"/>
      <c r="J278" s="107"/>
      <c r="K278" s="107"/>
      <c r="L278" s="107"/>
      <c r="M278" s="107"/>
      <c r="N278" s="107"/>
      <c r="O278" s="107"/>
      <c r="P278" s="107"/>
      <c r="Q278" s="107"/>
      <c r="R278" s="107"/>
      <c r="S278" s="107"/>
      <c r="T278" s="107"/>
      <c r="U278" s="107"/>
      <c r="V278" s="107"/>
      <c r="W278" s="107"/>
      <c r="X278" s="107"/>
      <c r="Y278" s="107"/>
      <c r="Z278" s="107"/>
      <c r="AA278" s="167">
        <v>44076</v>
      </c>
      <c r="AB278" s="109">
        <f>_xlfn.DAYS(AA278,B278)</f>
        <v>35</v>
      </c>
      <c r="AC278" s="110">
        <f>AVERAGE(3/14,6/16)*100</f>
        <v>29.464285714285715</v>
      </c>
      <c r="AD278" s="110">
        <v>1357</v>
      </c>
      <c r="AE278" s="110">
        <v>322.5</v>
      </c>
      <c r="AF278" s="110">
        <v>79</v>
      </c>
      <c r="AG278" s="107">
        <f>COUNTIFS(F:F,"Culled",A:A,LEFT(A278,LEN(A278)-3)&amp;"*")/COUNTIF(A:A,LEFT(A278,LEN(A278)-3)&amp;"*")*100</f>
        <v>40</v>
      </c>
      <c r="AH278" s="108">
        <f>(AD278-AF278)/(D278*$K$1*2)%</f>
        <v>15.49090909090909</v>
      </c>
      <c r="AI278" s="108">
        <f>(AE278+AF278)/(D278*$K$1*2)%</f>
        <v>4.8666666666666663</v>
      </c>
      <c r="AK278" s="110"/>
      <c r="AL278" s="110"/>
      <c r="AM278" s="110"/>
      <c r="AN278" s="110"/>
      <c r="AO278" s="110"/>
    </row>
    <row r="279" spans="1:41" ht="12.75" hidden="1">
      <c r="A279" s="110" t="s">
        <v>551</v>
      </c>
      <c r="B279" s="229">
        <v>44041</v>
      </c>
      <c r="C279" s="224">
        <v>10000</v>
      </c>
      <c r="D279" s="110">
        <v>7.5</v>
      </c>
      <c r="E279" s="110"/>
      <c r="F279" s="107" t="s">
        <v>263</v>
      </c>
      <c r="G279" s="107"/>
      <c r="H279" s="107"/>
      <c r="I279" s="107"/>
      <c r="J279" s="107"/>
      <c r="K279" s="107"/>
      <c r="L279" s="107"/>
      <c r="M279" s="107"/>
      <c r="N279" s="107"/>
      <c r="O279" s="107"/>
      <c r="P279" s="107"/>
      <c r="Q279" s="107"/>
      <c r="R279" s="107"/>
      <c r="S279" s="107"/>
      <c r="T279" s="107"/>
      <c r="U279" s="107"/>
      <c r="V279" s="107"/>
      <c r="W279" s="107"/>
      <c r="X279" s="107"/>
      <c r="Y279" s="107"/>
      <c r="Z279" s="107"/>
      <c r="AA279" s="167">
        <v>44076</v>
      </c>
      <c r="AB279" s="109">
        <f>_xlfn.DAYS(AA279,B279)</f>
        <v>35</v>
      </c>
      <c r="AC279" s="110">
        <f>AVERAGE(6/18,3/21)*100</f>
        <v>23.809523809523807</v>
      </c>
      <c r="AD279" s="110">
        <v>1490.5</v>
      </c>
      <c r="AE279" s="110">
        <v>323.5</v>
      </c>
      <c r="AF279" s="110">
        <v>85</v>
      </c>
      <c r="AG279" s="107">
        <f>COUNTIFS(F:F,"Culled",A:A,LEFT(A279,LEN(A279)-3)&amp;"*")/COUNTIF(A:A,LEFT(A279,LEN(A279)-3)&amp;"*")*100</f>
        <v>40</v>
      </c>
      <c r="AH279" s="108">
        <f>(AD279-AF279)/(D279*$K$1*2)%</f>
        <v>17.036363636363635</v>
      </c>
      <c r="AI279" s="108">
        <f>(AE279+AF279)/(D279*$K$1*2)%</f>
        <v>4.9515151515151512</v>
      </c>
      <c r="AK279" s="110"/>
      <c r="AL279" s="110"/>
      <c r="AM279" s="110"/>
      <c r="AN279" s="110"/>
      <c r="AO279" s="110"/>
    </row>
    <row r="280" spans="1:41" ht="12.75" hidden="1">
      <c r="A280" s="110" t="s">
        <v>552</v>
      </c>
      <c r="B280" s="229">
        <v>44041</v>
      </c>
      <c r="C280" s="224">
        <v>10000</v>
      </c>
      <c r="D280" s="110">
        <v>7.5</v>
      </c>
      <c r="E280" s="110"/>
      <c r="F280" s="107" t="s">
        <v>263</v>
      </c>
      <c r="G280" s="107"/>
      <c r="H280" s="107"/>
      <c r="I280" s="107"/>
      <c r="J280" s="107"/>
      <c r="K280" s="107"/>
      <c r="L280" s="107"/>
      <c r="M280" s="107"/>
      <c r="N280" s="107"/>
      <c r="O280" s="107"/>
      <c r="P280" s="107"/>
      <c r="Q280" s="107"/>
      <c r="R280" s="107"/>
      <c r="S280" s="107"/>
      <c r="T280" s="107"/>
      <c r="U280" s="107"/>
      <c r="V280" s="107"/>
      <c r="W280" s="107"/>
      <c r="X280" s="107"/>
      <c r="Y280" s="107"/>
      <c r="Z280" s="107"/>
      <c r="AA280" s="167">
        <v>44076</v>
      </c>
      <c r="AB280" s="109">
        <f>_xlfn.DAYS(AA280,B280)</f>
        <v>35</v>
      </c>
      <c r="AC280" s="110">
        <f>AVERAGE(8/22,8/17)*100</f>
        <v>41.711229946524064</v>
      </c>
      <c r="AD280" s="110">
        <v>1346.5</v>
      </c>
      <c r="AE280" s="110">
        <v>346</v>
      </c>
      <c r="AF280" s="110">
        <v>74.5</v>
      </c>
      <c r="AG280" s="107">
        <f>COUNTIFS(F:F,"Culled",A:A,LEFT(A280,LEN(A280)-3)&amp;"*")/COUNTIF(A:A,LEFT(A280,LEN(A280)-3)&amp;"*")*100</f>
        <v>40</v>
      </c>
      <c r="AH280" s="108">
        <f>(AD280-AF280)/(D280*$K$1*2)%</f>
        <v>15.418181818181818</v>
      </c>
      <c r="AI280" s="108">
        <f>(AE280+AF280)/(D280*$K$1*2)%</f>
        <v>5.0969696969696967</v>
      </c>
      <c r="AK280" s="110"/>
      <c r="AL280" s="110"/>
      <c r="AM280" s="110"/>
      <c r="AN280" s="110"/>
      <c r="AO280" s="110"/>
    </row>
    <row r="281" spans="1:41" ht="17.25" hidden="1" customHeight="1">
      <c r="A281" s="110" t="s">
        <v>553</v>
      </c>
      <c r="B281" s="229">
        <v>43856</v>
      </c>
      <c r="C281" s="110">
        <v>10000</v>
      </c>
      <c r="D281" s="110">
        <v>1.5</v>
      </c>
      <c r="E281" s="110"/>
      <c r="F281" s="107" t="s">
        <v>323</v>
      </c>
      <c r="G281" s="107"/>
      <c r="H281" s="107"/>
      <c r="I281" s="107"/>
      <c r="J281" s="107"/>
      <c r="K281" s="107"/>
      <c r="L281" s="107"/>
      <c r="M281" s="107"/>
      <c r="N281" s="107"/>
      <c r="O281" s="107"/>
      <c r="P281" s="107"/>
      <c r="Q281" s="107"/>
      <c r="R281" s="107"/>
      <c r="S281" s="107"/>
      <c r="T281" s="107"/>
      <c r="U281" s="107"/>
      <c r="V281" s="107"/>
      <c r="W281" s="107"/>
      <c r="X281" s="107"/>
      <c r="Y281" s="107"/>
      <c r="Z281" s="107"/>
      <c r="AA281" s="167">
        <v>44019</v>
      </c>
      <c r="AB281" s="109">
        <f>_xlfn.DAYS(AA281,B281)</f>
        <v>163</v>
      </c>
      <c r="AC281" s="110"/>
      <c r="AD281" s="110"/>
      <c r="AE281" s="110"/>
      <c r="AF281" s="110"/>
      <c r="AG281" s="110">
        <v>100</v>
      </c>
      <c r="AH281" s="107"/>
    </row>
    <row r="282" spans="1:41" ht="17.25" hidden="1" customHeight="1">
      <c r="A282" s="110" t="s">
        <v>554</v>
      </c>
      <c r="B282" s="229">
        <v>43856</v>
      </c>
      <c r="C282" s="110">
        <v>10000</v>
      </c>
      <c r="D282" s="110">
        <v>1.5</v>
      </c>
      <c r="E282" s="110"/>
      <c r="F282" s="107" t="s">
        <v>323</v>
      </c>
      <c r="G282" s="107"/>
      <c r="H282" s="107"/>
      <c r="I282" s="107"/>
      <c r="J282" s="107"/>
      <c r="K282" s="107"/>
      <c r="L282" s="107"/>
      <c r="M282" s="107"/>
      <c r="N282" s="107"/>
      <c r="O282" s="107"/>
      <c r="P282" s="107"/>
      <c r="Q282" s="107"/>
      <c r="R282" s="107"/>
      <c r="S282" s="107"/>
      <c r="T282" s="107"/>
      <c r="U282" s="107"/>
      <c r="V282" s="107"/>
      <c r="W282" s="107"/>
      <c r="X282" s="107"/>
      <c r="Y282" s="107"/>
      <c r="Z282" s="107"/>
      <c r="AA282" s="167">
        <v>44019</v>
      </c>
      <c r="AB282" s="109">
        <f>_xlfn.DAYS(AA282,B282)</f>
        <v>163</v>
      </c>
      <c r="AC282" s="110"/>
      <c r="AD282" s="110"/>
      <c r="AE282" s="110"/>
      <c r="AF282" s="110"/>
      <c r="AG282" s="110">
        <v>100</v>
      </c>
      <c r="AH282" s="107"/>
    </row>
    <row r="283" spans="1:41" ht="17.25" hidden="1" customHeight="1">
      <c r="A283" s="110" t="s">
        <v>555</v>
      </c>
      <c r="B283" s="229">
        <v>43856</v>
      </c>
      <c r="C283" s="110">
        <v>10000</v>
      </c>
      <c r="D283" s="110">
        <v>1.5</v>
      </c>
      <c r="E283" s="110"/>
      <c r="F283" s="107" t="s">
        <v>323</v>
      </c>
      <c r="G283" s="107"/>
      <c r="H283" s="107"/>
      <c r="I283" s="107"/>
      <c r="J283" s="107"/>
      <c r="K283" s="107"/>
      <c r="L283" s="107"/>
      <c r="M283" s="107"/>
      <c r="N283" s="107"/>
      <c r="O283" s="107"/>
      <c r="P283" s="107"/>
      <c r="Q283" s="107"/>
      <c r="R283" s="107"/>
      <c r="S283" s="107"/>
      <c r="T283" s="107"/>
      <c r="U283" s="107"/>
      <c r="V283" s="107"/>
      <c r="W283" s="107"/>
      <c r="X283" s="107"/>
      <c r="Y283" s="107"/>
      <c r="Z283" s="107"/>
      <c r="AA283" s="167">
        <v>44019</v>
      </c>
      <c r="AB283" s="109">
        <f>_xlfn.DAYS(AA283,B283)</f>
        <v>163</v>
      </c>
      <c r="AC283" s="110"/>
      <c r="AD283" s="110"/>
      <c r="AE283" s="110"/>
      <c r="AF283" s="110"/>
      <c r="AG283" s="110">
        <v>100</v>
      </c>
      <c r="AH283" s="107"/>
    </row>
    <row r="284" spans="1:41" ht="17.25" hidden="1" customHeight="1">
      <c r="A284" s="110" t="s">
        <v>556</v>
      </c>
      <c r="B284" s="229">
        <v>43856</v>
      </c>
      <c r="C284" s="110">
        <v>10000</v>
      </c>
      <c r="D284" s="110">
        <v>1.5</v>
      </c>
      <c r="E284" s="110"/>
      <c r="F284" s="107" t="s">
        <v>323</v>
      </c>
      <c r="G284" s="107"/>
      <c r="H284" s="107"/>
      <c r="I284" s="107"/>
      <c r="J284" s="107"/>
      <c r="K284" s="107"/>
      <c r="L284" s="107"/>
      <c r="M284" s="107"/>
      <c r="N284" s="107"/>
      <c r="O284" s="107"/>
      <c r="P284" s="107"/>
      <c r="Q284" s="107"/>
      <c r="R284" s="107"/>
      <c r="S284" s="107"/>
      <c r="T284" s="107"/>
      <c r="U284" s="107"/>
      <c r="V284" s="107"/>
      <c r="W284" s="107"/>
      <c r="X284" s="107"/>
      <c r="Y284" s="107"/>
      <c r="Z284" s="107"/>
      <c r="AA284" s="167">
        <v>44019</v>
      </c>
      <c r="AB284" s="109">
        <f>_xlfn.DAYS(AA284,B284)</f>
        <v>163</v>
      </c>
      <c r="AC284" s="110"/>
      <c r="AD284" s="110"/>
      <c r="AE284" s="110"/>
      <c r="AF284" s="110"/>
      <c r="AG284" s="110">
        <v>100</v>
      </c>
      <c r="AH284" s="107"/>
    </row>
    <row r="285" spans="1:41" ht="17.25" hidden="1" customHeight="1">
      <c r="A285" s="110" t="s">
        <v>557</v>
      </c>
      <c r="B285" s="229">
        <v>43856</v>
      </c>
      <c r="C285" s="110">
        <v>10000</v>
      </c>
      <c r="D285" s="110">
        <v>1.5</v>
      </c>
      <c r="E285" s="110"/>
      <c r="F285" s="107" t="s">
        <v>323</v>
      </c>
      <c r="G285" s="107"/>
      <c r="H285" s="107"/>
      <c r="I285" s="107"/>
      <c r="J285" s="107"/>
      <c r="K285" s="107"/>
      <c r="L285" s="107"/>
      <c r="M285" s="107"/>
      <c r="N285" s="107"/>
      <c r="O285" s="107"/>
      <c r="P285" s="107"/>
      <c r="Q285" s="107"/>
      <c r="R285" s="107"/>
      <c r="S285" s="107"/>
      <c r="T285" s="107"/>
      <c r="U285" s="107"/>
      <c r="V285" s="107"/>
      <c r="W285" s="107"/>
      <c r="X285" s="107"/>
      <c r="Y285" s="107"/>
      <c r="Z285" s="107"/>
      <c r="AA285" s="167">
        <v>44019</v>
      </c>
      <c r="AB285" s="109">
        <f>_xlfn.DAYS(AA285,B285)</f>
        <v>163</v>
      </c>
      <c r="AC285" s="110"/>
      <c r="AD285" s="110"/>
      <c r="AE285" s="110"/>
      <c r="AF285" s="110"/>
      <c r="AG285" s="110">
        <v>100</v>
      </c>
      <c r="AH285" s="107"/>
    </row>
    <row r="286" spans="1:41" ht="17.25" hidden="1" customHeight="1">
      <c r="A286" s="110" t="s">
        <v>558</v>
      </c>
      <c r="B286" s="229">
        <v>43856</v>
      </c>
      <c r="C286" s="110">
        <v>10000</v>
      </c>
      <c r="D286" s="110">
        <v>1.5</v>
      </c>
      <c r="E286" s="110"/>
      <c r="F286" s="107" t="s">
        <v>323</v>
      </c>
      <c r="G286" s="107"/>
      <c r="H286" s="107"/>
      <c r="I286" s="107"/>
      <c r="J286" s="107"/>
      <c r="K286" s="107"/>
      <c r="L286" s="107"/>
      <c r="M286" s="107"/>
      <c r="N286" s="107"/>
      <c r="O286" s="107"/>
      <c r="P286" s="107"/>
      <c r="Q286" s="107"/>
      <c r="R286" s="107"/>
      <c r="S286" s="107"/>
      <c r="T286" s="107"/>
      <c r="U286" s="107"/>
      <c r="V286" s="107"/>
      <c r="W286" s="107"/>
      <c r="X286" s="107"/>
      <c r="Y286" s="107"/>
      <c r="Z286" s="107"/>
      <c r="AA286" s="167">
        <v>44019</v>
      </c>
      <c r="AB286" s="109">
        <f>_xlfn.DAYS(AA286,B286)</f>
        <v>163</v>
      </c>
      <c r="AC286" s="110"/>
      <c r="AD286" s="110"/>
      <c r="AE286" s="110"/>
      <c r="AF286" s="110"/>
      <c r="AG286" s="110">
        <v>100</v>
      </c>
      <c r="AH286" s="107"/>
    </row>
    <row r="287" spans="1:41" ht="17.25" hidden="1" customHeight="1">
      <c r="A287" s="110" t="s">
        <v>559</v>
      </c>
      <c r="B287" s="229">
        <v>44008</v>
      </c>
      <c r="C287" s="110">
        <v>10000</v>
      </c>
      <c r="D287" s="110">
        <v>0.75</v>
      </c>
      <c r="E287" s="110"/>
      <c r="F287" s="107" t="s">
        <v>323</v>
      </c>
      <c r="G287" s="107"/>
      <c r="H287" s="107"/>
      <c r="I287" s="107"/>
      <c r="J287" s="107"/>
      <c r="K287" s="107"/>
      <c r="L287" s="107"/>
      <c r="M287" s="107"/>
      <c r="N287" s="107"/>
      <c r="O287" s="107"/>
      <c r="P287" s="107"/>
      <c r="Q287" s="107"/>
      <c r="R287" s="107"/>
      <c r="S287" s="107"/>
      <c r="T287" s="107"/>
      <c r="U287" s="107"/>
      <c r="V287" s="107"/>
      <c r="W287" s="107"/>
      <c r="X287" s="107"/>
      <c r="Y287" s="107"/>
      <c r="Z287" s="107"/>
      <c r="AA287" s="167">
        <v>44019</v>
      </c>
      <c r="AB287" s="109">
        <f>_xlfn.DAYS(AA287,B287)</f>
        <v>11</v>
      </c>
      <c r="AC287" s="110"/>
      <c r="AD287" s="110"/>
      <c r="AE287" s="110"/>
      <c r="AF287" s="110"/>
      <c r="AG287" s="110">
        <v>100</v>
      </c>
      <c r="AH287" s="107"/>
    </row>
    <row r="288" spans="1:41" ht="17.25" hidden="1" customHeight="1">
      <c r="A288" s="110" t="s">
        <v>560</v>
      </c>
      <c r="B288" s="229">
        <v>44008</v>
      </c>
      <c r="C288" s="110">
        <v>10000</v>
      </c>
      <c r="D288" s="110">
        <v>0.75</v>
      </c>
      <c r="E288" s="110"/>
      <c r="F288" s="107" t="s">
        <v>323</v>
      </c>
      <c r="G288" s="107"/>
      <c r="H288" s="107"/>
      <c r="I288" s="107"/>
      <c r="J288" s="107"/>
      <c r="K288" s="107"/>
      <c r="L288" s="107"/>
      <c r="M288" s="107"/>
      <c r="N288" s="107"/>
      <c r="O288" s="107"/>
      <c r="P288" s="107"/>
      <c r="Q288" s="107"/>
      <c r="R288" s="107"/>
      <c r="S288" s="107"/>
      <c r="T288" s="107"/>
      <c r="U288" s="107"/>
      <c r="V288" s="107"/>
      <c r="W288" s="107"/>
      <c r="X288" s="107"/>
      <c r="Y288" s="107"/>
      <c r="Z288" s="107"/>
      <c r="AA288" s="167">
        <v>44019</v>
      </c>
      <c r="AB288" s="109">
        <f>_xlfn.DAYS(AA288,B288)</f>
        <v>11</v>
      </c>
      <c r="AC288" s="110"/>
      <c r="AD288" s="110"/>
      <c r="AE288" s="110"/>
      <c r="AF288" s="110"/>
      <c r="AG288" s="110">
        <v>100</v>
      </c>
      <c r="AH288" s="107"/>
    </row>
    <row r="289" spans="1:41" ht="17.25" hidden="1" customHeight="1">
      <c r="A289" s="110" t="s">
        <v>561</v>
      </c>
      <c r="B289" s="229">
        <v>44008</v>
      </c>
      <c r="C289" s="110">
        <v>6000</v>
      </c>
      <c r="D289" s="110">
        <v>1.5</v>
      </c>
      <c r="E289" s="110"/>
      <c r="F289" s="107" t="s">
        <v>323</v>
      </c>
      <c r="G289" s="107"/>
      <c r="H289" s="107"/>
      <c r="I289" s="107"/>
      <c r="J289" s="107"/>
      <c r="K289" s="107"/>
      <c r="L289" s="107"/>
      <c r="M289" s="107"/>
      <c r="N289" s="107"/>
      <c r="O289" s="107"/>
      <c r="P289" s="107"/>
      <c r="Q289" s="107"/>
      <c r="R289" s="107"/>
      <c r="S289" s="107"/>
      <c r="T289" s="107"/>
      <c r="U289" s="107"/>
      <c r="V289" s="107"/>
      <c r="W289" s="107"/>
      <c r="X289" s="107"/>
      <c r="Y289" s="107"/>
      <c r="Z289" s="107"/>
      <c r="AA289" s="167">
        <v>44019</v>
      </c>
      <c r="AB289" s="109">
        <f>_xlfn.DAYS(AA289,B289)</f>
        <v>11</v>
      </c>
      <c r="AC289" s="110"/>
      <c r="AD289" s="110"/>
      <c r="AE289" s="110"/>
      <c r="AF289" s="110"/>
      <c r="AG289" s="110">
        <v>100</v>
      </c>
      <c r="AH289" s="107"/>
    </row>
    <row r="290" spans="1:41" ht="12.75" hidden="1">
      <c r="A290" s="110" t="s">
        <v>562</v>
      </c>
      <c r="B290" s="229">
        <v>44041</v>
      </c>
      <c r="C290" s="224">
        <v>10000</v>
      </c>
      <c r="D290" s="110">
        <v>7.5</v>
      </c>
      <c r="E290" s="110"/>
      <c r="F290" s="107" t="s">
        <v>263</v>
      </c>
      <c r="G290" s="107"/>
      <c r="H290" s="107"/>
      <c r="I290" s="107"/>
      <c r="J290" s="107"/>
      <c r="K290" s="107"/>
      <c r="L290" s="107"/>
      <c r="M290" s="107"/>
      <c r="N290" s="107"/>
      <c r="O290" s="107"/>
      <c r="P290" s="107"/>
      <c r="Q290" s="107"/>
      <c r="R290" s="107"/>
      <c r="S290" s="107"/>
      <c r="T290" s="107"/>
      <c r="U290" s="107"/>
      <c r="V290" s="107"/>
      <c r="W290" s="107"/>
      <c r="X290" s="107"/>
      <c r="Y290" s="107"/>
      <c r="Z290" s="107"/>
      <c r="AA290" s="167">
        <v>44076</v>
      </c>
      <c r="AB290" s="109">
        <f>_xlfn.DAYS(AA290,B290)</f>
        <v>35</v>
      </c>
      <c r="AC290" s="110">
        <f>AVERAGE(15/20,19/21)*100</f>
        <v>82.738095238095227</v>
      </c>
      <c r="AD290" s="110">
        <v>628.5</v>
      </c>
      <c r="AE290" s="110">
        <v>401.5</v>
      </c>
      <c r="AF290" s="110">
        <v>22</v>
      </c>
      <c r="AG290" s="107">
        <f>COUNTIFS(F:F,"Culled",A:A,LEFT(A290,LEN(A290)-3)&amp;"*")/COUNTIF(A:A,LEFT(A290,LEN(A290)-3)&amp;"*")*100</f>
        <v>40</v>
      </c>
      <c r="AH290" s="108">
        <f>(AD290-AF290)/(D290*$K$1*2)%</f>
        <v>7.3515151515151516</v>
      </c>
      <c r="AI290" s="108">
        <f>(AE290+AF290)/(D290*$K$1*2)%</f>
        <v>5.1333333333333337</v>
      </c>
      <c r="AK290" s="110"/>
      <c r="AL290" s="110"/>
      <c r="AM290" s="110"/>
      <c r="AN290" s="110"/>
      <c r="AO290" s="110"/>
    </row>
    <row r="291" spans="1:41" ht="12.75" hidden="1">
      <c r="A291" s="10" t="s">
        <v>563</v>
      </c>
      <c r="B291" s="229">
        <v>43987</v>
      </c>
      <c r="C291" s="10">
        <v>10000</v>
      </c>
      <c r="D291" s="10">
        <v>8.5</v>
      </c>
      <c r="E291" s="10"/>
      <c r="F291" s="107" t="s">
        <v>323</v>
      </c>
      <c r="G291" s="107"/>
      <c r="H291" s="107"/>
      <c r="I291" s="107"/>
      <c r="J291" s="107"/>
      <c r="K291" s="107"/>
      <c r="L291" s="107"/>
      <c r="M291" s="107"/>
      <c r="N291" s="107"/>
      <c r="O291" s="107"/>
      <c r="P291" s="107"/>
      <c r="Q291" s="107"/>
      <c r="R291" s="107"/>
      <c r="S291" s="107"/>
      <c r="T291" s="107"/>
      <c r="U291" s="107"/>
      <c r="V291" s="107"/>
      <c r="W291" s="107"/>
      <c r="X291" s="107"/>
      <c r="Y291" s="107"/>
      <c r="Z291" s="107"/>
      <c r="AA291" s="167">
        <v>44020</v>
      </c>
      <c r="AB291" s="109">
        <f>_xlfn.DAYS(AA291,B291)</f>
        <v>33</v>
      </c>
      <c r="AG291" s="10">
        <v>30</v>
      </c>
      <c r="AH291" s="107"/>
    </row>
    <row r="292" spans="1:41" ht="12.75" hidden="1">
      <c r="A292" s="10" t="s">
        <v>564</v>
      </c>
      <c r="B292" s="229">
        <v>43987</v>
      </c>
      <c r="C292" s="10">
        <v>10000</v>
      </c>
      <c r="D292" s="10">
        <v>8.5</v>
      </c>
      <c r="E292" s="10"/>
      <c r="F292" s="107" t="s">
        <v>323</v>
      </c>
      <c r="G292" s="107"/>
      <c r="H292" s="107"/>
      <c r="I292" s="107"/>
      <c r="J292" s="107"/>
      <c r="K292" s="107"/>
      <c r="L292" s="107"/>
      <c r="M292" s="107"/>
      <c r="N292" s="107"/>
      <c r="O292" s="107"/>
      <c r="P292" s="107"/>
      <c r="Q292" s="107"/>
      <c r="R292" s="107"/>
      <c r="S292" s="107"/>
      <c r="T292" s="107"/>
      <c r="U292" s="107"/>
      <c r="V292" s="107"/>
      <c r="W292" s="107"/>
      <c r="X292" s="107"/>
      <c r="Y292" s="107"/>
      <c r="Z292" s="107"/>
      <c r="AA292" s="167">
        <v>44020</v>
      </c>
      <c r="AB292" s="109">
        <f>_xlfn.DAYS(AA292,B292)</f>
        <v>33</v>
      </c>
      <c r="AC292" s="110"/>
      <c r="AD292" s="110"/>
      <c r="AE292" s="110"/>
      <c r="AF292" s="110"/>
      <c r="AG292" s="10">
        <v>30</v>
      </c>
      <c r="AH292" s="107"/>
    </row>
    <row r="293" spans="1:41" ht="12.75" hidden="1">
      <c r="A293" s="107" t="s">
        <v>565</v>
      </c>
      <c r="B293" s="226">
        <v>44074</v>
      </c>
      <c r="C293" s="231">
        <v>10334.107283954099</v>
      </c>
      <c r="D293" s="107">
        <f>COUNTA(G293:Z293)*0.5</f>
        <v>5.5</v>
      </c>
      <c r="F293" s="107" t="s">
        <v>263</v>
      </c>
      <c r="G293" s="178">
        <v>44074</v>
      </c>
      <c r="H293" s="178">
        <v>44074</v>
      </c>
      <c r="I293" s="178">
        <v>44078</v>
      </c>
      <c r="J293" s="178">
        <v>44078</v>
      </c>
      <c r="K293" s="178">
        <v>44081</v>
      </c>
      <c r="L293" s="178">
        <v>44083</v>
      </c>
      <c r="M293" s="178">
        <v>44085</v>
      </c>
      <c r="N293" s="178">
        <v>44088</v>
      </c>
      <c r="O293" s="178">
        <v>44090</v>
      </c>
      <c r="P293" s="178" t="s">
        <v>375</v>
      </c>
      <c r="Q293" s="178" t="s">
        <v>376</v>
      </c>
      <c r="AA293" s="166">
        <v>44105</v>
      </c>
      <c r="AB293" s="109">
        <f>_xlfn.DAYS(AA293,B293)</f>
        <v>31</v>
      </c>
      <c r="AC293" s="107">
        <f>6/17*100</f>
        <v>35.294117647058826</v>
      </c>
      <c r="AD293" s="107">
        <v>752.5</v>
      </c>
      <c r="AE293" s="107">
        <v>215</v>
      </c>
      <c r="AG293" s="107">
        <f>COUNTIFS(F:F,"Culled",A:A,LEFT(A293,LEN(A293)-3)&amp;"*")/COUNTIF(A:A,LEFT(A293,LEN(A293)-3)&amp;"*")*100</f>
        <v>0</v>
      </c>
      <c r="AH293" s="108">
        <f>(AD293-AF293)/(D293*$K$1*2)%</f>
        <v>12.438016528925619</v>
      </c>
      <c r="AI293" s="108">
        <f>(AE293+AF293)/(D293*$K$1*2)%</f>
        <v>3.553719008264463</v>
      </c>
    </row>
    <row r="294" spans="1:41" ht="12.75" hidden="1">
      <c r="A294" s="107" t="s">
        <v>566</v>
      </c>
      <c r="B294" s="226">
        <v>44050</v>
      </c>
      <c r="C294" s="224">
        <v>10000</v>
      </c>
      <c r="D294" s="107">
        <f>COUNTA(G294:Z294)*0.5</f>
        <v>7.5</v>
      </c>
      <c r="F294" s="107" t="s">
        <v>323</v>
      </c>
      <c r="G294" s="225">
        <v>44050</v>
      </c>
      <c r="H294" s="225">
        <v>44050</v>
      </c>
      <c r="I294" s="178">
        <v>44110</v>
      </c>
      <c r="J294" s="178">
        <v>44113</v>
      </c>
      <c r="K294" s="225">
        <v>44057</v>
      </c>
      <c r="L294" s="225">
        <v>44061</v>
      </c>
      <c r="M294" s="225">
        <v>44061</v>
      </c>
      <c r="N294" s="225">
        <v>44064</v>
      </c>
      <c r="O294" s="225">
        <v>44064</v>
      </c>
      <c r="P294" s="225">
        <v>44064</v>
      </c>
      <c r="Q294" s="225">
        <v>44067</v>
      </c>
      <c r="R294" s="225">
        <v>44069</v>
      </c>
      <c r="S294" s="225">
        <v>44069</v>
      </c>
      <c r="T294" s="225">
        <v>44071</v>
      </c>
      <c r="U294" s="225">
        <v>44071</v>
      </c>
      <c r="V294" s="226"/>
      <c r="W294" s="226"/>
      <c r="X294" s="226"/>
      <c r="Y294" s="226"/>
      <c r="Z294" s="107"/>
      <c r="AA294" s="166">
        <v>44022</v>
      </c>
      <c r="AB294" s="109">
        <f>_xlfn.DAYS(AA294,B294)</f>
        <v>-28</v>
      </c>
      <c r="AG294" s="107">
        <f>COUNTIFS(F:F,"Culled",A:A,LEFT(A294,LEN(A294)-3)&amp;"*")/COUNTIF(A:A,LEFT(A294,LEN(A294)-3)&amp;"*")*100</f>
        <v>12.5</v>
      </c>
      <c r="AH294" s="107"/>
    </row>
    <row r="295" spans="1:41" ht="12.75" hidden="1">
      <c r="A295" s="107" t="s">
        <v>567</v>
      </c>
      <c r="B295" s="226">
        <v>44074</v>
      </c>
      <c r="C295" s="231">
        <v>10334.107283954099</v>
      </c>
      <c r="D295" s="107">
        <f>COUNTA(G295:Z295)*0.5</f>
        <v>6</v>
      </c>
      <c r="F295" s="107" t="s">
        <v>263</v>
      </c>
      <c r="G295" s="178">
        <v>44074</v>
      </c>
      <c r="H295" s="178">
        <v>44074</v>
      </c>
      <c r="I295" s="178">
        <v>44078</v>
      </c>
      <c r="J295" s="178">
        <v>44078</v>
      </c>
      <c r="K295" s="178">
        <v>44081</v>
      </c>
      <c r="L295" s="178">
        <v>44083</v>
      </c>
      <c r="M295" s="178">
        <v>44085</v>
      </c>
      <c r="N295" s="178">
        <v>44088</v>
      </c>
      <c r="O295" s="178">
        <v>44090</v>
      </c>
      <c r="P295" s="178" t="s">
        <v>375</v>
      </c>
      <c r="Q295" s="178" t="s">
        <v>376</v>
      </c>
      <c r="R295" s="178">
        <v>44099</v>
      </c>
      <c r="AA295" s="166">
        <v>44105</v>
      </c>
      <c r="AB295" s="109">
        <f>_xlfn.DAYS(AA295,B295)</f>
        <v>31</v>
      </c>
      <c r="AC295" s="107">
        <f>14/26*100</f>
        <v>53.846153846153847</v>
      </c>
      <c r="AD295" s="107">
        <v>850</v>
      </c>
      <c r="AE295" s="107">
        <v>234.5</v>
      </c>
      <c r="AG295" s="107">
        <f>COUNTIFS(F:F,"Culled",A:A,LEFT(A295,LEN(A295)-3)&amp;"*")/COUNTIF(A:A,LEFT(A295,LEN(A295)-3)&amp;"*")*100</f>
        <v>0</v>
      </c>
      <c r="AH295" s="108">
        <f>(AD295-AF295)/(D295*$K$1*2)%</f>
        <v>12.878787878787879</v>
      </c>
      <c r="AI295" s="108">
        <f>(AE295+AF295)/(D295*$K$1*2)%</f>
        <v>3.5530303030303032</v>
      </c>
    </row>
    <row r="296" spans="1:41" ht="17.25" hidden="1" customHeight="1">
      <c r="A296" s="107" t="s">
        <v>568</v>
      </c>
      <c r="B296" s="226">
        <v>44074</v>
      </c>
      <c r="C296" s="231">
        <v>10334.107283954099</v>
      </c>
      <c r="D296" s="107">
        <f>COUNTA(G296:Z296)*0.5</f>
        <v>5.5</v>
      </c>
      <c r="F296" s="107" t="s">
        <v>263</v>
      </c>
      <c r="G296" s="178">
        <v>44074</v>
      </c>
      <c r="H296" s="178">
        <v>44074</v>
      </c>
      <c r="I296" s="178">
        <v>44078</v>
      </c>
      <c r="J296" s="178">
        <v>44078</v>
      </c>
      <c r="K296" s="178">
        <v>44081</v>
      </c>
      <c r="L296" s="178">
        <v>44083</v>
      </c>
      <c r="M296" s="178">
        <v>44085</v>
      </c>
      <c r="N296" s="178">
        <v>44088</v>
      </c>
      <c r="O296" s="178">
        <v>44090</v>
      </c>
      <c r="P296" s="178" t="s">
        <v>375</v>
      </c>
      <c r="Q296" s="178" t="s">
        <v>376</v>
      </c>
      <c r="AA296" s="166">
        <v>44105</v>
      </c>
      <c r="AB296" s="109">
        <f>_xlfn.DAYS(AA296,B296)</f>
        <v>31</v>
      </c>
      <c r="AC296" s="107">
        <f>9/19*100</f>
        <v>47.368421052631575</v>
      </c>
      <c r="AD296" s="107">
        <v>677.5</v>
      </c>
      <c r="AE296" s="107">
        <v>275</v>
      </c>
      <c r="AG296" s="107">
        <f>COUNTIFS(F:F,"Culled",A:A,LEFT(A296,LEN(A296)-3)&amp;"*")/COUNTIF(A:A,LEFT(A296,LEN(A296)-3)&amp;"*")*100</f>
        <v>0</v>
      </c>
      <c r="AH296" s="108">
        <f>(AD296-AF296)/(D296*$K$1*2)%</f>
        <v>11.198347107438016</v>
      </c>
      <c r="AI296" s="108">
        <f>(AE296+AF296)/(D296*$K$1*2)%</f>
        <v>4.5454545454545459</v>
      </c>
    </row>
    <row r="297" spans="1:41" ht="17.25" hidden="1" customHeight="1">
      <c r="A297" s="107" t="s">
        <v>569</v>
      </c>
      <c r="B297" s="226">
        <v>44074</v>
      </c>
      <c r="C297" s="231">
        <v>10334.107283954099</v>
      </c>
      <c r="D297" s="107">
        <f>COUNTA(G297:Z297)*0.5</f>
        <v>5.5</v>
      </c>
      <c r="F297" s="107" t="s">
        <v>263</v>
      </c>
      <c r="G297" s="178">
        <v>44074</v>
      </c>
      <c r="H297" s="178">
        <v>44074</v>
      </c>
      <c r="I297" s="178">
        <v>44078</v>
      </c>
      <c r="J297" s="178">
        <v>44078</v>
      </c>
      <c r="K297" s="178">
        <v>44081</v>
      </c>
      <c r="L297" s="178">
        <v>44083</v>
      </c>
      <c r="M297" s="178">
        <v>44085</v>
      </c>
      <c r="N297" s="178">
        <v>44088</v>
      </c>
      <c r="O297" s="178">
        <v>44090</v>
      </c>
      <c r="P297" s="178" t="s">
        <v>375</v>
      </c>
      <c r="Q297" s="178" t="s">
        <v>376</v>
      </c>
      <c r="AA297" s="166">
        <v>44105</v>
      </c>
      <c r="AB297" s="109">
        <f>_xlfn.DAYS(AA297,B297)</f>
        <v>31</v>
      </c>
      <c r="AC297" s="107">
        <f>8/23*100</f>
        <v>34.782608695652172</v>
      </c>
      <c r="AD297" s="107">
        <v>721</v>
      </c>
      <c r="AE297" s="107">
        <v>284.5</v>
      </c>
      <c r="AG297" s="107">
        <f>COUNTIFS(F:F,"Culled",A:A,LEFT(A297,LEN(A297)-3)&amp;"*")/COUNTIF(A:A,LEFT(A297,LEN(A297)-3)&amp;"*")*100</f>
        <v>0</v>
      </c>
      <c r="AH297" s="108">
        <f>(AD297-AF297)/(D297*$K$1*2)%</f>
        <v>11.917355371900827</v>
      </c>
      <c r="AI297" s="108">
        <f>(AE297+AF297)/(D297*$K$1*2)%</f>
        <v>4.7024793388429753</v>
      </c>
    </row>
    <row r="298" spans="1:41" ht="12.75" hidden="1">
      <c r="A298" s="107" t="s">
        <v>570</v>
      </c>
      <c r="B298" s="226">
        <v>44074</v>
      </c>
      <c r="C298" s="231">
        <v>10334.107283954099</v>
      </c>
      <c r="D298" s="107">
        <f>COUNTA(G298:Z298)*0.5</f>
        <v>6</v>
      </c>
      <c r="F298" s="107" t="s">
        <v>263</v>
      </c>
      <c r="G298" s="178">
        <v>44074</v>
      </c>
      <c r="H298" s="178">
        <v>44074</v>
      </c>
      <c r="I298" s="178">
        <v>44078</v>
      </c>
      <c r="J298" s="178">
        <v>44078</v>
      </c>
      <c r="K298" s="178">
        <v>44081</v>
      </c>
      <c r="L298" s="178">
        <v>44083</v>
      </c>
      <c r="M298" s="178">
        <v>44085</v>
      </c>
      <c r="N298" s="178">
        <v>44088</v>
      </c>
      <c r="O298" s="178">
        <v>44090</v>
      </c>
      <c r="P298" s="178" t="s">
        <v>375</v>
      </c>
      <c r="Q298" s="178" t="s">
        <v>376</v>
      </c>
      <c r="R298" s="178">
        <v>44099</v>
      </c>
      <c r="AA298" s="166">
        <v>44105</v>
      </c>
      <c r="AB298" s="109">
        <f>_xlfn.DAYS(AA298,B298)</f>
        <v>31</v>
      </c>
      <c r="AC298" s="107">
        <f>14/17*100</f>
        <v>82.35294117647058</v>
      </c>
      <c r="AD298" s="107">
        <v>909.5</v>
      </c>
      <c r="AE298" s="107">
        <v>200.5</v>
      </c>
      <c r="AG298" s="107">
        <f>COUNTIFS(F:F,"Culled",A:A,LEFT(A298,LEN(A298)-3)&amp;"*")/COUNTIF(A:A,LEFT(A298,LEN(A298)-3)&amp;"*")*100</f>
        <v>0</v>
      </c>
      <c r="AH298" s="108">
        <f>(AD298-AF298)/(D298*$K$1*2)%</f>
        <v>13.780303030303031</v>
      </c>
      <c r="AI298" s="108">
        <f>(AE298+AF298)/(D298*$K$1*2)%</f>
        <v>3.0378787878787881</v>
      </c>
    </row>
    <row r="299" spans="1:41" ht="12.75" hidden="1">
      <c r="A299" s="107" t="s">
        <v>571</v>
      </c>
      <c r="B299" s="226">
        <v>44074</v>
      </c>
      <c r="C299" s="231">
        <v>10334.107283954099</v>
      </c>
      <c r="D299" s="107">
        <f>COUNTA(G299:Z299)*0.5</f>
        <v>5.5</v>
      </c>
      <c r="F299" s="107" t="s">
        <v>263</v>
      </c>
      <c r="G299" s="178">
        <v>44074</v>
      </c>
      <c r="H299" s="178">
        <v>44074</v>
      </c>
      <c r="I299" s="178">
        <v>44078</v>
      </c>
      <c r="J299" s="178">
        <v>44078</v>
      </c>
      <c r="K299" s="178">
        <v>44081</v>
      </c>
      <c r="L299" s="178">
        <v>44083</v>
      </c>
      <c r="M299" s="178">
        <v>44085</v>
      </c>
      <c r="N299" s="178">
        <v>44088</v>
      </c>
      <c r="O299" s="178">
        <v>44090</v>
      </c>
      <c r="P299" s="178" t="s">
        <v>375</v>
      </c>
      <c r="Q299" s="178" t="s">
        <v>376</v>
      </c>
      <c r="AA299" s="166">
        <v>44105</v>
      </c>
      <c r="AB299" s="109">
        <f>_xlfn.DAYS(AA299,B299)</f>
        <v>31</v>
      </c>
      <c r="AC299" s="107">
        <f>17/27*100</f>
        <v>62.962962962962962</v>
      </c>
      <c r="AD299" s="107">
        <v>745</v>
      </c>
      <c r="AE299" s="107">
        <v>283</v>
      </c>
      <c r="AG299" s="107">
        <f>COUNTIFS(F:F,"Culled",A:A,LEFT(A299,LEN(A299)-3)&amp;"*")/COUNTIF(A:A,LEFT(A299,LEN(A299)-3)&amp;"*")*100</f>
        <v>0</v>
      </c>
      <c r="AH299" s="108">
        <f>(AD299-AF299)/(D299*$K$1*2)%</f>
        <v>12.314049586776859</v>
      </c>
      <c r="AI299" s="108">
        <f>(AE299+AF299)/(D299*$K$1*2)%</f>
        <v>4.6776859504132231</v>
      </c>
    </row>
    <row r="300" spans="1:41" ht="17.25" hidden="1" customHeight="1">
      <c r="A300" s="110" t="s">
        <v>572</v>
      </c>
      <c r="B300" s="229">
        <v>44034</v>
      </c>
      <c r="C300" s="110">
        <v>10000</v>
      </c>
      <c r="D300" s="110">
        <v>7</v>
      </c>
      <c r="E300" s="110"/>
      <c r="F300" s="107" t="s">
        <v>323</v>
      </c>
      <c r="G300" s="107"/>
      <c r="H300" s="107"/>
      <c r="I300" s="178">
        <v>44110</v>
      </c>
      <c r="J300" s="178">
        <v>44113</v>
      </c>
      <c r="K300" s="107"/>
      <c r="L300" s="107"/>
      <c r="M300" s="107"/>
      <c r="N300" s="107"/>
      <c r="O300" s="107"/>
      <c r="P300" s="107"/>
      <c r="Q300" s="107"/>
      <c r="R300" s="107"/>
      <c r="S300" s="107"/>
      <c r="T300" s="107"/>
      <c r="U300" s="107"/>
      <c r="V300" s="107"/>
      <c r="W300" s="107"/>
      <c r="X300" s="107"/>
      <c r="Y300" s="107"/>
      <c r="Z300" s="107"/>
      <c r="AA300" s="166">
        <v>44022</v>
      </c>
      <c r="AB300" s="109">
        <f>_xlfn.DAYS(AA300,B300)</f>
        <v>-12</v>
      </c>
      <c r="AC300" s="110"/>
      <c r="AD300" s="110"/>
      <c r="AE300" s="110"/>
      <c r="AF300" s="110"/>
      <c r="AG300" s="107">
        <f>COUNTIFS(F:F,"Culled",A:A,LEFT(A300,LEN(A300)-3)&amp;"*")/COUNTIF(A:A,LEFT(A300,LEN(A300)-3)&amp;"*")*100</f>
        <v>100</v>
      </c>
      <c r="AH300" s="107"/>
    </row>
    <row r="301" spans="1:41" ht="17.25" hidden="1" customHeight="1">
      <c r="A301" s="110" t="s">
        <v>573</v>
      </c>
      <c r="B301" s="223">
        <v>44039</v>
      </c>
      <c r="C301" s="224">
        <v>10000</v>
      </c>
      <c r="D301" s="110">
        <v>9</v>
      </c>
      <c r="E301" s="110"/>
      <c r="F301" s="107" t="s">
        <v>323</v>
      </c>
      <c r="G301" s="226"/>
      <c r="H301" s="226"/>
      <c r="I301" s="178">
        <v>44110</v>
      </c>
      <c r="J301" s="178">
        <v>44113</v>
      </c>
      <c r="K301" s="226"/>
      <c r="L301" s="226"/>
      <c r="M301" s="226"/>
      <c r="N301" s="226"/>
      <c r="O301" s="226"/>
      <c r="P301" s="226"/>
      <c r="Q301" s="226"/>
      <c r="R301" s="226"/>
      <c r="S301" s="226"/>
      <c r="T301" s="226"/>
      <c r="U301" s="226"/>
      <c r="V301" s="226"/>
      <c r="W301" s="226"/>
      <c r="X301" s="226"/>
      <c r="Y301" s="226"/>
      <c r="Z301" s="107"/>
      <c r="AA301" s="166">
        <v>44022</v>
      </c>
      <c r="AB301" s="109">
        <f>_xlfn.DAYS(AA301,B301)</f>
        <v>-17</v>
      </c>
      <c r="AC301" s="110"/>
      <c r="AD301" s="110"/>
      <c r="AE301" s="110"/>
      <c r="AF301" s="110"/>
      <c r="AG301" s="107">
        <f>COUNTIFS(F:F,"Culled",A:A,LEFT(A301,LEN(A301)-3)&amp;"*")/COUNTIF(A:A,LEFT(A301,LEN(A301)-3)&amp;"*")*100</f>
        <v>25</v>
      </c>
      <c r="AH301" s="107"/>
    </row>
    <row r="302" spans="1:41" ht="17.25" hidden="1" customHeight="1">
      <c r="A302" s="107" t="s">
        <v>574</v>
      </c>
      <c r="B302" s="114">
        <v>44047</v>
      </c>
      <c r="C302" s="110">
        <v>10000</v>
      </c>
      <c r="D302" s="107">
        <f>COUNTA(G302:Z302)*0.5</f>
        <v>6</v>
      </c>
      <c r="F302" s="107" t="s">
        <v>323</v>
      </c>
      <c r="G302" s="177">
        <v>44047</v>
      </c>
      <c r="H302" s="177">
        <v>44047</v>
      </c>
      <c r="I302" s="178">
        <v>44110</v>
      </c>
      <c r="J302" s="178">
        <v>44113</v>
      </c>
      <c r="K302" s="177">
        <v>44055</v>
      </c>
      <c r="L302" s="177">
        <v>44057</v>
      </c>
      <c r="M302" s="177">
        <v>44061</v>
      </c>
      <c r="N302" s="177">
        <v>44061</v>
      </c>
      <c r="O302" s="177">
        <v>44064</v>
      </c>
      <c r="P302" s="177">
        <v>44064</v>
      </c>
      <c r="Q302" s="177">
        <v>44064</v>
      </c>
      <c r="R302" s="177">
        <v>44067</v>
      </c>
      <c r="S302" s="179"/>
      <c r="T302" s="179"/>
      <c r="U302" s="179"/>
      <c r="V302" s="179"/>
      <c r="W302" s="179"/>
      <c r="X302" s="179"/>
      <c r="Y302" s="179"/>
      <c r="AA302" s="166">
        <v>44022</v>
      </c>
      <c r="AB302" s="109">
        <f>_xlfn.DAYS(AA302,B302)</f>
        <v>-25</v>
      </c>
      <c r="AG302" s="107">
        <f>COUNTIFS(F:F,"Culled",A:A,LEFT(A302,LEN(A302)-3)&amp;"*")/COUNTIF(A:A,LEFT(A302,LEN(A302)-3)&amp;"*")*100</f>
        <v>23.076923076923077</v>
      </c>
      <c r="AH302" s="107"/>
    </row>
    <row r="303" spans="1:41" ht="17.25" hidden="1" customHeight="1">
      <c r="A303" s="107" t="s">
        <v>575</v>
      </c>
      <c r="B303" s="114">
        <v>44047</v>
      </c>
      <c r="C303" s="110">
        <v>10000</v>
      </c>
      <c r="D303" s="107">
        <f>COUNTA(G303:Z303)*0.5</f>
        <v>2.5</v>
      </c>
      <c r="F303" s="107" t="s">
        <v>323</v>
      </c>
      <c r="G303" s="177">
        <v>44047</v>
      </c>
      <c r="H303" s="177">
        <v>44047</v>
      </c>
      <c r="I303" s="178">
        <v>44110</v>
      </c>
      <c r="J303" s="178">
        <v>44113</v>
      </c>
      <c r="K303" s="177">
        <v>44055</v>
      </c>
      <c r="L303" s="177"/>
      <c r="M303" s="179"/>
      <c r="N303" s="179"/>
      <c r="O303" s="179"/>
      <c r="P303" s="179"/>
      <c r="Q303" s="179"/>
      <c r="R303" s="179"/>
      <c r="S303" s="179"/>
      <c r="T303" s="179"/>
      <c r="U303" s="179"/>
      <c r="V303" s="179"/>
      <c r="W303" s="179"/>
      <c r="X303" s="179"/>
      <c r="Y303" s="179"/>
      <c r="AA303" s="166">
        <v>44022</v>
      </c>
      <c r="AB303" s="109">
        <f>_xlfn.DAYS(AA303,B303)</f>
        <v>-25</v>
      </c>
      <c r="AG303" s="107">
        <f>COUNTIFS(F:F,"Culled",A:A,LEFT(A303,LEN(A303)-3)&amp;"*")/COUNTIF(A:A,LEFT(A303,LEN(A303)-3)&amp;"*")*100</f>
        <v>23.076923076923077</v>
      </c>
      <c r="AH303" s="107"/>
    </row>
    <row r="304" spans="1:41" ht="17.25" hidden="1" customHeight="1">
      <c r="A304" s="107" t="s">
        <v>576</v>
      </c>
      <c r="B304" s="226">
        <v>44061</v>
      </c>
      <c r="C304" s="230">
        <v>10000</v>
      </c>
      <c r="D304" s="107">
        <f>COUNTA(G304:Z304)*0.5</f>
        <v>7</v>
      </c>
      <c r="F304" s="107" t="s">
        <v>323</v>
      </c>
      <c r="G304" s="178">
        <v>44061</v>
      </c>
      <c r="H304" s="178">
        <v>44061</v>
      </c>
      <c r="I304" s="178">
        <v>44110</v>
      </c>
      <c r="J304" s="178">
        <v>44113</v>
      </c>
      <c r="K304" s="178">
        <v>44064</v>
      </c>
      <c r="L304" s="178">
        <v>44067</v>
      </c>
      <c r="M304" s="178">
        <v>44069</v>
      </c>
      <c r="N304" s="178">
        <v>44069</v>
      </c>
      <c r="O304" s="178">
        <v>44071</v>
      </c>
      <c r="P304" s="178">
        <v>44071</v>
      </c>
      <c r="Q304" s="178">
        <v>44076</v>
      </c>
      <c r="R304" s="178">
        <v>44078</v>
      </c>
      <c r="S304" s="178">
        <v>44081</v>
      </c>
      <c r="T304" s="178">
        <v>44090</v>
      </c>
      <c r="AA304" s="166">
        <v>44022</v>
      </c>
      <c r="AB304" s="109">
        <f>_xlfn.DAYS(AA304,B304)</f>
        <v>-39</v>
      </c>
      <c r="AG304" s="107">
        <f>COUNTIFS(F:F,"Culled",A:A,LEFT(A304,LEN(A304)-3)&amp;"*")/COUNTIF(A:A,LEFT(A304,LEN(A304)-3)&amp;"*")*100</f>
        <v>100</v>
      </c>
      <c r="AH304" s="107"/>
    </row>
    <row r="305" spans="1:34" ht="17.25" hidden="1" customHeight="1">
      <c r="A305" s="110" t="s">
        <v>577</v>
      </c>
      <c r="B305" s="229">
        <v>44041</v>
      </c>
      <c r="C305" s="110">
        <v>10000</v>
      </c>
      <c r="D305" s="110">
        <v>7.5</v>
      </c>
      <c r="E305" s="110"/>
      <c r="F305" s="107" t="s">
        <v>323</v>
      </c>
      <c r="G305" s="107"/>
      <c r="H305" s="107"/>
      <c r="I305" s="178">
        <v>44110</v>
      </c>
      <c r="J305" s="178">
        <v>44113</v>
      </c>
      <c r="K305" s="107"/>
      <c r="L305" s="107"/>
      <c r="M305" s="107"/>
      <c r="N305" s="107"/>
      <c r="O305" s="107"/>
      <c r="P305" s="107"/>
      <c r="Q305" s="107"/>
      <c r="R305" s="107"/>
      <c r="S305" s="107"/>
      <c r="T305" s="107"/>
      <c r="U305" s="107"/>
      <c r="V305" s="107"/>
      <c r="W305" s="107"/>
      <c r="X305" s="107"/>
      <c r="Y305" s="107"/>
      <c r="Z305" s="107"/>
      <c r="AA305" s="166">
        <v>44022</v>
      </c>
      <c r="AB305" s="109">
        <f>_xlfn.DAYS(AA305,B305)</f>
        <v>-19</v>
      </c>
      <c r="AC305" s="110"/>
      <c r="AD305" s="110"/>
      <c r="AE305" s="110"/>
      <c r="AF305" s="110"/>
      <c r="AG305" s="107">
        <f>COUNTIFS(F:F,"Culled",A:A,LEFT(A305,LEN(A305)-3)&amp;"*")/COUNTIF(A:A,LEFT(A305,LEN(A305)-3)&amp;"*")*100</f>
        <v>40</v>
      </c>
      <c r="AH305" s="107"/>
    </row>
    <row r="306" spans="1:34" ht="12.75" hidden="1">
      <c r="A306" s="110" t="s">
        <v>578</v>
      </c>
      <c r="B306" s="229">
        <v>44041</v>
      </c>
      <c r="C306" s="224">
        <v>10000</v>
      </c>
      <c r="D306" s="110">
        <v>7.5</v>
      </c>
      <c r="E306" s="110"/>
      <c r="F306" s="107" t="s">
        <v>323</v>
      </c>
      <c r="G306" s="107"/>
      <c r="H306" s="107"/>
      <c r="I306" s="178">
        <v>44110</v>
      </c>
      <c r="J306" s="178">
        <v>44113</v>
      </c>
      <c r="K306" s="107"/>
      <c r="L306" s="107"/>
      <c r="M306" s="107"/>
      <c r="N306" s="107"/>
      <c r="O306" s="107"/>
      <c r="P306" s="107"/>
      <c r="Q306" s="107"/>
      <c r="R306" s="107"/>
      <c r="S306" s="107"/>
      <c r="T306" s="107"/>
      <c r="U306" s="107"/>
      <c r="V306" s="107"/>
      <c r="W306" s="107"/>
      <c r="X306" s="107"/>
      <c r="Y306" s="107"/>
      <c r="Z306" s="107"/>
      <c r="AA306" s="166">
        <v>44022</v>
      </c>
      <c r="AB306" s="109">
        <f>_xlfn.DAYS(AA306,B306)</f>
        <v>-19</v>
      </c>
      <c r="AC306" s="110"/>
      <c r="AD306" s="110"/>
      <c r="AE306" s="110"/>
      <c r="AF306" s="110"/>
      <c r="AG306" s="107">
        <f>COUNTIFS(F:F,"Culled",A:A,LEFT(A306,LEN(A306)-3)&amp;"*")/COUNTIF(A:A,LEFT(A306,LEN(A306)-3)&amp;"*")*100</f>
        <v>40</v>
      </c>
      <c r="AH306" s="107"/>
    </row>
    <row r="307" spans="1:34" ht="17.25" hidden="1" customHeight="1">
      <c r="A307" s="110" t="s">
        <v>579</v>
      </c>
      <c r="B307" s="229">
        <v>44041</v>
      </c>
      <c r="C307" s="110">
        <v>10000</v>
      </c>
      <c r="D307" s="110">
        <v>7.5</v>
      </c>
      <c r="E307" s="110"/>
      <c r="F307" s="107" t="s">
        <v>323</v>
      </c>
      <c r="G307" s="107"/>
      <c r="H307" s="107"/>
      <c r="I307" s="178">
        <v>44110</v>
      </c>
      <c r="J307" s="178">
        <v>44113</v>
      </c>
      <c r="K307" s="107"/>
      <c r="L307" s="107"/>
      <c r="M307" s="107"/>
      <c r="N307" s="107"/>
      <c r="O307" s="107"/>
      <c r="P307" s="107"/>
      <c r="Q307" s="107"/>
      <c r="R307" s="107"/>
      <c r="S307" s="107"/>
      <c r="T307" s="107"/>
      <c r="U307" s="107"/>
      <c r="V307" s="107"/>
      <c r="W307" s="107"/>
      <c r="X307" s="107"/>
      <c r="Y307" s="107"/>
      <c r="Z307" s="107"/>
      <c r="AA307" s="166">
        <v>44022</v>
      </c>
      <c r="AB307" s="109">
        <f>_xlfn.DAYS(AA307,B307)</f>
        <v>-19</v>
      </c>
      <c r="AC307" s="110"/>
      <c r="AD307" s="110"/>
      <c r="AE307" s="110"/>
      <c r="AF307" s="110"/>
      <c r="AG307" s="107">
        <f>COUNTIFS(F:F,"Culled",A:A,LEFT(A307,LEN(A307)-3)&amp;"*")/COUNTIF(A:A,LEFT(A307,LEN(A307)-3)&amp;"*")*100</f>
        <v>40</v>
      </c>
      <c r="AH307" s="107"/>
    </row>
    <row r="308" spans="1:34" ht="17.25" hidden="1" customHeight="1">
      <c r="A308" s="110" t="s">
        <v>580</v>
      </c>
      <c r="B308" s="229">
        <v>44041</v>
      </c>
      <c r="C308" s="110">
        <v>10000</v>
      </c>
      <c r="D308" s="110">
        <v>7</v>
      </c>
      <c r="E308" s="110"/>
      <c r="F308" s="107" t="s">
        <v>323</v>
      </c>
      <c r="G308" s="107"/>
      <c r="H308" s="107"/>
      <c r="I308" s="178">
        <v>44110</v>
      </c>
      <c r="J308" s="178">
        <v>44113</v>
      </c>
      <c r="K308" s="107"/>
      <c r="L308" s="107"/>
      <c r="M308" s="107"/>
      <c r="N308" s="107"/>
      <c r="O308" s="107"/>
      <c r="P308" s="107"/>
      <c r="Q308" s="107"/>
      <c r="R308" s="107"/>
      <c r="S308" s="107"/>
      <c r="T308" s="107"/>
      <c r="U308" s="107"/>
      <c r="V308" s="107"/>
      <c r="W308" s="107"/>
      <c r="X308" s="107"/>
      <c r="Y308" s="107"/>
      <c r="Z308" s="107"/>
      <c r="AA308" s="166">
        <v>44022</v>
      </c>
      <c r="AB308" s="109">
        <f>_xlfn.DAYS(AA308,B308)</f>
        <v>-19</v>
      </c>
      <c r="AC308" s="110"/>
      <c r="AD308" s="110"/>
      <c r="AE308" s="110"/>
      <c r="AF308" s="110"/>
      <c r="AG308" s="107">
        <f>COUNTIFS(F:F,"Culled",A:A,LEFT(A308,LEN(A308)-3)&amp;"*")/COUNTIF(A:A,LEFT(A308,LEN(A308)-3)&amp;"*")*100</f>
        <v>40</v>
      </c>
      <c r="AH308" s="107"/>
    </row>
    <row r="309" spans="1:34" ht="17.25" hidden="1" customHeight="1">
      <c r="A309" s="107" t="s">
        <v>581</v>
      </c>
      <c r="B309" s="226">
        <v>44061</v>
      </c>
      <c r="C309" s="230">
        <v>10000</v>
      </c>
      <c r="D309" s="107">
        <f>COUNTA(G309:Z309)*0.5</f>
        <v>7</v>
      </c>
      <c r="F309" s="107" t="s">
        <v>323</v>
      </c>
      <c r="G309" s="178">
        <v>44061</v>
      </c>
      <c r="H309" s="178">
        <v>44061</v>
      </c>
      <c r="I309" s="178">
        <v>44110</v>
      </c>
      <c r="J309" s="178">
        <v>44113</v>
      </c>
      <c r="K309" s="178">
        <v>44064</v>
      </c>
      <c r="L309" s="178">
        <v>44067</v>
      </c>
      <c r="M309" s="178">
        <v>44069</v>
      </c>
      <c r="N309" s="178">
        <v>44069</v>
      </c>
      <c r="O309" s="178">
        <v>44071</v>
      </c>
      <c r="P309" s="178">
        <v>44071</v>
      </c>
      <c r="Q309" s="178">
        <v>44076</v>
      </c>
      <c r="R309" s="178">
        <v>44078</v>
      </c>
      <c r="S309" s="178">
        <v>44081</v>
      </c>
      <c r="T309" s="178">
        <v>44090</v>
      </c>
      <c r="AA309" s="166">
        <v>44022</v>
      </c>
      <c r="AB309" s="109">
        <f>_xlfn.DAYS(AA309,B309)</f>
        <v>-39</v>
      </c>
      <c r="AG309" s="107">
        <f>COUNTIFS(F:F,"Culled",A:A,LEFT(A309,LEN(A309)-3)&amp;"*")/COUNTIF(A:A,LEFT(A309,LEN(A309)-3)&amp;"*")*100</f>
        <v>100</v>
      </c>
      <c r="AH309" s="107"/>
    </row>
    <row r="310" spans="1:34" ht="17.25" hidden="1" customHeight="1">
      <c r="A310" s="107" t="s">
        <v>582</v>
      </c>
      <c r="B310" s="226">
        <v>44083</v>
      </c>
      <c r="C310" s="230" t="s">
        <v>23</v>
      </c>
      <c r="D310" s="107">
        <f>COUNTA(G310:Z310)*0.5</f>
        <v>2.5</v>
      </c>
      <c r="F310" s="107" t="s">
        <v>323</v>
      </c>
      <c r="G310" s="177">
        <v>44083</v>
      </c>
      <c r="H310" s="177">
        <v>44083</v>
      </c>
      <c r="I310" s="178">
        <v>44110</v>
      </c>
      <c r="J310" s="178">
        <v>44113</v>
      </c>
      <c r="K310" s="178" t="s">
        <v>375</v>
      </c>
      <c r="L310" s="107"/>
      <c r="M310" s="107"/>
      <c r="N310" s="107"/>
      <c r="O310" s="107"/>
      <c r="P310" s="107"/>
      <c r="Q310" s="107"/>
      <c r="R310" s="107"/>
      <c r="S310" s="107"/>
      <c r="T310" s="107"/>
      <c r="U310" s="107"/>
      <c r="V310" s="107"/>
      <c r="W310" s="107"/>
      <c r="X310" s="107"/>
      <c r="Y310" s="107"/>
      <c r="Z310" s="107"/>
      <c r="AA310" s="166">
        <v>44022</v>
      </c>
      <c r="AH310" s="107"/>
    </row>
    <row r="311" spans="1:34" ht="17.25" hidden="1" customHeight="1">
      <c r="A311" s="107" t="s">
        <v>583</v>
      </c>
      <c r="B311" s="226">
        <v>44083</v>
      </c>
      <c r="C311" s="230" t="s">
        <v>23</v>
      </c>
      <c r="D311" s="107">
        <f>COUNTA(G311:Z311)*0.5</f>
        <v>2.5</v>
      </c>
      <c r="F311" s="107" t="s">
        <v>323</v>
      </c>
      <c r="G311" s="177">
        <v>44083</v>
      </c>
      <c r="H311" s="177">
        <v>44083</v>
      </c>
      <c r="I311" s="178">
        <v>44110</v>
      </c>
      <c r="J311" s="178">
        <v>44113</v>
      </c>
      <c r="K311" s="178" t="s">
        <v>375</v>
      </c>
      <c r="L311" s="107"/>
      <c r="M311" s="107"/>
      <c r="N311" s="107"/>
      <c r="O311" s="107"/>
      <c r="P311" s="107"/>
      <c r="Q311" s="107"/>
      <c r="R311" s="107"/>
      <c r="S311" s="107"/>
      <c r="T311" s="107"/>
      <c r="U311" s="107"/>
      <c r="V311" s="107"/>
      <c r="W311" s="107"/>
      <c r="X311" s="107"/>
      <c r="Y311" s="107"/>
      <c r="Z311" s="107"/>
      <c r="AA311" s="166">
        <v>44022</v>
      </c>
      <c r="AH311" s="107"/>
    </row>
    <row r="312" spans="1:34" ht="17.25" hidden="1" customHeight="1">
      <c r="A312" s="107" t="s">
        <v>584</v>
      </c>
      <c r="B312" s="226">
        <v>44083</v>
      </c>
      <c r="C312" s="230" t="s">
        <v>23</v>
      </c>
      <c r="D312" s="107">
        <f>COUNTA(G312:Z312)*0.5</f>
        <v>2.5</v>
      </c>
      <c r="F312" s="107" t="s">
        <v>323</v>
      </c>
      <c r="G312" s="177">
        <v>44083</v>
      </c>
      <c r="H312" s="177">
        <v>44083</v>
      </c>
      <c r="I312" s="178">
        <v>44110</v>
      </c>
      <c r="J312" s="178">
        <v>44113</v>
      </c>
      <c r="K312" s="178" t="s">
        <v>375</v>
      </c>
      <c r="L312" s="107"/>
      <c r="M312" s="107"/>
      <c r="N312" s="107"/>
      <c r="O312" s="107"/>
      <c r="P312" s="107"/>
      <c r="Q312" s="107"/>
      <c r="R312" s="107"/>
      <c r="S312" s="107"/>
      <c r="T312" s="107"/>
      <c r="U312" s="107"/>
      <c r="V312" s="107"/>
      <c r="W312" s="107"/>
      <c r="X312" s="107"/>
      <c r="Y312" s="107"/>
      <c r="Z312" s="107"/>
      <c r="AA312" s="166">
        <v>44022</v>
      </c>
      <c r="AH312" s="107"/>
    </row>
    <row r="313" spans="1:34" ht="17.25" hidden="1" customHeight="1">
      <c r="A313" s="107" t="s">
        <v>585</v>
      </c>
      <c r="B313" s="226">
        <v>44083</v>
      </c>
      <c r="C313" s="230" t="s">
        <v>23</v>
      </c>
      <c r="D313" s="107">
        <f>COUNTA(G313:Z313)*0.5</f>
        <v>2.5</v>
      </c>
      <c r="F313" s="107" t="s">
        <v>323</v>
      </c>
      <c r="G313" s="177">
        <v>44083</v>
      </c>
      <c r="H313" s="177">
        <v>44083</v>
      </c>
      <c r="I313" s="178">
        <v>44110</v>
      </c>
      <c r="J313" s="178">
        <v>44113</v>
      </c>
      <c r="K313" s="178" t="s">
        <v>375</v>
      </c>
      <c r="L313" s="107"/>
      <c r="M313" s="107"/>
      <c r="N313" s="107"/>
      <c r="O313" s="107"/>
      <c r="P313" s="107"/>
      <c r="Q313" s="107"/>
      <c r="R313" s="107"/>
      <c r="S313" s="107"/>
      <c r="T313" s="107"/>
      <c r="U313" s="107"/>
      <c r="V313" s="107"/>
      <c r="W313" s="107"/>
      <c r="X313" s="107"/>
      <c r="Y313" s="107"/>
      <c r="Z313" s="107"/>
      <c r="AA313" s="166">
        <v>44022</v>
      </c>
      <c r="AH313" s="107"/>
    </row>
    <row r="314" spans="1:34" ht="17.25" hidden="1" customHeight="1">
      <c r="A314" s="107" t="s">
        <v>586</v>
      </c>
      <c r="B314" s="226">
        <v>44083</v>
      </c>
      <c r="C314" s="230" t="s">
        <v>23</v>
      </c>
      <c r="D314" s="107">
        <f>COUNTA(G314:Z314)*0.5</f>
        <v>2.5</v>
      </c>
      <c r="F314" s="107" t="s">
        <v>323</v>
      </c>
      <c r="G314" s="177">
        <v>44083</v>
      </c>
      <c r="H314" s="177">
        <v>44083</v>
      </c>
      <c r="I314" s="178">
        <v>44110</v>
      </c>
      <c r="J314" s="178">
        <v>44113</v>
      </c>
      <c r="K314" s="178" t="s">
        <v>375</v>
      </c>
      <c r="L314" s="107"/>
      <c r="M314" s="107"/>
      <c r="N314" s="107"/>
      <c r="O314" s="107"/>
      <c r="P314" s="107"/>
      <c r="Q314" s="107"/>
      <c r="R314" s="107"/>
      <c r="S314" s="107"/>
      <c r="T314" s="107"/>
      <c r="U314" s="107"/>
      <c r="V314" s="107"/>
      <c r="W314" s="107"/>
      <c r="X314" s="107"/>
      <c r="Y314" s="107"/>
      <c r="Z314" s="107"/>
      <c r="AA314" s="166">
        <v>44022</v>
      </c>
      <c r="AH314" s="107"/>
    </row>
    <row r="315" spans="1:34" ht="17.25" hidden="1" customHeight="1">
      <c r="A315" s="110" t="s">
        <v>587</v>
      </c>
      <c r="B315" s="229">
        <v>43993</v>
      </c>
      <c r="C315" s="10">
        <v>10000</v>
      </c>
      <c r="D315" s="110">
        <v>9</v>
      </c>
      <c r="E315" s="110"/>
      <c r="F315" s="107" t="s">
        <v>323</v>
      </c>
      <c r="G315" s="107"/>
      <c r="H315" s="107"/>
      <c r="I315" s="107"/>
      <c r="J315" s="107"/>
      <c r="K315" s="107"/>
      <c r="L315" s="107"/>
      <c r="M315" s="107"/>
      <c r="N315" s="107"/>
      <c r="O315" s="107"/>
      <c r="P315" s="107"/>
      <c r="Q315" s="107"/>
      <c r="R315" s="107"/>
      <c r="S315" s="107"/>
      <c r="T315" s="107"/>
      <c r="U315" s="107"/>
      <c r="V315" s="107"/>
      <c r="W315" s="107"/>
      <c r="X315" s="107"/>
      <c r="Y315" s="107"/>
      <c r="Z315" s="107"/>
      <c r="AA315" s="167">
        <v>44025</v>
      </c>
      <c r="AB315" s="109">
        <f>_xlfn.DAYS(AA315,B315)</f>
        <v>32</v>
      </c>
      <c r="AC315" s="110"/>
      <c r="AD315" s="110"/>
      <c r="AE315" s="110"/>
      <c r="AF315" s="110"/>
      <c r="AG315" s="110">
        <v>50</v>
      </c>
      <c r="AH315" s="107"/>
    </row>
    <row r="316" spans="1:34" ht="17.25" hidden="1" customHeight="1">
      <c r="A316" s="10" t="s">
        <v>588</v>
      </c>
      <c r="B316" s="229">
        <v>44001</v>
      </c>
      <c r="C316" s="110">
        <v>10000</v>
      </c>
      <c r="D316" s="110">
        <v>6</v>
      </c>
      <c r="E316" s="110"/>
      <c r="F316" s="107" t="s">
        <v>323</v>
      </c>
      <c r="G316" s="107"/>
      <c r="H316" s="107"/>
      <c r="I316" s="107"/>
      <c r="J316" s="107"/>
      <c r="K316" s="107"/>
      <c r="L316" s="107"/>
      <c r="M316" s="107"/>
      <c r="N316" s="107"/>
      <c r="O316" s="107"/>
      <c r="P316" s="107"/>
      <c r="Q316" s="107"/>
      <c r="R316" s="107"/>
      <c r="S316" s="107"/>
      <c r="T316" s="107"/>
      <c r="U316" s="107"/>
      <c r="V316" s="107"/>
      <c r="W316" s="107"/>
      <c r="X316" s="107"/>
      <c r="Y316" s="107"/>
      <c r="Z316" s="107"/>
      <c r="AA316" s="167">
        <v>44026</v>
      </c>
      <c r="AB316" s="109">
        <f>_xlfn.DAYS(AA316,B316)</f>
        <v>25</v>
      </c>
      <c r="AC316" s="110"/>
      <c r="AD316" s="110"/>
      <c r="AE316" s="110"/>
      <c r="AF316" s="110"/>
      <c r="AG316" s="110">
        <v>100</v>
      </c>
      <c r="AH316" s="107"/>
    </row>
    <row r="317" spans="1:34" ht="17.25" hidden="1" customHeight="1">
      <c r="A317" s="10" t="s">
        <v>589</v>
      </c>
      <c r="B317" s="229">
        <v>44001</v>
      </c>
      <c r="C317" s="110">
        <v>10000</v>
      </c>
      <c r="D317" s="110">
        <v>6</v>
      </c>
      <c r="E317" s="110"/>
      <c r="F317" s="107" t="s">
        <v>323</v>
      </c>
      <c r="G317" s="107"/>
      <c r="H317" s="107"/>
      <c r="I317" s="107"/>
      <c r="J317" s="107"/>
      <c r="K317" s="107"/>
      <c r="L317" s="107"/>
      <c r="M317" s="107"/>
      <c r="N317" s="107"/>
      <c r="O317" s="107"/>
      <c r="P317" s="107"/>
      <c r="Q317" s="107"/>
      <c r="R317" s="107"/>
      <c r="S317" s="107"/>
      <c r="T317" s="107"/>
      <c r="U317" s="107"/>
      <c r="V317" s="107"/>
      <c r="W317" s="107"/>
      <c r="X317" s="107"/>
      <c r="Y317" s="107"/>
      <c r="Z317" s="107"/>
      <c r="AA317" s="167">
        <v>44026</v>
      </c>
      <c r="AB317" s="109">
        <f>_xlfn.DAYS(AA317,B317)</f>
        <v>25</v>
      </c>
      <c r="AC317" s="110"/>
      <c r="AD317" s="110"/>
      <c r="AE317" s="110"/>
      <c r="AF317" s="110"/>
      <c r="AG317" s="110">
        <v>100</v>
      </c>
      <c r="AH317" s="107"/>
    </row>
    <row r="318" spans="1:34" ht="17.25" hidden="1" customHeight="1">
      <c r="A318" s="10" t="s">
        <v>590</v>
      </c>
      <c r="B318" s="229">
        <v>44001</v>
      </c>
      <c r="C318" s="110">
        <v>10000</v>
      </c>
      <c r="D318" s="110">
        <v>6</v>
      </c>
      <c r="E318" s="110"/>
      <c r="F318" s="107" t="s">
        <v>323</v>
      </c>
      <c r="G318" s="107"/>
      <c r="H318" s="107"/>
      <c r="I318" s="107"/>
      <c r="J318" s="107"/>
      <c r="K318" s="107"/>
      <c r="L318" s="107"/>
      <c r="M318" s="107"/>
      <c r="N318" s="107"/>
      <c r="O318" s="107"/>
      <c r="P318" s="107"/>
      <c r="Q318" s="107"/>
      <c r="R318" s="107"/>
      <c r="S318" s="107"/>
      <c r="T318" s="107"/>
      <c r="U318" s="107"/>
      <c r="V318" s="107"/>
      <c r="W318" s="107"/>
      <c r="X318" s="107"/>
      <c r="Y318" s="107"/>
      <c r="Z318" s="107"/>
      <c r="AA318" s="167">
        <v>44026</v>
      </c>
      <c r="AB318" s="109">
        <f>_xlfn.DAYS(AA318,B318)</f>
        <v>25</v>
      </c>
      <c r="AC318" s="110"/>
      <c r="AD318" s="110"/>
      <c r="AE318" s="110"/>
      <c r="AF318" s="110"/>
      <c r="AG318" s="110">
        <v>100</v>
      </c>
      <c r="AH318" s="107"/>
    </row>
    <row r="319" spans="1:34" ht="17.25" hidden="1" customHeight="1">
      <c r="A319" s="10" t="s">
        <v>591</v>
      </c>
      <c r="B319" s="229">
        <v>44001</v>
      </c>
      <c r="C319" s="110">
        <v>10000</v>
      </c>
      <c r="D319" s="110">
        <v>6</v>
      </c>
      <c r="E319" s="110"/>
      <c r="F319" s="107" t="s">
        <v>323</v>
      </c>
      <c r="G319" s="107"/>
      <c r="H319" s="107"/>
      <c r="I319" s="107"/>
      <c r="J319" s="107"/>
      <c r="K319" s="107"/>
      <c r="L319" s="107"/>
      <c r="M319" s="107"/>
      <c r="N319" s="107"/>
      <c r="O319" s="107"/>
      <c r="P319" s="107"/>
      <c r="Q319" s="107"/>
      <c r="R319" s="107"/>
      <c r="S319" s="107"/>
      <c r="T319" s="107"/>
      <c r="U319" s="107"/>
      <c r="V319" s="107"/>
      <c r="W319" s="107"/>
      <c r="X319" s="107"/>
      <c r="Y319" s="107"/>
      <c r="Z319" s="107"/>
      <c r="AA319" s="167">
        <v>44026</v>
      </c>
      <c r="AB319" s="109">
        <f>_xlfn.DAYS(AA319,B319)</f>
        <v>25</v>
      </c>
      <c r="AC319" s="110"/>
      <c r="AD319" s="110"/>
      <c r="AE319" s="110"/>
      <c r="AF319" s="110"/>
      <c r="AG319" s="110">
        <v>100</v>
      </c>
      <c r="AH319" s="107"/>
    </row>
    <row r="320" spans="1:34" ht="17.25" hidden="1" customHeight="1">
      <c r="A320" s="10" t="s">
        <v>592</v>
      </c>
      <c r="B320" s="229">
        <v>44001</v>
      </c>
      <c r="C320" s="110">
        <v>10000</v>
      </c>
      <c r="D320" s="110">
        <v>6.5</v>
      </c>
      <c r="E320" s="110"/>
      <c r="F320" s="107" t="s">
        <v>323</v>
      </c>
      <c r="G320" s="107"/>
      <c r="H320" s="107"/>
      <c r="I320" s="107"/>
      <c r="J320" s="107"/>
      <c r="K320" s="107"/>
      <c r="L320" s="107"/>
      <c r="M320" s="107"/>
      <c r="N320" s="107"/>
      <c r="O320" s="107"/>
      <c r="P320" s="107"/>
      <c r="Q320" s="107"/>
      <c r="R320" s="107"/>
      <c r="S320" s="107"/>
      <c r="T320" s="107"/>
      <c r="U320" s="107"/>
      <c r="V320" s="107"/>
      <c r="W320" s="107"/>
      <c r="X320" s="107"/>
      <c r="Y320" s="107"/>
      <c r="Z320" s="107"/>
      <c r="AA320" s="167">
        <v>44026</v>
      </c>
      <c r="AB320" s="109">
        <f>_xlfn.DAYS(AA320,B320)</f>
        <v>25</v>
      </c>
      <c r="AC320" s="110"/>
      <c r="AD320" s="110"/>
      <c r="AE320" s="110"/>
      <c r="AF320" s="110"/>
      <c r="AG320" s="110">
        <v>100</v>
      </c>
      <c r="AH320" s="107"/>
    </row>
    <row r="321" spans="1:35" ht="17.25" hidden="1" customHeight="1">
      <c r="A321" s="107" t="s">
        <v>593</v>
      </c>
      <c r="B321" s="226">
        <v>44064</v>
      </c>
      <c r="C321" s="230">
        <v>14978</v>
      </c>
      <c r="D321" s="107">
        <f>COUNTA(G321:Z321)*0.5</f>
        <v>6</v>
      </c>
      <c r="F321" s="107" t="s">
        <v>263</v>
      </c>
      <c r="G321" s="178">
        <v>44064</v>
      </c>
      <c r="H321" s="178">
        <v>44064</v>
      </c>
      <c r="I321" s="178">
        <v>44067</v>
      </c>
      <c r="J321" s="178">
        <v>44069</v>
      </c>
      <c r="K321" s="178">
        <v>44069</v>
      </c>
      <c r="L321" s="178">
        <v>44071</v>
      </c>
      <c r="M321" s="178">
        <v>44071</v>
      </c>
      <c r="N321" s="178">
        <v>44074</v>
      </c>
      <c r="O321" s="178">
        <v>44076</v>
      </c>
      <c r="P321" s="178">
        <v>44078</v>
      </c>
      <c r="Q321" s="178">
        <v>44081</v>
      </c>
      <c r="R321" s="178" t="s">
        <v>375</v>
      </c>
      <c r="AA321" s="166">
        <v>44099</v>
      </c>
      <c r="AB321" s="109">
        <f>_xlfn.DAYS(AA321,B321)</f>
        <v>35</v>
      </c>
      <c r="AC321" s="107">
        <f>9/16*100</f>
        <v>56.25</v>
      </c>
      <c r="AD321" s="107">
        <v>878</v>
      </c>
      <c r="AE321" s="107">
        <v>165.5</v>
      </c>
      <c r="AG321" s="107">
        <f>COUNTIFS(F:F,"Culled",A:A,LEFT(A321,LEN(A321)-3)&amp;"*")/COUNTIF(A:A,LEFT(A321,LEN(A321)-3)&amp;"*")*100</f>
        <v>33.333333333333329</v>
      </c>
      <c r="AH321" s="108">
        <f>(AD321-AF321)/(D321*$K$1*2)%</f>
        <v>13.303030303030303</v>
      </c>
      <c r="AI321" s="108">
        <f>(AE321+AF321)/(D321*$K$1*2)%</f>
        <v>2.5075757575757578</v>
      </c>
    </row>
    <row r="322" spans="1:35" ht="17.25" hidden="1" customHeight="1">
      <c r="A322" s="107" t="s">
        <v>594</v>
      </c>
      <c r="B322" s="226">
        <v>44064</v>
      </c>
      <c r="C322" s="230">
        <v>14978</v>
      </c>
      <c r="D322" s="107">
        <f>COUNTA(G322:Z322)*0.5</f>
        <v>6.5</v>
      </c>
      <c r="F322" s="107" t="s">
        <v>263</v>
      </c>
      <c r="G322" s="178">
        <v>44064</v>
      </c>
      <c r="H322" s="178">
        <v>44064</v>
      </c>
      <c r="I322" s="178">
        <v>44067</v>
      </c>
      <c r="J322" s="178">
        <v>44069</v>
      </c>
      <c r="K322" s="178">
        <v>44069</v>
      </c>
      <c r="L322" s="178">
        <v>44071</v>
      </c>
      <c r="M322" s="178">
        <v>44071</v>
      </c>
      <c r="N322" s="178">
        <v>44074</v>
      </c>
      <c r="O322" s="178">
        <v>44076</v>
      </c>
      <c r="P322" s="178">
        <v>44078</v>
      </c>
      <c r="Q322" s="178">
        <v>44081</v>
      </c>
      <c r="R322" s="178">
        <v>44085</v>
      </c>
      <c r="S322" s="178" t="s">
        <v>375</v>
      </c>
      <c r="AA322" s="166">
        <v>44099</v>
      </c>
      <c r="AB322" s="109">
        <f>_xlfn.DAYS(AA322,B322)</f>
        <v>35</v>
      </c>
      <c r="AC322" s="107">
        <f>6/12*100</f>
        <v>50</v>
      </c>
      <c r="AD322" s="107">
        <v>985</v>
      </c>
      <c r="AE322" s="107">
        <v>207.5</v>
      </c>
      <c r="AG322" s="107">
        <f>COUNTIFS(F:F,"Culled",A:A,LEFT(A322,LEN(A322)-3)&amp;"*")/COUNTIF(A:A,LEFT(A322,LEN(A322)-3)&amp;"*")*100</f>
        <v>33.333333333333329</v>
      </c>
      <c r="AH322" s="108">
        <f>(AD322-AF322)/(D322*$K$1*2)%</f>
        <v>13.776223776223777</v>
      </c>
      <c r="AI322" s="108">
        <f>(AE322+AF322)/(D322*$K$1*2)%</f>
        <v>2.9020979020979021</v>
      </c>
    </row>
    <row r="323" spans="1:35" ht="17.25" hidden="1" customHeight="1">
      <c r="A323" s="110" t="s">
        <v>595</v>
      </c>
      <c r="B323" s="229">
        <v>44011</v>
      </c>
      <c r="C323" s="110">
        <v>10000</v>
      </c>
      <c r="D323" s="110">
        <v>1.5</v>
      </c>
      <c r="E323" s="110"/>
      <c r="F323" s="107" t="s">
        <v>323</v>
      </c>
      <c r="G323" s="107"/>
      <c r="H323" s="107"/>
      <c r="I323" s="107"/>
      <c r="J323" s="107"/>
      <c r="K323" s="107"/>
      <c r="L323" s="107"/>
      <c r="M323" s="107"/>
      <c r="N323" s="107"/>
      <c r="O323" s="107"/>
      <c r="P323" s="107"/>
      <c r="Q323" s="107"/>
      <c r="R323" s="107"/>
      <c r="S323" s="107"/>
      <c r="T323" s="107"/>
      <c r="U323" s="107"/>
      <c r="V323" s="107"/>
      <c r="W323" s="107"/>
      <c r="X323" s="107"/>
      <c r="Y323" s="107"/>
      <c r="Z323" s="107"/>
      <c r="AA323" s="167">
        <v>44026</v>
      </c>
      <c r="AB323" s="109">
        <f>_xlfn.DAYS(AA323,B323)</f>
        <v>15</v>
      </c>
      <c r="AC323" s="110"/>
      <c r="AD323" s="110"/>
      <c r="AE323" s="110"/>
      <c r="AF323" s="110"/>
      <c r="AG323" s="110">
        <v>100</v>
      </c>
      <c r="AH323" s="107"/>
    </row>
    <row r="324" spans="1:35" ht="17.25" hidden="1" customHeight="1">
      <c r="A324" s="110" t="s">
        <v>596</v>
      </c>
      <c r="B324" s="229">
        <v>44011</v>
      </c>
      <c r="C324" s="110">
        <v>10000</v>
      </c>
      <c r="D324" s="110">
        <v>1.5</v>
      </c>
      <c r="E324" s="110"/>
      <c r="F324" s="107" t="s">
        <v>323</v>
      </c>
      <c r="G324" s="107"/>
      <c r="H324" s="107"/>
      <c r="I324" s="107"/>
      <c r="J324" s="107"/>
      <c r="K324" s="107"/>
      <c r="L324" s="107"/>
      <c r="M324" s="107"/>
      <c r="N324" s="107"/>
      <c r="O324" s="107"/>
      <c r="P324" s="107"/>
      <c r="Q324" s="107"/>
      <c r="R324" s="107"/>
      <c r="S324" s="107"/>
      <c r="T324" s="107"/>
      <c r="U324" s="107"/>
      <c r="V324" s="107"/>
      <c r="W324" s="107"/>
      <c r="X324" s="107"/>
      <c r="Y324" s="107"/>
      <c r="Z324" s="107"/>
      <c r="AA324" s="167">
        <v>44026</v>
      </c>
      <c r="AB324" s="109">
        <f>_xlfn.DAYS(AA324,B324)</f>
        <v>15</v>
      </c>
      <c r="AC324" s="110"/>
      <c r="AD324" s="110"/>
      <c r="AE324" s="110"/>
      <c r="AF324" s="110"/>
      <c r="AG324" s="110">
        <v>100</v>
      </c>
      <c r="AH324" s="107"/>
    </row>
    <row r="325" spans="1:35" ht="17.25" hidden="1" customHeight="1">
      <c r="A325" s="10" t="s">
        <v>597</v>
      </c>
      <c r="B325" s="229">
        <v>44001</v>
      </c>
      <c r="C325" s="110">
        <v>10000</v>
      </c>
      <c r="D325" s="110">
        <v>6</v>
      </c>
      <c r="E325" s="110"/>
      <c r="F325" s="107" t="s">
        <v>323</v>
      </c>
      <c r="G325" s="107"/>
      <c r="H325" s="107"/>
      <c r="I325" s="107"/>
      <c r="J325" s="107"/>
      <c r="K325" s="107"/>
      <c r="L325" s="107"/>
      <c r="M325" s="107"/>
      <c r="N325" s="107"/>
      <c r="O325" s="107"/>
      <c r="P325" s="107"/>
      <c r="Q325" s="107"/>
      <c r="R325" s="107"/>
      <c r="S325" s="107"/>
      <c r="T325" s="107"/>
      <c r="U325" s="107"/>
      <c r="V325" s="107"/>
      <c r="W325" s="107"/>
      <c r="X325" s="107"/>
      <c r="Y325" s="107"/>
      <c r="Z325" s="107"/>
      <c r="AA325" s="167">
        <v>44026</v>
      </c>
      <c r="AB325" s="109">
        <f>_xlfn.DAYS(AA325,B325)</f>
        <v>25</v>
      </c>
      <c r="AC325" s="110"/>
      <c r="AD325" s="110"/>
      <c r="AE325" s="110"/>
      <c r="AF325" s="110"/>
      <c r="AG325" s="110">
        <v>100</v>
      </c>
      <c r="AH325" s="107"/>
    </row>
    <row r="326" spans="1:35" ht="17.25" hidden="1" customHeight="1">
      <c r="A326" s="10" t="s">
        <v>598</v>
      </c>
      <c r="B326" s="229">
        <v>44001</v>
      </c>
      <c r="C326" s="110">
        <v>10000</v>
      </c>
      <c r="D326" s="110">
        <v>6</v>
      </c>
      <c r="E326" s="110"/>
      <c r="F326" s="107" t="s">
        <v>323</v>
      </c>
      <c r="G326" s="107"/>
      <c r="H326" s="107"/>
      <c r="I326" s="107"/>
      <c r="J326" s="107"/>
      <c r="K326" s="107"/>
      <c r="L326" s="107"/>
      <c r="M326" s="107"/>
      <c r="N326" s="107"/>
      <c r="O326" s="107"/>
      <c r="P326" s="107"/>
      <c r="Q326" s="107"/>
      <c r="R326" s="107"/>
      <c r="S326" s="107"/>
      <c r="T326" s="107"/>
      <c r="U326" s="107"/>
      <c r="V326" s="107"/>
      <c r="W326" s="107"/>
      <c r="X326" s="107"/>
      <c r="Y326" s="107"/>
      <c r="Z326" s="107"/>
      <c r="AA326" s="167">
        <v>44026</v>
      </c>
      <c r="AB326" s="109">
        <f>_xlfn.DAYS(AA326,B326)</f>
        <v>25</v>
      </c>
      <c r="AC326" s="110"/>
      <c r="AD326" s="110"/>
      <c r="AE326" s="110"/>
      <c r="AF326" s="110"/>
      <c r="AG326" s="110">
        <v>100</v>
      </c>
      <c r="AH326" s="107"/>
    </row>
    <row r="327" spans="1:35" ht="17.25" hidden="1" customHeight="1">
      <c r="A327" s="110" t="s">
        <v>599</v>
      </c>
      <c r="B327" s="229">
        <v>44008</v>
      </c>
      <c r="C327" s="110" t="s">
        <v>600</v>
      </c>
      <c r="D327" s="110">
        <v>2.5</v>
      </c>
      <c r="E327" s="110"/>
      <c r="F327" s="107" t="s">
        <v>323</v>
      </c>
      <c r="G327" s="107"/>
      <c r="H327" s="107"/>
      <c r="I327" s="107"/>
      <c r="J327" s="107"/>
      <c r="K327" s="107"/>
      <c r="L327" s="107"/>
      <c r="M327" s="107"/>
      <c r="N327" s="107"/>
      <c r="O327" s="107"/>
      <c r="P327" s="107"/>
      <c r="Q327" s="107"/>
      <c r="R327" s="107"/>
      <c r="S327" s="107"/>
      <c r="T327" s="107"/>
      <c r="U327" s="107"/>
      <c r="V327" s="107"/>
      <c r="W327" s="107"/>
      <c r="X327" s="107"/>
      <c r="Y327" s="107"/>
      <c r="Z327" s="107"/>
      <c r="AA327" s="167">
        <v>44026</v>
      </c>
      <c r="AB327" s="109">
        <f>_xlfn.DAYS(AA327,B327)</f>
        <v>18</v>
      </c>
      <c r="AC327" s="110"/>
      <c r="AD327" s="110"/>
      <c r="AE327" s="110"/>
      <c r="AF327" s="110"/>
      <c r="AG327" s="110">
        <v>100</v>
      </c>
      <c r="AH327" s="107"/>
    </row>
    <row r="328" spans="1:35" ht="17.25" hidden="1" customHeight="1">
      <c r="A328" s="110" t="s">
        <v>601</v>
      </c>
      <c r="B328" s="229">
        <v>44005</v>
      </c>
      <c r="C328" s="110">
        <v>10000</v>
      </c>
      <c r="D328" s="110">
        <v>3</v>
      </c>
      <c r="E328" s="110"/>
      <c r="F328" s="107" t="s">
        <v>323</v>
      </c>
      <c r="G328" s="107"/>
      <c r="H328" s="107"/>
      <c r="I328" s="107"/>
      <c r="J328" s="107"/>
      <c r="K328" s="107"/>
      <c r="L328" s="107"/>
      <c r="M328" s="107"/>
      <c r="N328" s="107"/>
      <c r="O328" s="107"/>
      <c r="P328" s="107"/>
      <c r="Q328" s="107"/>
      <c r="R328" s="107"/>
      <c r="S328" s="107"/>
      <c r="T328" s="107"/>
      <c r="U328" s="107"/>
      <c r="V328" s="107"/>
      <c r="W328" s="107"/>
      <c r="X328" s="107"/>
      <c r="Y328" s="107"/>
      <c r="Z328" s="107"/>
      <c r="AA328" s="167">
        <v>44026</v>
      </c>
      <c r="AB328" s="109">
        <f>_xlfn.DAYS(AA328,B328)</f>
        <v>21</v>
      </c>
      <c r="AC328" s="110"/>
      <c r="AD328" s="110"/>
      <c r="AE328" s="110"/>
      <c r="AF328" s="110"/>
      <c r="AG328" s="110">
        <v>100</v>
      </c>
      <c r="AH328" s="107"/>
    </row>
    <row r="329" spans="1:35" ht="12.75" hidden="1">
      <c r="A329" s="110" t="s">
        <v>602</v>
      </c>
      <c r="B329" s="229">
        <v>44005</v>
      </c>
      <c r="C329" s="110">
        <v>10000</v>
      </c>
      <c r="D329" s="110">
        <v>3</v>
      </c>
      <c r="E329" s="110"/>
      <c r="F329" s="107" t="s">
        <v>323</v>
      </c>
      <c r="G329" s="107"/>
      <c r="H329" s="107"/>
      <c r="I329" s="107"/>
      <c r="J329" s="107"/>
      <c r="K329" s="107"/>
      <c r="L329" s="107"/>
      <c r="M329" s="107"/>
      <c r="N329" s="107"/>
      <c r="O329" s="107"/>
      <c r="P329" s="107"/>
      <c r="Q329" s="107"/>
      <c r="R329" s="107"/>
      <c r="S329" s="107"/>
      <c r="T329" s="107"/>
      <c r="U329" s="107"/>
      <c r="V329" s="107"/>
      <c r="W329" s="107"/>
      <c r="X329" s="107"/>
      <c r="Y329" s="107"/>
      <c r="Z329" s="107"/>
      <c r="AA329" s="167">
        <v>44026</v>
      </c>
      <c r="AB329" s="109">
        <f>_xlfn.DAYS(AA329,B329)</f>
        <v>21</v>
      </c>
      <c r="AC329" s="110"/>
      <c r="AD329" s="110"/>
      <c r="AE329" s="110"/>
      <c r="AF329" s="110"/>
      <c r="AG329" s="110">
        <v>100</v>
      </c>
      <c r="AH329" s="107"/>
    </row>
    <row r="330" spans="1:35" ht="12.75" hidden="1">
      <c r="A330" s="110" t="s">
        <v>603</v>
      </c>
      <c r="B330" s="229">
        <v>44005</v>
      </c>
      <c r="C330" s="110">
        <v>10000</v>
      </c>
      <c r="D330" s="110">
        <v>3</v>
      </c>
      <c r="E330" s="110"/>
      <c r="F330" s="107" t="s">
        <v>323</v>
      </c>
      <c r="G330" s="107"/>
      <c r="H330" s="107"/>
      <c r="I330" s="107"/>
      <c r="J330" s="107"/>
      <c r="K330" s="107"/>
      <c r="L330" s="107"/>
      <c r="M330" s="107"/>
      <c r="N330" s="107"/>
      <c r="O330" s="107"/>
      <c r="P330" s="107"/>
      <c r="Q330" s="107"/>
      <c r="R330" s="107"/>
      <c r="S330" s="107"/>
      <c r="T330" s="107"/>
      <c r="U330" s="107"/>
      <c r="V330" s="107"/>
      <c r="W330" s="107"/>
      <c r="X330" s="107"/>
      <c r="Y330" s="107"/>
      <c r="Z330" s="107"/>
      <c r="AA330" s="167">
        <v>44026</v>
      </c>
      <c r="AB330" s="109">
        <f>_xlfn.DAYS(AA330,B330)</f>
        <v>21</v>
      </c>
      <c r="AC330" s="110"/>
      <c r="AD330" s="110"/>
      <c r="AE330" s="110"/>
      <c r="AF330" s="110"/>
      <c r="AG330" s="110">
        <v>100</v>
      </c>
      <c r="AH330" s="107"/>
    </row>
    <row r="331" spans="1:35" ht="17.25" hidden="1" customHeight="1">
      <c r="A331" s="110" t="s">
        <v>604</v>
      </c>
      <c r="B331" s="229">
        <v>44005</v>
      </c>
      <c r="C331" s="110">
        <v>10000</v>
      </c>
      <c r="D331" s="110">
        <v>3</v>
      </c>
      <c r="E331" s="110"/>
      <c r="F331" s="107" t="s">
        <v>323</v>
      </c>
      <c r="G331" s="107"/>
      <c r="H331" s="107"/>
      <c r="I331" s="107"/>
      <c r="J331" s="107"/>
      <c r="K331" s="107"/>
      <c r="L331" s="107"/>
      <c r="M331" s="107"/>
      <c r="N331" s="107"/>
      <c r="O331" s="107"/>
      <c r="P331" s="107"/>
      <c r="Q331" s="107"/>
      <c r="R331" s="107"/>
      <c r="S331" s="107"/>
      <c r="T331" s="107"/>
      <c r="U331" s="107"/>
      <c r="V331" s="107"/>
      <c r="W331" s="107"/>
      <c r="X331" s="107"/>
      <c r="Y331" s="107"/>
      <c r="Z331" s="107"/>
      <c r="AA331" s="167">
        <v>44026</v>
      </c>
      <c r="AB331" s="109">
        <f>_xlfn.DAYS(AA331,B331)</f>
        <v>21</v>
      </c>
      <c r="AC331" s="110"/>
      <c r="AD331" s="110"/>
      <c r="AE331" s="110"/>
      <c r="AF331" s="110"/>
      <c r="AG331" s="110">
        <v>100</v>
      </c>
      <c r="AH331" s="107"/>
    </row>
    <row r="332" spans="1:35" ht="17.25" hidden="1" customHeight="1">
      <c r="A332" s="110" t="s">
        <v>605</v>
      </c>
      <c r="B332" s="229">
        <v>44005</v>
      </c>
      <c r="C332" s="110">
        <v>10000</v>
      </c>
      <c r="D332" s="110">
        <v>3</v>
      </c>
      <c r="E332" s="110"/>
      <c r="F332" s="107" t="s">
        <v>323</v>
      </c>
      <c r="G332" s="107"/>
      <c r="H332" s="107"/>
      <c r="I332" s="107"/>
      <c r="J332" s="107"/>
      <c r="K332" s="107"/>
      <c r="L332" s="107"/>
      <c r="M332" s="107"/>
      <c r="N332" s="107"/>
      <c r="O332" s="107"/>
      <c r="P332" s="107"/>
      <c r="Q332" s="107"/>
      <c r="R332" s="107"/>
      <c r="S332" s="107"/>
      <c r="T332" s="107"/>
      <c r="U332" s="107"/>
      <c r="V332" s="107"/>
      <c r="W332" s="107"/>
      <c r="X332" s="107"/>
      <c r="Y332" s="107"/>
      <c r="Z332" s="107"/>
      <c r="AA332" s="167">
        <v>44026</v>
      </c>
      <c r="AB332" s="109">
        <f>_xlfn.DAYS(AA332,B332)</f>
        <v>21</v>
      </c>
      <c r="AC332" s="110"/>
      <c r="AD332" s="110"/>
      <c r="AE332" s="110"/>
      <c r="AF332" s="110"/>
      <c r="AG332" s="110">
        <v>100</v>
      </c>
      <c r="AH332" s="107"/>
    </row>
    <row r="333" spans="1:35" ht="17.25" hidden="1" customHeight="1">
      <c r="A333" s="10" t="s">
        <v>606</v>
      </c>
      <c r="B333" s="229">
        <v>43999</v>
      </c>
      <c r="C333" s="110">
        <v>10000</v>
      </c>
      <c r="D333" s="110">
        <v>4</v>
      </c>
      <c r="E333" s="110"/>
      <c r="F333" s="107" t="s">
        <v>323</v>
      </c>
      <c r="G333" s="107"/>
      <c r="H333" s="107"/>
      <c r="I333" s="107"/>
      <c r="J333" s="107"/>
      <c r="K333" s="107"/>
      <c r="L333" s="107"/>
      <c r="M333" s="107"/>
      <c r="N333" s="107"/>
      <c r="O333" s="107"/>
      <c r="P333" s="107"/>
      <c r="Q333" s="107"/>
      <c r="R333" s="107"/>
      <c r="S333" s="107"/>
      <c r="T333" s="107"/>
      <c r="U333" s="107"/>
      <c r="V333" s="107"/>
      <c r="W333" s="107"/>
      <c r="X333" s="107"/>
      <c r="Y333" s="107"/>
      <c r="Z333" s="107"/>
      <c r="AA333" s="167">
        <v>44026</v>
      </c>
      <c r="AB333" s="109">
        <f>_xlfn.DAYS(AA333,B333)</f>
        <v>27</v>
      </c>
      <c r="AC333" s="110"/>
      <c r="AD333" s="110"/>
      <c r="AE333" s="110"/>
      <c r="AF333" s="110"/>
      <c r="AG333" s="110">
        <v>100</v>
      </c>
      <c r="AH333" s="107"/>
    </row>
    <row r="334" spans="1:35" ht="17.25" hidden="1" customHeight="1">
      <c r="A334" s="10" t="s">
        <v>607</v>
      </c>
      <c r="B334" s="229">
        <v>43999</v>
      </c>
      <c r="C334" s="110">
        <v>10000</v>
      </c>
      <c r="D334" s="110">
        <v>4</v>
      </c>
      <c r="E334" s="110"/>
      <c r="F334" s="107" t="s">
        <v>323</v>
      </c>
      <c r="G334" s="107"/>
      <c r="H334" s="107"/>
      <c r="I334" s="107"/>
      <c r="J334" s="107"/>
      <c r="K334" s="107"/>
      <c r="L334" s="107"/>
      <c r="M334" s="107"/>
      <c r="N334" s="107"/>
      <c r="O334" s="107"/>
      <c r="P334" s="107"/>
      <c r="Q334" s="107"/>
      <c r="R334" s="107"/>
      <c r="S334" s="107"/>
      <c r="T334" s="107"/>
      <c r="U334" s="107"/>
      <c r="V334" s="107"/>
      <c r="W334" s="107"/>
      <c r="X334" s="107"/>
      <c r="Y334" s="107"/>
      <c r="Z334" s="107"/>
      <c r="AA334" s="167">
        <v>44026</v>
      </c>
      <c r="AB334" s="109">
        <f>_xlfn.DAYS(AA334,B334)</f>
        <v>27</v>
      </c>
      <c r="AC334" s="110"/>
      <c r="AD334" s="110"/>
      <c r="AE334" s="110"/>
      <c r="AF334" s="110"/>
      <c r="AG334" s="110">
        <v>100</v>
      </c>
      <c r="AH334" s="107"/>
    </row>
    <row r="335" spans="1:35" ht="17.25" hidden="1" customHeight="1">
      <c r="A335" s="10" t="s">
        <v>608</v>
      </c>
      <c r="B335" s="229">
        <v>43999</v>
      </c>
      <c r="C335" s="110">
        <v>10000</v>
      </c>
      <c r="D335" s="110">
        <v>3.5</v>
      </c>
      <c r="E335" s="110"/>
      <c r="F335" s="107" t="s">
        <v>323</v>
      </c>
      <c r="G335" s="107"/>
      <c r="H335" s="107"/>
      <c r="I335" s="107"/>
      <c r="J335" s="107"/>
      <c r="K335" s="107"/>
      <c r="L335" s="107"/>
      <c r="M335" s="107"/>
      <c r="N335" s="107"/>
      <c r="O335" s="107"/>
      <c r="P335" s="107"/>
      <c r="Q335" s="107"/>
      <c r="R335" s="107"/>
      <c r="S335" s="107"/>
      <c r="T335" s="107"/>
      <c r="U335" s="107"/>
      <c r="V335" s="107"/>
      <c r="W335" s="107"/>
      <c r="X335" s="107"/>
      <c r="Y335" s="107"/>
      <c r="Z335" s="107"/>
      <c r="AA335" s="167">
        <v>44026</v>
      </c>
      <c r="AB335" s="109">
        <f>_xlfn.DAYS(AA335,B335)</f>
        <v>27</v>
      </c>
      <c r="AC335" s="110"/>
      <c r="AD335" s="110"/>
      <c r="AE335" s="110"/>
      <c r="AF335" s="110"/>
      <c r="AG335" s="110">
        <v>100</v>
      </c>
      <c r="AH335" s="107"/>
    </row>
    <row r="336" spans="1:35" ht="12.75" hidden="1">
      <c r="A336" s="10" t="s">
        <v>609</v>
      </c>
      <c r="B336" s="229">
        <v>43999</v>
      </c>
      <c r="C336" s="110">
        <v>10000</v>
      </c>
      <c r="D336" s="110">
        <v>3.5</v>
      </c>
      <c r="E336" s="110"/>
      <c r="F336" s="107" t="s">
        <v>323</v>
      </c>
      <c r="G336" s="107"/>
      <c r="H336" s="107"/>
      <c r="I336" s="107"/>
      <c r="J336" s="107"/>
      <c r="K336" s="107"/>
      <c r="L336" s="107"/>
      <c r="M336" s="107"/>
      <c r="N336" s="107"/>
      <c r="O336" s="107"/>
      <c r="P336" s="107"/>
      <c r="Q336" s="107"/>
      <c r="R336" s="107"/>
      <c r="S336" s="107"/>
      <c r="T336" s="107"/>
      <c r="U336" s="107"/>
      <c r="V336" s="107"/>
      <c r="W336" s="107"/>
      <c r="X336" s="107"/>
      <c r="Y336" s="107"/>
      <c r="Z336" s="107"/>
      <c r="AA336" s="167">
        <v>44026</v>
      </c>
      <c r="AB336" s="109">
        <f>_xlfn.DAYS(AA336,B336)</f>
        <v>27</v>
      </c>
      <c r="AC336" s="110"/>
      <c r="AD336" s="110"/>
      <c r="AE336" s="110"/>
      <c r="AF336" s="110"/>
      <c r="AG336" s="110">
        <v>100</v>
      </c>
      <c r="AH336" s="107"/>
    </row>
    <row r="337" spans="1:34" ht="12.75" hidden="1">
      <c r="A337" s="10" t="s">
        <v>610</v>
      </c>
      <c r="B337" s="229">
        <v>44011</v>
      </c>
      <c r="C337" s="110" t="s">
        <v>600</v>
      </c>
      <c r="D337" s="110">
        <v>3</v>
      </c>
      <c r="E337" s="110"/>
      <c r="F337" s="107" t="s">
        <v>323</v>
      </c>
      <c r="G337" s="107"/>
      <c r="H337" s="107"/>
      <c r="I337" s="107"/>
      <c r="J337" s="107"/>
      <c r="K337" s="107"/>
      <c r="L337" s="107"/>
      <c r="M337" s="107"/>
      <c r="N337" s="107"/>
      <c r="O337" s="107"/>
      <c r="P337" s="107"/>
      <c r="Q337" s="107"/>
      <c r="R337" s="107"/>
      <c r="S337" s="107"/>
      <c r="T337" s="107"/>
      <c r="U337" s="107"/>
      <c r="V337" s="107"/>
      <c r="W337" s="107"/>
      <c r="X337" s="107"/>
      <c r="Y337" s="107"/>
      <c r="Z337" s="107"/>
      <c r="AA337" s="167">
        <v>44026</v>
      </c>
      <c r="AB337" s="109">
        <f>_xlfn.DAYS(AA337,B337)</f>
        <v>15</v>
      </c>
      <c r="AC337" s="110"/>
      <c r="AD337" s="110"/>
      <c r="AE337" s="110"/>
      <c r="AF337" s="110"/>
      <c r="AG337" s="110">
        <v>50</v>
      </c>
      <c r="AH337" s="107"/>
    </row>
    <row r="338" spans="1:34" ht="12.75" hidden="1">
      <c r="A338" s="10" t="s">
        <v>611</v>
      </c>
      <c r="B338" s="229">
        <v>44011</v>
      </c>
      <c r="C338" s="110" t="s">
        <v>600</v>
      </c>
      <c r="D338" s="110">
        <v>5</v>
      </c>
      <c r="E338" s="110"/>
      <c r="F338" s="107" t="s">
        <v>323</v>
      </c>
      <c r="G338" s="107"/>
      <c r="H338" s="107"/>
      <c r="I338" s="107"/>
      <c r="J338" s="107"/>
      <c r="K338" s="107"/>
      <c r="L338" s="107"/>
      <c r="M338" s="107"/>
      <c r="N338" s="107"/>
      <c r="O338" s="107"/>
      <c r="P338" s="107"/>
      <c r="Q338" s="107"/>
      <c r="R338" s="107"/>
      <c r="S338" s="107"/>
      <c r="T338" s="107"/>
      <c r="U338" s="107"/>
      <c r="V338" s="107"/>
      <c r="W338" s="107"/>
      <c r="X338" s="107"/>
      <c r="Y338" s="107"/>
      <c r="Z338" s="107"/>
      <c r="AA338" s="167">
        <v>44039</v>
      </c>
      <c r="AB338" s="109">
        <f>_xlfn.DAYS(AA338,B338)</f>
        <v>28</v>
      </c>
      <c r="AC338" s="110"/>
      <c r="AD338" s="110"/>
      <c r="AE338" s="110"/>
      <c r="AF338" s="110"/>
      <c r="AG338" s="110">
        <v>50</v>
      </c>
      <c r="AH338" s="107"/>
    </row>
    <row r="339" spans="1:34" ht="12.75" hidden="1">
      <c r="A339" s="110" t="s">
        <v>612</v>
      </c>
      <c r="B339" s="229">
        <v>44014</v>
      </c>
      <c r="C339" s="110">
        <v>10000</v>
      </c>
      <c r="D339" s="110">
        <v>5.5</v>
      </c>
      <c r="E339" s="110"/>
      <c r="F339" s="107" t="s">
        <v>323</v>
      </c>
      <c r="G339" s="107"/>
      <c r="H339" s="107"/>
      <c r="I339" s="107"/>
      <c r="J339" s="107"/>
      <c r="K339" s="107"/>
      <c r="L339" s="107"/>
      <c r="M339" s="107"/>
      <c r="N339" s="107"/>
      <c r="O339" s="107"/>
      <c r="P339" s="107"/>
      <c r="Q339" s="107"/>
      <c r="R339" s="107"/>
      <c r="S339" s="107"/>
      <c r="T339" s="107"/>
      <c r="U339" s="107"/>
      <c r="V339" s="107"/>
      <c r="W339" s="107"/>
      <c r="X339" s="107"/>
      <c r="Y339" s="107"/>
      <c r="Z339" s="107"/>
      <c r="AA339" s="167">
        <v>44039</v>
      </c>
      <c r="AB339" s="109">
        <f>_xlfn.DAYS(AA339,B339)</f>
        <v>25</v>
      </c>
      <c r="AC339" s="110"/>
      <c r="AD339" s="110"/>
      <c r="AE339" s="110"/>
      <c r="AF339" s="110"/>
      <c r="AG339" s="110">
        <v>75</v>
      </c>
      <c r="AH339" s="107"/>
    </row>
    <row r="340" spans="1:34" ht="12.75" hidden="1">
      <c r="A340" s="110" t="s">
        <v>613</v>
      </c>
      <c r="B340" s="229">
        <v>44013</v>
      </c>
      <c r="C340" s="110">
        <v>10000</v>
      </c>
      <c r="D340" s="110">
        <v>4</v>
      </c>
      <c r="E340" s="110"/>
      <c r="F340" s="107" t="s">
        <v>323</v>
      </c>
      <c r="G340" s="107"/>
      <c r="H340" s="107"/>
      <c r="I340" s="107"/>
      <c r="J340" s="107"/>
      <c r="K340" s="107"/>
      <c r="L340" s="107"/>
      <c r="M340" s="107"/>
      <c r="N340" s="107"/>
      <c r="O340" s="107"/>
      <c r="P340" s="107"/>
      <c r="Q340" s="107"/>
      <c r="R340" s="107"/>
      <c r="S340" s="107"/>
      <c r="T340" s="107"/>
      <c r="U340" s="107"/>
      <c r="V340" s="107"/>
      <c r="W340" s="107"/>
      <c r="X340" s="107"/>
      <c r="Y340" s="107"/>
      <c r="Z340" s="107"/>
      <c r="AA340" s="167">
        <v>44041</v>
      </c>
      <c r="AB340" s="109">
        <f>_xlfn.DAYS(AA340,B340)</f>
        <v>28</v>
      </c>
      <c r="AC340" s="110"/>
      <c r="AD340" s="110"/>
      <c r="AE340" s="110"/>
      <c r="AF340" s="110"/>
      <c r="AG340" s="110">
        <v>100</v>
      </c>
      <c r="AH340" s="107"/>
    </row>
    <row r="341" spans="1:34" ht="12.75" hidden="1">
      <c r="A341" s="110" t="s">
        <v>614</v>
      </c>
      <c r="B341" s="229">
        <v>44013</v>
      </c>
      <c r="C341" s="110">
        <v>10000</v>
      </c>
      <c r="D341" s="110">
        <v>4</v>
      </c>
      <c r="E341" s="110"/>
      <c r="F341" s="107" t="s">
        <v>323</v>
      </c>
      <c r="G341" s="107"/>
      <c r="H341" s="107"/>
      <c r="I341" s="107"/>
      <c r="J341" s="107"/>
      <c r="K341" s="107"/>
      <c r="L341" s="107"/>
      <c r="M341" s="107"/>
      <c r="N341" s="107"/>
      <c r="O341" s="107"/>
      <c r="P341" s="107"/>
      <c r="Q341" s="107"/>
      <c r="R341" s="107"/>
      <c r="S341" s="107"/>
      <c r="T341" s="107"/>
      <c r="U341" s="107"/>
      <c r="V341" s="107"/>
      <c r="W341" s="107"/>
      <c r="X341" s="107"/>
      <c r="Y341" s="107"/>
      <c r="Z341" s="107"/>
      <c r="AA341" s="167">
        <v>44041</v>
      </c>
      <c r="AB341" s="109">
        <f>_xlfn.DAYS(AA341,B341)</f>
        <v>28</v>
      </c>
      <c r="AC341" s="110"/>
      <c r="AD341" s="110"/>
      <c r="AE341" s="110"/>
      <c r="AF341" s="110"/>
      <c r="AG341" s="110">
        <v>100</v>
      </c>
      <c r="AH341" s="107"/>
    </row>
    <row r="342" spans="1:34" ht="17.25" hidden="1" customHeight="1">
      <c r="A342" s="110" t="s">
        <v>615</v>
      </c>
      <c r="B342" s="229">
        <v>44029</v>
      </c>
      <c r="C342" s="110">
        <v>10000</v>
      </c>
      <c r="D342" s="236">
        <v>4.5</v>
      </c>
      <c r="E342" s="236"/>
      <c r="F342" s="107" t="s">
        <v>323</v>
      </c>
      <c r="G342" s="107"/>
      <c r="H342" s="107"/>
      <c r="I342" s="107"/>
      <c r="J342" s="107"/>
      <c r="K342" s="107"/>
      <c r="L342" s="107"/>
      <c r="M342" s="107"/>
      <c r="N342" s="107"/>
      <c r="O342" s="107"/>
      <c r="P342" s="107"/>
      <c r="Q342" s="107"/>
      <c r="R342" s="107"/>
      <c r="S342" s="107"/>
      <c r="T342" s="107"/>
      <c r="U342" s="107"/>
      <c r="V342" s="107"/>
      <c r="W342" s="107"/>
      <c r="X342" s="107"/>
      <c r="Y342" s="107"/>
      <c r="Z342" s="107"/>
      <c r="AA342" s="167">
        <v>44042</v>
      </c>
      <c r="AB342" s="109">
        <f>_xlfn.DAYS(AA342,B342)</f>
        <v>13</v>
      </c>
      <c r="AC342" s="110"/>
      <c r="AD342" s="110"/>
      <c r="AE342" s="110"/>
      <c r="AF342" s="110"/>
      <c r="AG342" s="107">
        <f>COUNTIFS(F:F,"Culled",A:A,LEFT(A342,LEN(A342)-3)&amp;"*")/COUNTIF(A:A,LEFT(A342,LEN(A342)-3)&amp;"*")*100</f>
        <v>100</v>
      </c>
      <c r="AH342" s="107"/>
    </row>
    <row r="343" spans="1:34" ht="17.25" hidden="1" customHeight="1">
      <c r="A343" s="110" t="s">
        <v>616</v>
      </c>
      <c r="B343" s="229">
        <v>44029</v>
      </c>
      <c r="C343" s="110">
        <v>10000</v>
      </c>
      <c r="D343" s="236">
        <v>5</v>
      </c>
      <c r="E343" s="236"/>
      <c r="F343" s="107" t="s">
        <v>323</v>
      </c>
      <c r="G343" s="107"/>
      <c r="H343" s="107"/>
      <c r="I343" s="107"/>
      <c r="J343" s="107"/>
      <c r="K343" s="107"/>
      <c r="L343" s="107"/>
      <c r="M343" s="107"/>
      <c r="N343" s="107"/>
      <c r="O343" s="107"/>
      <c r="P343" s="107"/>
      <c r="Q343" s="107"/>
      <c r="R343" s="107"/>
      <c r="S343" s="107"/>
      <c r="T343" s="107"/>
      <c r="U343" s="107"/>
      <c r="V343" s="107"/>
      <c r="W343" s="107"/>
      <c r="X343" s="107"/>
      <c r="Y343" s="107"/>
      <c r="Z343" s="107"/>
      <c r="AA343" s="167">
        <v>44048</v>
      </c>
      <c r="AB343" s="109">
        <f>_xlfn.DAYS(AA343,B343)</f>
        <v>19</v>
      </c>
      <c r="AC343" s="110"/>
      <c r="AD343" s="110"/>
      <c r="AE343" s="110"/>
      <c r="AF343" s="110"/>
      <c r="AG343" s="107">
        <f>COUNTIFS(F:F,"Culled",A:A,LEFT(A343,LEN(A343)-3)&amp;"*")/COUNTIF(A:A,LEFT(A343,LEN(A343)-3)&amp;"*")*100</f>
        <v>100</v>
      </c>
      <c r="AH343" s="107"/>
    </row>
    <row r="344" spans="1:34" ht="17.25" hidden="1" customHeight="1">
      <c r="A344" s="110" t="s">
        <v>617</v>
      </c>
      <c r="B344" s="229">
        <v>44029</v>
      </c>
      <c r="C344" s="110">
        <v>10000</v>
      </c>
      <c r="D344" s="236">
        <v>5</v>
      </c>
      <c r="E344" s="236"/>
      <c r="F344" s="107" t="s">
        <v>323</v>
      </c>
      <c r="G344" s="107"/>
      <c r="H344" s="107"/>
      <c r="I344" s="107"/>
      <c r="J344" s="107"/>
      <c r="K344" s="107"/>
      <c r="L344" s="107"/>
      <c r="M344" s="107"/>
      <c r="N344" s="107"/>
      <c r="O344" s="107"/>
      <c r="P344" s="107"/>
      <c r="Q344" s="107"/>
      <c r="R344" s="107"/>
      <c r="S344" s="107"/>
      <c r="T344" s="107"/>
      <c r="U344" s="107"/>
      <c r="V344" s="107"/>
      <c r="W344" s="107"/>
      <c r="X344" s="107"/>
      <c r="Y344" s="107"/>
      <c r="Z344" s="107"/>
      <c r="AA344" s="167">
        <v>44048</v>
      </c>
      <c r="AB344" s="109">
        <f>_xlfn.DAYS(AA344,B344)</f>
        <v>19</v>
      </c>
      <c r="AC344" s="110"/>
      <c r="AD344" s="110"/>
      <c r="AE344" s="110"/>
      <c r="AF344" s="110"/>
      <c r="AG344" s="107">
        <f>COUNTIFS(F:F,"Culled",A:A,LEFT(A344,LEN(A344)-3)&amp;"*")/COUNTIF(A:A,LEFT(A344,LEN(A344)-3)&amp;"*")*100</f>
        <v>100</v>
      </c>
      <c r="AH344" s="107"/>
    </row>
    <row r="345" spans="1:34" ht="17.25" hidden="1" customHeight="1">
      <c r="A345" s="110" t="s">
        <v>618</v>
      </c>
      <c r="B345" s="229">
        <v>44029</v>
      </c>
      <c r="C345" s="110">
        <v>10000</v>
      </c>
      <c r="D345" s="236">
        <v>5</v>
      </c>
      <c r="E345" s="236"/>
      <c r="F345" s="107" t="s">
        <v>323</v>
      </c>
      <c r="G345" s="107"/>
      <c r="H345" s="107"/>
      <c r="I345" s="107"/>
      <c r="J345" s="107"/>
      <c r="K345" s="107"/>
      <c r="L345" s="107"/>
      <c r="M345" s="107"/>
      <c r="N345" s="107"/>
      <c r="O345" s="107"/>
      <c r="P345" s="107"/>
      <c r="Q345" s="107"/>
      <c r="R345" s="107"/>
      <c r="S345" s="107"/>
      <c r="T345" s="107"/>
      <c r="U345" s="107"/>
      <c r="V345" s="107"/>
      <c r="W345" s="107"/>
      <c r="X345" s="107"/>
      <c r="Y345" s="107"/>
      <c r="Z345" s="107"/>
      <c r="AA345" s="167">
        <v>44048</v>
      </c>
      <c r="AB345" s="109">
        <f>_xlfn.DAYS(AA345,B345)</f>
        <v>19</v>
      </c>
      <c r="AC345" s="110"/>
      <c r="AD345" s="110"/>
      <c r="AE345" s="110"/>
      <c r="AF345" s="110"/>
      <c r="AG345" s="107">
        <f>COUNTIFS(F:F,"Culled",A:A,LEFT(A345,LEN(A345)-3)&amp;"*")/COUNTIF(A:A,LEFT(A345,LEN(A345)-3)&amp;"*")*100</f>
        <v>100</v>
      </c>
      <c r="AH345" s="107"/>
    </row>
    <row r="346" spans="1:34" ht="17.25" hidden="1" customHeight="1">
      <c r="A346" s="110" t="s">
        <v>619</v>
      </c>
      <c r="B346" s="229">
        <v>44029</v>
      </c>
      <c r="C346" s="110">
        <v>10000</v>
      </c>
      <c r="D346" s="236">
        <v>5</v>
      </c>
      <c r="E346" s="236"/>
      <c r="F346" s="107" t="s">
        <v>323</v>
      </c>
      <c r="G346" s="107"/>
      <c r="H346" s="107"/>
      <c r="I346" s="107"/>
      <c r="J346" s="107"/>
      <c r="K346" s="107"/>
      <c r="L346" s="107"/>
      <c r="M346" s="107"/>
      <c r="N346" s="107"/>
      <c r="O346" s="107"/>
      <c r="P346" s="107"/>
      <c r="Q346" s="107"/>
      <c r="R346" s="107"/>
      <c r="S346" s="107"/>
      <c r="T346" s="107"/>
      <c r="U346" s="107"/>
      <c r="V346" s="107"/>
      <c r="W346" s="107"/>
      <c r="X346" s="107"/>
      <c r="Y346" s="107"/>
      <c r="Z346" s="107"/>
      <c r="AA346" s="167">
        <v>44048</v>
      </c>
      <c r="AB346" s="109">
        <f>_xlfn.DAYS(AA346,B346)</f>
        <v>19</v>
      </c>
      <c r="AC346" s="110"/>
      <c r="AD346" s="110"/>
      <c r="AE346" s="110"/>
      <c r="AF346" s="110"/>
      <c r="AG346" s="107">
        <f>COUNTIFS(F:F,"Culled",A:A,LEFT(A346,LEN(A346)-3)&amp;"*")/COUNTIF(A:A,LEFT(A346,LEN(A346)-3)&amp;"*")*100</f>
        <v>100</v>
      </c>
      <c r="AH346" s="107"/>
    </row>
    <row r="347" spans="1:34" ht="17.25" hidden="1" customHeight="1">
      <c r="A347" s="110" t="s">
        <v>620</v>
      </c>
      <c r="B347" s="229">
        <v>44029</v>
      </c>
      <c r="C347" s="110">
        <v>10000</v>
      </c>
      <c r="D347" s="236">
        <v>5</v>
      </c>
      <c r="E347" s="236"/>
      <c r="F347" s="107" t="s">
        <v>323</v>
      </c>
      <c r="G347" s="107"/>
      <c r="H347" s="107"/>
      <c r="I347" s="107"/>
      <c r="J347" s="107"/>
      <c r="K347" s="107"/>
      <c r="L347" s="107"/>
      <c r="M347" s="107"/>
      <c r="N347" s="107"/>
      <c r="O347" s="107"/>
      <c r="P347" s="107"/>
      <c r="Q347" s="107"/>
      <c r="R347" s="107"/>
      <c r="S347" s="107"/>
      <c r="T347" s="107"/>
      <c r="U347" s="107"/>
      <c r="V347" s="107"/>
      <c r="W347" s="107"/>
      <c r="X347" s="107"/>
      <c r="Y347" s="107"/>
      <c r="Z347" s="107"/>
      <c r="AA347" s="167">
        <v>44048</v>
      </c>
      <c r="AB347" s="109">
        <f>_xlfn.DAYS(AA347,B347)</f>
        <v>19</v>
      </c>
      <c r="AC347" s="110"/>
      <c r="AD347" s="110"/>
      <c r="AE347" s="110"/>
      <c r="AF347" s="110"/>
      <c r="AG347" s="107">
        <f>COUNTIFS(F:F,"Culled",A:A,LEFT(A347,LEN(A347)-3)&amp;"*")/COUNTIF(A:A,LEFT(A347,LEN(A347)-3)&amp;"*")*100</f>
        <v>100</v>
      </c>
      <c r="AH347" s="107"/>
    </row>
    <row r="348" spans="1:34" ht="17.25" hidden="1" customHeight="1">
      <c r="A348" s="110" t="s">
        <v>621</v>
      </c>
      <c r="B348" s="229">
        <v>44029</v>
      </c>
      <c r="C348" s="110">
        <v>10000</v>
      </c>
      <c r="D348" s="236">
        <v>5.5</v>
      </c>
      <c r="E348" s="236"/>
      <c r="F348" s="107" t="s">
        <v>323</v>
      </c>
      <c r="G348" s="107"/>
      <c r="H348" s="107"/>
      <c r="I348" s="107"/>
      <c r="J348" s="107"/>
      <c r="K348" s="107"/>
      <c r="L348" s="107"/>
      <c r="M348" s="107"/>
      <c r="N348" s="107"/>
      <c r="O348" s="107"/>
      <c r="P348" s="107"/>
      <c r="Q348" s="107"/>
      <c r="R348" s="107"/>
      <c r="S348" s="107"/>
      <c r="T348" s="107"/>
      <c r="U348" s="107"/>
      <c r="V348" s="107"/>
      <c r="W348" s="107"/>
      <c r="X348" s="107"/>
      <c r="Y348" s="107"/>
      <c r="Z348" s="107"/>
      <c r="AA348" s="167">
        <v>44048</v>
      </c>
      <c r="AB348" s="109">
        <f>_xlfn.DAYS(AA348,B348)</f>
        <v>19</v>
      </c>
      <c r="AC348" s="110"/>
      <c r="AD348" s="110"/>
      <c r="AE348" s="110"/>
      <c r="AF348" s="110"/>
      <c r="AG348" s="107">
        <f>COUNTIFS(F:F,"Culled",A:A,LEFT(A348,LEN(A348)-3)&amp;"*")/COUNTIF(A:A,LEFT(A348,LEN(A348)-3)&amp;"*")*100</f>
        <v>100</v>
      </c>
      <c r="AH348" s="107"/>
    </row>
    <row r="349" spans="1:34" ht="17.25" hidden="1" customHeight="1">
      <c r="A349" s="110" t="s">
        <v>622</v>
      </c>
      <c r="B349" s="229">
        <v>44029</v>
      </c>
      <c r="C349" s="110">
        <v>10000</v>
      </c>
      <c r="D349" s="236">
        <v>5.5</v>
      </c>
      <c r="E349" s="236"/>
      <c r="F349" s="107" t="s">
        <v>323</v>
      </c>
      <c r="G349" s="107"/>
      <c r="H349" s="107"/>
      <c r="I349" s="107"/>
      <c r="J349" s="107"/>
      <c r="K349" s="107"/>
      <c r="L349" s="107"/>
      <c r="M349" s="107"/>
      <c r="N349" s="107"/>
      <c r="O349" s="107"/>
      <c r="P349" s="107"/>
      <c r="Q349" s="107"/>
      <c r="R349" s="107"/>
      <c r="S349" s="107"/>
      <c r="T349" s="107"/>
      <c r="U349" s="107"/>
      <c r="V349" s="107"/>
      <c r="W349" s="107"/>
      <c r="X349" s="107"/>
      <c r="Y349" s="107"/>
      <c r="Z349" s="107"/>
      <c r="AA349" s="167">
        <v>44048</v>
      </c>
      <c r="AB349" s="109">
        <f>_xlfn.DAYS(AA349,B349)</f>
        <v>19</v>
      </c>
      <c r="AC349" s="110"/>
      <c r="AD349" s="110"/>
      <c r="AE349" s="110"/>
      <c r="AF349" s="110"/>
      <c r="AG349" s="107">
        <f>COUNTIFS(F:F,"Culled",A:A,LEFT(A349,LEN(A349)-3)&amp;"*")/COUNTIF(A:A,LEFT(A349,LEN(A349)-3)&amp;"*")*100</f>
        <v>100</v>
      </c>
      <c r="AH349" s="107"/>
    </row>
    <row r="350" spans="1:34" ht="17.25" hidden="1" customHeight="1">
      <c r="A350" s="110" t="s">
        <v>623</v>
      </c>
      <c r="B350" s="229">
        <v>44029</v>
      </c>
      <c r="C350" s="110">
        <v>10000</v>
      </c>
      <c r="D350" s="236">
        <v>5.5</v>
      </c>
      <c r="E350" s="236"/>
      <c r="F350" s="107" t="s">
        <v>323</v>
      </c>
      <c r="G350" s="107"/>
      <c r="H350" s="107"/>
      <c r="I350" s="107"/>
      <c r="J350" s="107"/>
      <c r="K350" s="107"/>
      <c r="L350" s="107"/>
      <c r="M350" s="107"/>
      <c r="N350" s="107"/>
      <c r="O350" s="107"/>
      <c r="P350" s="107"/>
      <c r="Q350" s="107"/>
      <c r="R350" s="107"/>
      <c r="S350" s="107"/>
      <c r="T350" s="107"/>
      <c r="U350" s="107"/>
      <c r="V350" s="107"/>
      <c r="W350" s="107"/>
      <c r="X350" s="107"/>
      <c r="Y350" s="107"/>
      <c r="Z350" s="107"/>
      <c r="AA350" s="167">
        <v>44048</v>
      </c>
      <c r="AB350" s="109">
        <f>_xlfn.DAYS(AA350,B350)</f>
        <v>19</v>
      </c>
      <c r="AC350" s="110"/>
      <c r="AD350" s="110"/>
      <c r="AE350" s="110"/>
      <c r="AF350" s="110"/>
      <c r="AG350" s="107">
        <f>COUNTIFS(F:F,"Culled",A:A,LEFT(A350,LEN(A350)-3)&amp;"*")/COUNTIF(A:A,LEFT(A350,LEN(A350)-3)&amp;"*")*100</f>
        <v>100</v>
      </c>
      <c r="AH350" s="107"/>
    </row>
    <row r="351" spans="1:34" ht="17.25" hidden="1" customHeight="1">
      <c r="A351" s="110" t="s">
        <v>624</v>
      </c>
      <c r="B351" s="229">
        <v>44029</v>
      </c>
      <c r="C351" s="110">
        <v>10000</v>
      </c>
      <c r="D351" s="236">
        <v>5.5</v>
      </c>
      <c r="E351" s="236"/>
      <c r="F351" s="107" t="s">
        <v>323</v>
      </c>
      <c r="G351" s="107"/>
      <c r="H351" s="107"/>
      <c r="I351" s="107"/>
      <c r="J351" s="107"/>
      <c r="K351" s="107"/>
      <c r="L351" s="107"/>
      <c r="M351" s="107"/>
      <c r="N351" s="107"/>
      <c r="O351" s="107"/>
      <c r="P351" s="107"/>
      <c r="Q351" s="107"/>
      <c r="R351" s="107"/>
      <c r="S351" s="107"/>
      <c r="T351" s="107"/>
      <c r="U351" s="107"/>
      <c r="V351" s="107"/>
      <c r="W351" s="107"/>
      <c r="X351" s="107"/>
      <c r="Y351" s="107"/>
      <c r="Z351" s="107"/>
      <c r="AA351" s="167">
        <v>44048</v>
      </c>
      <c r="AB351" s="109">
        <f>_xlfn.DAYS(AA351,B351)</f>
        <v>19</v>
      </c>
      <c r="AC351" s="110"/>
      <c r="AD351" s="110"/>
      <c r="AE351" s="110"/>
      <c r="AF351" s="110"/>
      <c r="AG351" s="107">
        <f>COUNTIFS(F:F,"Culled",A:A,LEFT(A351,LEN(A351)-3)&amp;"*")/COUNTIF(A:A,LEFT(A351,LEN(A351)-3)&amp;"*")*100</f>
        <v>100</v>
      </c>
      <c r="AH351" s="107"/>
    </row>
    <row r="352" spans="1:34" ht="17.25" hidden="1" customHeight="1">
      <c r="A352" s="110" t="s">
        <v>625</v>
      </c>
      <c r="B352" s="229">
        <v>44029</v>
      </c>
      <c r="C352" s="110">
        <v>10000</v>
      </c>
      <c r="D352" s="236">
        <v>5.5</v>
      </c>
      <c r="E352" s="236"/>
      <c r="F352" s="107" t="s">
        <v>323</v>
      </c>
      <c r="G352" s="107"/>
      <c r="H352" s="107"/>
      <c r="I352" s="107"/>
      <c r="J352" s="107"/>
      <c r="K352" s="107"/>
      <c r="L352" s="107"/>
      <c r="M352" s="107"/>
      <c r="N352" s="107"/>
      <c r="O352" s="107"/>
      <c r="P352" s="107"/>
      <c r="Q352" s="107"/>
      <c r="R352" s="107"/>
      <c r="S352" s="107"/>
      <c r="T352" s="107"/>
      <c r="U352" s="107"/>
      <c r="V352" s="107"/>
      <c r="W352" s="107"/>
      <c r="X352" s="107"/>
      <c r="Y352" s="107"/>
      <c r="Z352" s="107"/>
      <c r="AA352" s="167">
        <v>44048</v>
      </c>
      <c r="AB352" s="109">
        <f>_xlfn.DAYS(AA352,B352)</f>
        <v>19</v>
      </c>
      <c r="AC352" s="110"/>
      <c r="AD352" s="110"/>
      <c r="AE352" s="110"/>
      <c r="AF352" s="110"/>
      <c r="AG352" s="107">
        <f>COUNTIFS(F:F,"Culled",A:A,LEFT(A352,LEN(A352)-3)&amp;"*")/COUNTIF(A:A,LEFT(A352,LEN(A352)-3)&amp;"*")*100</f>
        <v>100</v>
      </c>
      <c r="AH352" s="107"/>
    </row>
    <row r="353" spans="1:41" ht="17.25" hidden="1" customHeight="1">
      <c r="A353" s="110" t="s">
        <v>626</v>
      </c>
      <c r="B353" s="229">
        <v>44029</v>
      </c>
      <c r="C353" s="110">
        <v>10000</v>
      </c>
      <c r="D353" s="236">
        <v>5.5</v>
      </c>
      <c r="E353" s="236"/>
      <c r="F353" s="107" t="s">
        <v>323</v>
      </c>
      <c r="G353" s="107"/>
      <c r="H353" s="107"/>
      <c r="I353" s="107"/>
      <c r="J353" s="107"/>
      <c r="K353" s="107"/>
      <c r="L353" s="107"/>
      <c r="M353" s="107"/>
      <c r="N353" s="107"/>
      <c r="O353" s="107"/>
      <c r="P353" s="107"/>
      <c r="Q353" s="107"/>
      <c r="R353" s="107"/>
      <c r="S353" s="107"/>
      <c r="T353" s="107"/>
      <c r="U353" s="107"/>
      <c r="V353" s="107"/>
      <c r="W353" s="107"/>
      <c r="X353" s="107"/>
      <c r="Y353" s="107"/>
      <c r="Z353" s="107"/>
      <c r="AA353" s="167">
        <v>44048</v>
      </c>
      <c r="AB353" s="109">
        <f>_xlfn.DAYS(AA353,B353)</f>
        <v>19</v>
      </c>
      <c r="AC353" s="110"/>
      <c r="AD353" s="110"/>
      <c r="AE353" s="110"/>
      <c r="AF353" s="110"/>
      <c r="AG353" s="107">
        <f>COUNTIFS(F:F,"Culled",A:A,LEFT(A353,LEN(A353)-3)&amp;"*")/COUNTIF(A:A,LEFT(A353,LEN(A353)-3)&amp;"*")*100</f>
        <v>100</v>
      </c>
      <c r="AH353" s="107"/>
    </row>
    <row r="354" spans="1:41" ht="17.25" hidden="1" customHeight="1">
      <c r="A354" s="110" t="s">
        <v>627</v>
      </c>
      <c r="B354" s="229">
        <v>44029</v>
      </c>
      <c r="C354" s="110">
        <v>10000</v>
      </c>
      <c r="D354" s="236">
        <v>5.5</v>
      </c>
      <c r="E354" s="236"/>
      <c r="F354" s="107" t="s">
        <v>323</v>
      </c>
      <c r="G354" s="107"/>
      <c r="H354" s="107"/>
      <c r="I354" s="107"/>
      <c r="J354" s="107"/>
      <c r="K354" s="107"/>
      <c r="L354" s="107"/>
      <c r="M354" s="107"/>
      <c r="N354" s="107"/>
      <c r="O354" s="107"/>
      <c r="P354" s="107"/>
      <c r="Q354" s="107"/>
      <c r="R354" s="107"/>
      <c r="S354" s="107"/>
      <c r="T354" s="107"/>
      <c r="U354" s="107"/>
      <c r="V354" s="107"/>
      <c r="W354" s="107"/>
      <c r="X354" s="107"/>
      <c r="Y354" s="107"/>
      <c r="Z354" s="107"/>
      <c r="AA354" s="167">
        <v>44048</v>
      </c>
      <c r="AB354" s="109">
        <f>_xlfn.DAYS(AA354,B354)</f>
        <v>19</v>
      </c>
      <c r="AC354" s="110"/>
      <c r="AD354" s="110"/>
      <c r="AE354" s="110"/>
      <c r="AF354" s="110"/>
      <c r="AG354" s="107">
        <f>COUNTIFS(F:F,"Culled",A:A,LEFT(A354,LEN(A354)-3)&amp;"*")/COUNTIF(A:A,LEFT(A354,LEN(A354)-3)&amp;"*")*100</f>
        <v>100</v>
      </c>
      <c r="AH354" s="107"/>
    </row>
    <row r="355" spans="1:41" ht="15.75" hidden="1" customHeight="1">
      <c r="A355" s="110" t="s">
        <v>628</v>
      </c>
      <c r="B355" s="229">
        <v>43922</v>
      </c>
      <c r="C355" s="110">
        <v>10000</v>
      </c>
      <c r="D355" s="110">
        <v>6.5</v>
      </c>
      <c r="E355" s="110"/>
      <c r="F355" s="107" t="s">
        <v>263</v>
      </c>
      <c r="G355" s="107"/>
      <c r="H355" s="107"/>
      <c r="I355" s="107"/>
      <c r="J355" s="107"/>
      <c r="K355" s="107"/>
      <c r="L355" s="107"/>
      <c r="M355" s="107"/>
      <c r="N355" s="107"/>
      <c r="O355" s="107"/>
      <c r="P355" s="107"/>
      <c r="Q355" s="107"/>
      <c r="R355" s="107"/>
      <c r="S355" s="107"/>
      <c r="T355" s="107"/>
      <c r="U355" s="107"/>
      <c r="V355" s="107"/>
      <c r="W355" s="107"/>
      <c r="X355" s="107"/>
      <c r="Y355" s="107"/>
      <c r="Z355" s="107"/>
      <c r="AA355" s="167" t="s">
        <v>333</v>
      </c>
      <c r="AB355" s="109">
        <f>_xlfn.DAYS(AA355,B355)</f>
        <v>26</v>
      </c>
      <c r="AC355" s="110">
        <v>31.25</v>
      </c>
      <c r="AD355" s="110">
        <v>1281</v>
      </c>
      <c r="AE355" s="110">
        <v>437</v>
      </c>
      <c r="AF355" s="110">
        <v>222</v>
      </c>
      <c r="AG355" s="110">
        <v>0</v>
      </c>
      <c r="AH355" s="108">
        <f>(AD355-AF355)/(D355*$K$1*2)%</f>
        <v>14.811188811188812</v>
      </c>
      <c r="AI355" s="108">
        <f>(AE355+AF355)/(D355*$K$1*2)%</f>
        <v>9.2167832167832167</v>
      </c>
      <c r="AJ355" s="110"/>
      <c r="AK355" s="110"/>
      <c r="AL355" s="110"/>
      <c r="AM355" s="110"/>
      <c r="AN355" s="110"/>
      <c r="AO355" s="110"/>
    </row>
    <row r="356" spans="1:41" ht="15.75" hidden="1" customHeight="1">
      <c r="A356" s="110" t="s">
        <v>629</v>
      </c>
      <c r="B356" s="229">
        <v>43922</v>
      </c>
      <c r="C356" s="110">
        <v>10000</v>
      </c>
      <c r="D356" s="110">
        <v>6.5</v>
      </c>
      <c r="E356" s="110"/>
      <c r="F356" s="107" t="s">
        <v>263</v>
      </c>
      <c r="G356" s="107"/>
      <c r="H356" s="107"/>
      <c r="I356" s="107"/>
      <c r="J356" s="107"/>
      <c r="K356" s="107"/>
      <c r="L356" s="107"/>
      <c r="M356" s="107"/>
      <c r="N356" s="107"/>
      <c r="O356" s="107"/>
      <c r="P356" s="107"/>
      <c r="Q356" s="107"/>
      <c r="R356" s="107"/>
      <c r="S356" s="107"/>
      <c r="T356" s="107"/>
      <c r="U356" s="107"/>
      <c r="V356" s="107"/>
      <c r="W356" s="107"/>
      <c r="X356" s="107"/>
      <c r="Y356" s="107"/>
      <c r="Z356" s="107"/>
      <c r="AA356" s="167" t="s">
        <v>333</v>
      </c>
      <c r="AB356" s="109">
        <f>_xlfn.DAYS(AA356,B356)</f>
        <v>26</v>
      </c>
      <c r="AC356" s="110">
        <v>43.75</v>
      </c>
      <c r="AD356" s="110">
        <v>1081</v>
      </c>
      <c r="AE356" s="110">
        <v>401.5</v>
      </c>
      <c r="AF356" s="110">
        <v>209</v>
      </c>
      <c r="AG356" s="110">
        <v>0</v>
      </c>
      <c r="AH356" s="108">
        <f>(AD356-AF356)/(D356*$K$1*2)%</f>
        <v>12.195804195804195</v>
      </c>
      <c r="AI356" s="108">
        <f>(AE356+AF356)/(D356*$K$1*2)%</f>
        <v>8.5384615384615383</v>
      </c>
      <c r="AJ356" s="110"/>
      <c r="AK356" s="110"/>
      <c r="AL356" s="110"/>
      <c r="AM356" s="110"/>
      <c r="AN356" s="110"/>
      <c r="AO356" s="110"/>
    </row>
    <row r="357" spans="1:41" ht="15.75" hidden="1" customHeight="1">
      <c r="A357" s="110" t="s">
        <v>630</v>
      </c>
      <c r="B357" s="229">
        <v>43922</v>
      </c>
      <c r="C357" s="110">
        <v>10000</v>
      </c>
      <c r="D357" s="110">
        <v>6.5</v>
      </c>
      <c r="E357" s="110"/>
      <c r="F357" s="107" t="s">
        <v>263</v>
      </c>
      <c r="G357" s="107"/>
      <c r="H357" s="107"/>
      <c r="I357" s="107"/>
      <c r="J357" s="107"/>
      <c r="K357" s="107"/>
      <c r="L357" s="107"/>
      <c r="M357" s="107"/>
      <c r="N357" s="107"/>
      <c r="O357" s="107"/>
      <c r="P357" s="107"/>
      <c r="Q357" s="107"/>
      <c r="R357" s="107"/>
      <c r="S357" s="107"/>
      <c r="T357" s="107"/>
      <c r="U357" s="107"/>
      <c r="V357" s="107"/>
      <c r="W357" s="107"/>
      <c r="X357" s="107"/>
      <c r="Y357" s="107"/>
      <c r="Z357" s="107"/>
      <c r="AA357" s="167" t="s">
        <v>333</v>
      </c>
      <c r="AB357" s="109">
        <f>_xlfn.DAYS(AA357,B357)</f>
        <v>26</v>
      </c>
      <c r="AC357" s="110">
        <v>45.45</v>
      </c>
      <c r="AD357" s="110">
        <v>965.5</v>
      </c>
      <c r="AE357" s="110">
        <v>472.5</v>
      </c>
      <c r="AF357" s="110">
        <v>140</v>
      </c>
      <c r="AG357" s="110">
        <v>0</v>
      </c>
      <c r="AH357" s="108">
        <f>(AD357-AF357)/(D357*$K$1*2)%</f>
        <v>11.545454545454545</v>
      </c>
      <c r="AI357" s="108">
        <f>(AE357+AF357)/(D357*$K$1*2)%</f>
        <v>8.5664335664335667</v>
      </c>
      <c r="AJ357" s="110"/>
      <c r="AK357" s="110"/>
      <c r="AL357" s="110"/>
      <c r="AM357" s="110"/>
      <c r="AN357" s="110"/>
      <c r="AO357" s="110"/>
    </row>
    <row r="358" spans="1:41" ht="15.75" hidden="1" customHeight="1">
      <c r="A358" s="110" t="s">
        <v>631</v>
      </c>
      <c r="B358" s="229">
        <v>43922</v>
      </c>
      <c r="C358" s="110">
        <v>10000</v>
      </c>
      <c r="D358" s="110">
        <v>6.5</v>
      </c>
      <c r="E358" s="110"/>
      <c r="F358" s="107" t="s">
        <v>263</v>
      </c>
      <c r="G358" s="107"/>
      <c r="H358" s="107"/>
      <c r="I358" s="107"/>
      <c r="J358" s="107"/>
      <c r="K358" s="107"/>
      <c r="L358" s="107"/>
      <c r="M358" s="107"/>
      <c r="N358" s="107"/>
      <c r="O358" s="107"/>
      <c r="P358" s="107"/>
      <c r="Q358" s="107"/>
      <c r="R358" s="107"/>
      <c r="S358" s="107"/>
      <c r="T358" s="107"/>
      <c r="U358" s="107"/>
      <c r="V358" s="107"/>
      <c r="W358" s="107"/>
      <c r="X358" s="107"/>
      <c r="Y358" s="107"/>
      <c r="Z358" s="107"/>
      <c r="AA358" s="167" t="s">
        <v>333</v>
      </c>
      <c r="AB358" s="109">
        <f>_xlfn.DAYS(AA358,B358)</f>
        <v>26</v>
      </c>
      <c r="AC358" s="110">
        <v>32</v>
      </c>
      <c r="AD358" s="110">
        <v>1164</v>
      </c>
      <c r="AE358" s="110">
        <v>349</v>
      </c>
      <c r="AF358" s="110">
        <v>172</v>
      </c>
      <c r="AG358" s="110">
        <v>0</v>
      </c>
      <c r="AH358" s="108">
        <f>(AD358-AF358)/(D358*$K$1*2)%</f>
        <v>13.874125874125873</v>
      </c>
      <c r="AI358" s="108">
        <f>(AE358+AF358)/(D358*$K$1*2)%</f>
        <v>7.2867132867132867</v>
      </c>
      <c r="AJ358" s="110"/>
    </row>
    <row r="359" spans="1:41" ht="15.75" hidden="1" customHeight="1">
      <c r="A359" s="110" t="s">
        <v>632</v>
      </c>
      <c r="B359" s="229">
        <v>43922</v>
      </c>
      <c r="C359" s="110">
        <v>10000</v>
      </c>
      <c r="D359" s="110">
        <v>6.5</v>
      </c>
      <c r="E359" s="110"/>
      <c r="F359" s="107" t="s">
        <v>263</v>
      </c>
      <c r="G359" s="107"/>
      <c r="H359" s="107"/>
      <c r="I359" s="107"/>
      <c r="J359" s="107"/>
      <c r="K359" s="107"/>
      <c r="L359" s="107"/>
      <c r="M359" s="107"/>
      <c r="N359" s="107"/>
      <c r="O359" s="107"/>
      <c r="P359" s="107"/>
      <c r="Q359" s="107"/>
      <c r="R359" s="107"/>
      <c r="S359" s="107"/>
      <c r="T359" s="107"/>
      <c r="U359" s="107"/>
      <c r="V359" s="107"/>
      <c r="W359" s="107"/>
      <c r="X359" s="107"/>
      <c r="Y359" s="107"/>
      <c r="Z359" s="107"/>
      <c r="AA359" s="167" t="s">
        <v>333</v>
      </c>
      <c r="AB359" s="109">
        <f>_xlfn.DAYS(AA359,B359)</f>
        <v>26</v>
      </c>
      <c r="AC359" s="110">
        <v>30</v>
      </c>
      <c r="AD359" s="110">
        <v>1040</v>
      </c>
      <c r="AE359" s="110">
        <v>401.5</v>
      </c>
      <c r="AF359" s="110">
        <v>140.5</v>
      </c>
      <c r="AG359" s="110">
        <v>0</v>
      </c>
      <c r="AH359" s="108">
        <f>(AD359-AF359)/(D359*$K$1*2)%</f>
        <v>12.58041958041958</v>
      </c>
      <c r="AI359" s="108">
        <f>(AE359+AF359)/(D359*$K$1*2)%</f>
        <v>7.5804195804195809</v>
      </c>
      <c r="AJ359" s="110"/>
    </row>
    <row r="360" spans="1:41" ht="15.75" hidden="1" customHeight="1">
      <c r="A360" s="10" t="s">
        <v>633</v>
      </c>
      <c r="B360" s="229">
        <v>43983</v>
      </c>
      <c r="C360" s="10">
        <v>10000</v>
      </c>
      <c r="D360" s="10">
        <v>6.5</v>
      </c>
      <c r="E360" s="10"/>
      <c r="F360" s="107" t="s">
        <v>263</v>
      </c>
      <c r="G360" s="107"/>
      <c r="H360" s="107"/>
      <c r="I360" s="107"/>
      <c r="J360" s="107"/>
      <c r="K360" s="107"/>
      <c r="L360" s="107"/>
      <c r="M360" s="107"/>
      <c r="N360" s="107"/>
      <c r="O360" s="107"/>
      <c r="P360" s="107"/>
      <c r="Q360" s="107"/>
      <c r="R360" s="107"/>
      <c r="S360" s="107"/>
      <c r="T360" s="107"/>
      <c r="U360" s="107"/>
      <c r="V360" s="107"/>
      <c r="W360" s="107"/>
      <c r="X360" s="107"/>
      <c r="Y360" s="107"/>
      <c r="Z360" s="107"/>
      <c r="AA360" s="167">
        <v>44011</v>
      </c>
      <c r="AB360" s="109">
        <f>_xlfn.DAYS(AA360,B360)</f>
        <v>28</v>
      </c>
      <c r="AC360" s="10">
        <v>41</v>
      </c>
      <c r="AD360" s="10">
        <v>1202.5</v>
      </c>
      <c r="AE360" s="10">
        <v>298</v>
      </c>
      <c r="AF360" s="10">
        <v>55.5</v>
      </c>
      <c r="AG360" s="10">
        <v>0</v>
      </c>
      <c r="AH360" s="108">
        <f>(AD360-AF360)/(D360*$K$1*2)%</f>
        <v>16.041958041958043</v>
      </c>
      <c r="AI360" s="108">
        <f>(AE360+AF360)/(D360*$K$1*2)%</f>
        <v>4.9440559440559442</v>
      </c>
    </row>
    <row r="361" spans="1:41" ht="15.75" hidden="1" customHeight="1">
      <c r="A361" s="10" t="s">
        <v>634</v>
      </c>
      <c r="B361" s="229">
        <v>43983</v>
      </c>
      <c r="C361" s="10">
        <v>10000</v>
      </c>
      <c r="D361" s="10">
        <v>5.5</v>
      </c>
      <c r="E361" s="10"/>
      <c r="F361" s="107" t="s">
        <v>263</v>
      </c>
      <c r="G361" s="107"/>
      <c r="H361" s="107"/>
      <c r="I361" s="107"/>
      <c r="J361" s="107"/>
      <c r="K361" s="107"/>
      <c r="L361" s="107"/>
      <c r="M361" s="107"/>
      <c r="N361" s="107"/>
      <c r="O361" s="107"/>
      <c r="P361" s="107"/>
      <c r="Q361" s="107"/>
      <c r="R361" s="107"/>
      <c r="S361" s="107"/>
      <c r="T361" s="107"/>
      <c r="U361" s="107"/>
      <c r="V361" s="107"/>
      <c r="W361" s="107"/>
      <c r="X361" s="107"/>
      <c r="Y361" s="107"/>
      <c r="Z361" s="107"/>
      <c r="AA361" s="167">
        <v>44011</v>
      </c>
      <c r="AB361" s="109">
        <f>_xlfn.DAYS(AA361,B361)</f>
        <v>28</v>
      </c>
      <c r="AC361" s="10">
        <v>37.799999999999997</v>
      </c>
      <c r="AD361" s="10">
        <v>1160</v>
      </c>
      <c r="AE361" s="10">
        <v>372.5</v>
      </c>
      <c r="AF361" s="10">
        <v>27.5</v>
      </c>
      <c r="AG361" s="10">
        <v>0</v>
      </c>
      <c r="AH361" s="108">
        <f>(AD361-AF361)/(D361*$K$1*2)%</f>
        <v>18.719008264462811</v>
      </c>
      <c r="AI361" s="108">
        <f>(AE361+AF361)/(D361*$K$1*2)%</f>
        <v>6.6115702479338845</v>
      </c>
    </row>
    <row r="362" spans="1:41" ht="15.75" hidden="1" customHeight="1">
      <c r="A362" s="10" t="s">
        <v>635</v>
      </c>
      <c r="B362" s="229">
        <v>43983</v>
      </c>
      <c r="C362" s="10">
        <v>10000</v>
      </c>
      <c r="D362" s="10">
        <v>5.5</v>
      </c>
      <c r="E362" s="10"/>
      <c r="F362" s="107" t="s">
        <v>263</v>
      </c>
      <c r="G362" s="107"/>
      <c r="H362" s="107"/>
      <c r="I362" s="107"/>
      <c r="J362" s="107"/>
      <c r="K362" s="107"/>
      <c r="L362" s="107"/>
      <c r="M362" s="107"/>
      <c r="N362" s="107"/>
      <c r="O362" s="107"/>
      <c r="P362" s="107"/>
      <c r="Q362" s="107"/>
      <c r="R362" s="107"/>
      <c r="S362" s="107"/>
      <c r="T362" s="107"/>
      <c r="U362" s="107"/>
      <c r="V362" s="107"/>
      <c r="W362" s="107"/>
      <c r="X362" s="107"/>
      <c r="Y362" s="107"/>
      <c r="Z362" s="107"/>
      <c r="AA362" s="167">
        <v>44011</v>
      </c>
      <c r="AB362" s="109">
        <f>_xlfn.DAYS(AA362,B362)</f>
        <v>28</v>
      </c>
      <c r="AC362" s="110">
        <v>39.6</v>
      </c>
      <c r="AD362" s="110">
        <v>1154</v>
      </c>
      <c r="AE362" s="110">
        <v>219</v>
      </c>
      <c r="AF362" s="110">
        <v>50.5</v>
      </c>
      <c r="AG362" s="110">
        <v>0</v>
      </c>
      <c r="AH362" s="108">
        <f>(AD362-AF362)/(D362*$K$1*2)%</f>
        <v>18.239669421487605</v>
      </c>
      <c r="AI362" s="108">
        <f>(AE362+AF362)/(D362*$K$1*2)%</f>
        <v>4.4545454545454541</v>
      </c>
      <c r="AJ362" s="110"/>
    </row>
    <row r="363" spans="1:41" ht="15.75" hidden="1" customHeight="1">
      <c r="A363" s="10" t="s">
        <v>636</v>
      </c>
      <c r="B363" s="229">
        <v>43983</v>
      </c>
      <c r="C363" s="10">
        <v>10000</v>
      </c>
      <c r="D363" s="10">
        <v>5.5</v>
      </c>
      <c r="E363" s="10"/>
      <c r="F363" s="107" t="s">
        <v>263</v>
      </c>
      <c r="G363" s="107"/>
      <c r="H363" s="107"/>
      <c r="I363" s="107"/>
      <c r="J363" s="107"/>
      <c r="K363" s="107"/>
      <c r="L363" s="107"/>
      <c r="M363" s="107"/>
      <c r="N363" s="107"/>
      <c r="O363" s="107"/>
      <c r="P363" s="107"/>
      <c r="Q363" s="107"/>
      <c r="R363" s="107"/>
      <c r="S363" s="107"/>
      <c r="T363" s="107"/>
      <c r="U363" s="107"/>
      <c r="V363" s="107"/>
      <c r="W363" s="107"/>
      <c r="X363" s="107"/>
      <c r="Y363" s="107"/>
      <c r="Z363" s="107"/>
      <c r="AA363" s="167">
        <v>44011</v>
      </c>
      <c r="AB363" s="109">
        <f>_xlfn.DAYS(AA363,B363)</f>
        <v>28</v>
      </c>
      <c r="AC363" s="110">
        <v>75.3</v>
      </c>
      <c r="AD363" s="110">
        <v>1102</v>
      </c>
      <c r="AE363" s="110">
        <v>286.5</v>
      </c>
      <c r="AF363" s="110">
        <v>51</v>
      </c>
      <c r="AG363" s="110">
        <v>0</v>
      </c>
      <c r="AH363" s="108">
        <f>(AD363-AF363)/(D363*$K$1*2)%</f>
        <v>17.371900826446282</v>
      </c>
      <c r="AI363" s="108">
        <f>(AE363+AF363)/(D363*$K$1*2)%</f>
        <v>5.5785123966942152</v>
      </c>
      <c r="AJ363" s="110"/>
    </row>
    <row r="364" spans="1:41" ht="15.75" hidden="1" customHeight="1">
      <c r="A364" s="10" t="s">
        <v>637</v>
      </c>
      <c r="B364" s="229">
        <v>43983</v>
      </c>
      <c r="C364" s="10">
        <v>10000</v>
      </c>
      <c r="D364" s="10">
        <v>5.5</v>
      </c>
      <c r="E364" s="10"/>
      <c r="F364" s="107" t="s">
        <v>263</v>
      </c>
      <c r="G364" s="107"/>
      <c r="H364" s="107"/>
      <c r="I364" s="107"/>
      <c r="J364" s="107"/>
      <c r="K364" s="107"/>
      <c r="L364" s="107"/>
      <c r="M364" s="107"/>
      <c r="N364" s="107"/>
      <c r="O364" s="107"/>
      <c r="P364" s="107"/>
      <c r="Q364" s="107"/>
      <c r="R364" s="107"/>
      <c r="S364" s="107"/>
      <c r="T364" s="107"/>
      <c r="U364" s="107"/>
      <c r="V364" s="107"/>
      <c r="W364" s="107"/>
      <c r="X364" s="107"/>
      <c r="Y364" s="107"/>
      <c r="Z364" s="107"/>
      <c r="AA364" s="167">
        <v>44011</v>
      </c>
      <c r="AB364" s="109">
        <f>_xlfn.DAYS(AA364,B364)</f>
        <v>28</v>
      </c>
      <c r="AC364" s="110">
        <v>35.4</v>
      </c>
      <c r="AD364" s="110">
        <v>1198</v>
      </c>
      <c r="AE364" s="110">
        <v>307.5</v>
      </c>
      <c r="AF364" s="110">
        <v>46.5</v>
      </c>
      <c r="AG364" s="110">
        <v>0</v>
      </c>
      <c r="AH364" s="108">
        <f>(AD364-AF364)/(D364*$K$1*2)%</f>
        <v>19.033057851239668</v>
      </c>
      <c r="AI364" s="108">
        <f>(AE364+AF364)/(D364*$K$1*2)%</f>
        <v>5.8512396694214877</v>
      </c>
      <c r="AJ364" s="110"/>
    </row>
    <row r="365" spans="1:41" ht="15.75" hidden="1" customHeight="1">
      <c r="A365" s="10" t="s">
        <v>638</v>
      </c>
      <c r="B365" s="229">
        <v>43983</v>
      </c>
      <c r="C365" s="10">
        <v>10000</v>
      </c>
      <c r="D365" s="10">
        <v>5.5</v>
      </c>
      <c r="E365" s="10"/>
      <c r="F365" s="107" t="s">
        <v>263</v>
      </c>
      <c r="G365" s="107"/>
      <c r="H365" s="107"/>
      <c r="I365" s="107"/>
      <c r="J365" s="107"/>
      <c r="K365" s="107"/>
      <c r="L365" s="107"/>
      <c r="M365" s="107"/>
      <c r="N365" s="107"/>
      <c r="O365" s="107"/>
      <c r="P365" s="107"/>
      <c r="Q365" s="107"/>
      <c r="R365" s="107"/>
      <c r="S365" s="107"/>
      <c r="T365" s="107"/>
      <c r="U365" s="107"/>
      <c r="V365" s="107"/>
      <c r="W365" s="107"/>
      <c r="X365" s="107"/>
      <c r="Y365" s="107"/>
      <c r="Z365" s="107"/>
      <c r="AA365" s="167">
        <v>44011</v>
      </c>
      <c r="AB365" s="109">
        <f>_xlfn.DAYS(AA365,B365)</f>
        <v>28</v>
      </c>
      <c r="AC365" s="110">
        <v>65</v>
      </c>
      <c r="AD365" s="110">
        <v>1112.5</v>
      </c>
      <c r="AE365" s="110">
        <v>320.5</v>
      </c>
      <c r="AF365" s="110">
        <v>48</v>
      </c>
      <c r="AG365" s="110">
        <v>0</v>
      </c>
      <c r="AH365" s="108">
        <f>(AD365-AF365)/(D365*$K$1*2)%</f>
        <v>17.595041322314049</v>
      </c>
      <c r="AI365" s="108">
        <f>(AE365+AF365)/(D365*$K$1*2)%</f>
        <v>6.0909090909090908</v>
      </c>
      <c r="AJ365" s="110"/>
    </row>
    <row r="366" spans="1:41" ht="15.75" hidden="1" customHeight="1">
      <c r="A366" s="110" t="s">
        <v>639</v>
      </c>
      <c r="B366" s="229">
        <v>44029</v>
      </c>
      <c r="C366" s="110">
        <v>10000</v>
      </c>
      <c r="D366" s="236">
        <v>5.5</v>
      </c>
      <c r="E366" s="236"/>
      <c r="F366" s="107" t="s">
        <v>323</v>
      </c>
      <c r="G366" s="107"/>
      <c r="H366" s="107"/>
      <c r="I366" s="107"/>
      <c r="J366" s="107"/>
      <c r="K366" s="107"/>
      <c r="L366" s="107"/>
      <c r="M366" s="107"/>
      <c r="N366" s="107"/>
      <c r="O366" s="107"/>
      <c r="P366" s="107"/>
      <c r="Q366" s="107"/>
      <c r="R366" s="107"/>
      <c r="S366" s="107"/>
      <c r="T366" s="107"/>
      <c r="U366" s="107"/>
      <c r="V366" s="107"/>
      <c r="W366" s="107"/>
      <c r="X366" s="107"/>
      <c r="Y366" s="107"/>
      <c r="Z366" s="107"/>
      <c r="AA366" s="167">
        <v>44048</v>
      </c>
      <c r="AB366" s="109">
        <f>_xlfn.DAYS(AA366,B366)</f>
        <v>19</v>
      </c>
      <c r="AC366" s="110"/>
      <c r="AD366" s="110"/>
      <c r="AE366" s="110"/>
      <c r="AF366" s="110"/>
      <c r="AG366" s="107">
        <f>COUNTIFS(F:F,"Culled",A:A,LEFT(A366,LEN(A366)-3)&amp;"*")/COUNTIF(A:A,LEFT(A366,LEN(A366)-3)&amp;"*")*100</f>
        <v>100</v>
      </c>
      <c r="AH366" s="107"/>
    </row>
    <row r="367" spans="1:41" ht="15.75" hidden="1" customHeight="1">
      <c r="A367" s="110" t="s">
        <v>640</v>
      </c>
      <c r="B367" s="229">
        <v>44029</v>
      </c>
      <c r="C367" s="110">
        <v>10000</v>
      </c>
      <c r="D367" s="236">
        <v>5.5</v>
      </c>
      <c r="E367" s="236"/>
      <c r="F367" s="107" t="s">
        <v>323</v>
      </c>
      <c r="G367" s="107"/>
      <c r="H367" s="107"/>
      <c r="I367" s="107"/>
      <c r="J367" s="107"/>
      <c r="K367" s="107"/>
      <c r="L367" s="107"/>
      <c r="M367" s="107"/>
      <c r="N367" s="107"/>
      <c r="O367" s="107"/>
      <c r="P367" s="107"/>
      <c r="Q367" s="107"/>
      <c r="R367" s="107"/>
      <c r="S367" s="107"/>
      <c r="T367" s="107"/>
      <c r="U367" s="107"/>
      <c r="V367" s="107"/>
      <c r="W367" s="107"/>
      <c r="X367" s="107"/>
      <c r="Y367" s="107"/>
      <c r="Z367" s="107"/>
      <c r="AA367" s="167">
        <v>44048</v>
      </c>
      <c r="AB367" s="109">
        <f>_xlfn.DAYS(AA367,B367)</f>
        <v>19</v>
      </c>
      <c r="AC367" s="110"/>
      <c r="AD367" s="110"/>
      <c r="AE367" s="110"/>
      <c r="AF367" s="110"/>
      <c r="AG367" s="107">
        <f>COUNTIFS(F:F,"Culled",A:A,LEFT(A367,LEN(A367)-3)&amp;"*")/COUNTIF(A:A,LEFT(A367,LEN(A367)-3)&amp;"*")*100</f>
        <v>100</v>
      </c>
      <c r="AH367" s="107"/>
    </row>
    <row r="368" spans="1:41" ht="15.75" hidden="1" customHeight="1">
      <c r="A368" s="110" t="s">
        <v>641</v>
      </c>
      <c r="B368" s="229">
        <v>44029</v>
      </c>
      <c r="C368" s="110">
        <v>10000</v>
      </c>
      <c r="D368" s="236">
        <v>5.5</v>
      </c>
      <c r="E368" s="236"/>
      <c r="F368" s="107" t="s">
        <v>323</v>
      </c>
      <c r="G368" s="107"/>
      <c r="H368" s="107"/>
      <c r="I368" s="107"/>
      <c r="J368" s="107"/>
      <c r="K368" s="107"/>
      <c r="L368" s="107"/>
      <c r="M368" s="107"/>
      <c r="N368" s="107"/>
      <c r="O368" s="107"/>
      <c r="P368" s="107"/>
      <c r="Q368" s="107"/>
      <c r="R368" s="107"/>
      <c r="S368" s="107"/>
      <c r="T368" s="107"/>
      <c r="U368" s="107"/>
      <c r="V368" s="107"/>
      <c r="W368" s="107"/>
      <c r="X368" s="107"/>
      <c r="Y368" s="107"/>
      <c r="Z368" s="107"/>
      <c r="AA368" s="167">
        <v>44048</v>
      </c>
      <c r="AB368" s="109">
        <f>_xlfn.DAYS(AA368,B368)</f>
        <v>19</v>
      </c>
      <c r="AC368" s="110"/>
      <c r="AD368" s="110"/>
      <c r="AE368" s="110"/>
      <c r="AF368" s="110"/>
      <c r="AG368" s="107">
        <f>COUNTIFS(F:F,"Culled",A:A,LEFT(A368,LEN(A368)-3)&amp;"*")/COUNTIF(A:A,LEFT(A368,LEN(A368)-3)&amp;"*")*100</f>
        <v>100</v>
      </c>
      <c r="AH368" s="107"/>
    </row>
    <row r="369" spans="1:35" ht="15.75" hidden="1" customHeight="1">
      <c r="A369" s="110" t="s">
        <v>642</v>
      </c>
      <c r="B369" s="229">
        <v>44029</v>
      </c>
      <c r="C369" s="110">
        <v>10000</v>
      </c>
      <c r="D369" s="236">
        <v>5.5</v>
      </c>
      <c r="E369" s="236"/>
      <c r="F369" s="107" t="s">
        <v>323</v>
      </c>
      <c r="G369" s="107"/>
      <c r="H369" s="107"/>
      <c r="I369" s="107"/>
      <c r="J369" s="107"/>
      <c r="K369" s="107"/>
      <c r="L369" s="107"/>
      <c r="M369" s="107"/>
      <c r="N369" s="107"/>
      <c r="O369" s="107"/>
      <c r="P369" s="107"/>
      <c r="Q369" s="107"/>
      <c r="R369" s="107"/>
      <c r="S369" s="107"/>
      <c r="T369" s="107"/>
      <c r="U369" s="107"/>
      <c r="V369" s="107"/>
      <c r="W369" s="107"/>
      <c r="X369" s="107"/>
      <c r="Y369" s="107"/>
      <c r="Z369" s="107"/>
      <c r="AA369" s="167">
        <v>44048</v>
      </c>
      <c r="AB369" s="109">
        <f>_xlfn.DAYS(AA369,B369)</f>
        <v>19</v>
      </c>
      <c r="AC369" s="110"/>
      <c r="AD369" s="110"/>
      <c r="AE369" s="110"/>
      <c r="AF369" s="110"/>
      <c r="AG369" s="107">
        <f>COUNTIFS(F:F,"Culled",A:A,LEFT(A369,LEN(A369)-3)&amp;"*")/COUNTIF(A:A,LEFT(A369,LEN(A369)-3)&amp;"*")*100</f>
        <v>100</v>
      </c>
      <c r="AH369" s="107"/>
    </row>
    <row r="370" spans="1:35" ht="15.75" hidden="1" customHeight="1">
      <c r="A370" s="110" t="s">
        <v>643</v>
      </c>
      <c r="B370" s="229">
        <v>44029</v>
      </c>
      <c r="C370" s="110">
        <v>10000</v>
      </c>
      <c r="D370" s="236">
        <v>5.5</v>
      </c>
      <c r="E370" s="236"/>
      <c r="F370" s="107" t="s">
        <v>323</v>
      </c>
      <c r="G370" s="107"/>
      <c r="H370" s="107"/>
      <c r="I370" s="107"/>
      <c r="J370" s="107"/>
      <c r="K370" s="107"/>
      <c r="L370" s="107"/>
      <c r="M370" s="107"/>
      <c r="N370" s="107"/>
      <c r="O370" s="107"/>
      <c r="P370" s="107"/>
      <c r="Q370" s="107"/>
      <c r="R370" s="107"/>
      <c r="S370" s="107"/>
      <c r="T370" s="107"/>
      <c r="U370" s="107"/>
      <c r="V370" s="107"/>
      <c r="W370" s="107"/>
      <c r="X370" s="107"/>
      <c r="Y370" s="107"/>
      <c r="Z370" s="107"/>
      <c r="AA370" s="167">
        <v>44048</v>
      </c>
      <c r="AB370" s="109">
        <f>_xlfn.DAYS(AA370,B370)</f>
        <v>19</v>
      </c>
      <c r="AC370" s="110"/>
      <c r="AD370" s="110"/>
      <c r="AE370" s="110"/>
      <c r="AF370" s="110"/>
      <c r="AG370" s="107">
        <f>COUNTIFS(F:F,"Culled",A:A,LEFT(A370,LEN(A370)-3)&amp;"*")/COUNTIF(A:A,LEFT(A370,LEN(A370)-3)&amp;"*")*100</f>
        <v>100</v>
      </c>
      <c r="AH370" s="107"/>
    </row>
    <row r="371" spans="1:35" ht="15.75" hidden="1" customHeight="1">
      <c r="A371" s="110" t="s">
        <v>644</v>
      </c>
      <c r="B371" s="229">
        <v>44029</v>
      </c>
      <c r="C371" s="110">
        <v>10000</v>
      </c>
      <c r="D371" s="236">
        <v>5.5</v>
      </c>
      <c r="E371" s="236"/>
      <c r="F371" s="107" t="s">
        <v>323</v>
      </c>
      <c r="G371" s="107"/>
      <c r="H371" s="107"/>
      <c r="I371" s="107"/>
      <c r="J371" s="107"/>
      <c r="K371" s="107"/>
      <c r="L371" s="107"/>
      <c r="M371" s="107"/>
      <c r="N371" s="107"/>
      <c r="O371" s="107"/>
      <c r="P371" s="107"/>
      <c r="Q371" s="107"/>
      <c r="R371" s="107"/>
      <c r="S371" s="107"/>
      <c r="T371" s="107"/>
      <c r="U371" s="107"/>
      <c r="V371" s="107"/>
      <c r="W371" s="107"/>
      <c r="X371" s="107"/>
      <c r="Y371" s="107"/>
      <c r="Z371" s="107"/>
      <c r="AA371" s="167">
        <v>44048</v>
      </c>
      <c r="AB371" s="109">
        <f>_xlfn.DAYS(AA371,B371)</f>
        <v>19</v>
      </c>
      <c r="AC371" s="110"/>
      <c r="AD371" s="110"/>
      <c r="AE371" s="110"/>
      <c r="AF371" s="110"/>
      <c r="AG371" s="107">
        <f>COUNTIFS(F:F,"Culled",A:A,LEFT(A371,LEN(A371)-3)&amp;"*")/COUNTIF(A:A,LEFT(A371,LEN(A371)-3)&amp;"*")*100</f>
        <v>100</v>
      </c>
      <c r="AH371" s="107"/>
    </row>
    <row r="372" spans="1:35" ht="15.75" hidden="1" customHeight="1">
      <c r="A372" s="107" t="s">
        <v>645</v>
      </c>
      <c r="B372" s="226">
        <v>44077</v>
      </c>
      <c r="C372" s="231">
        <v>11399.632764006526</v>
      </c>
      <c r="D372" s="107">
        <f>COUNTA(G372:Z372)*0.5</f>
        <v>3</v>
      </c>
      <c r="F372" s="107" t="s">
        <v>263</v>
      </c>
      <c r="G372" s="178">
        <v>44077</v>
      </c>
      <c r="H372" s="178">
        <v>44077</v>
      </c>
      <c r="I372" s="178">
        <v>44077</v>
      </c>
      <c r="J372" s="178">
        <v>44077</v>
      </c>
      <c r="K372" s="178">
        <v>44077</v>
      </c>
      <c r="L372" s="178">
        <v>44077</v>
      </c>
      <c r="AA372" s="166">
        <v>44096</v>
      </c>
      <c r="AB372" s="109">
        <f>_xlfn.DAYS(AA372,B372)</f>
        <v>19</v>
      </c>
      <c r="AC372" s="107">
        <f>AVERAGE(16/32,23/39)</f>
        <v>0.54487179487179493</v>
      </c>
      <c r="AD372" s="107">
        <v>905.5</v>
      </c>
      <c r="AE372" s="107">
        <v>258</v>
      </c>
      <c r="AG372" s="107">
        <f>COUNTIFS(F:F,"Culled",A:A,LEFT(A372,LEN(A372)-3)&amp;"*")/COUNTIF(A:A,LEFT(A372,LEN(A372)-3)&amp;"*")*100</f>
        <v>0</v>
      </c>
      <c r="AH372" s="108">
        <f>(AD372-AF372)/(D372*$K$1*2)%</f>
        <v>27.439393939393938</v>
      </c>
      <c r="AI372" s="108">
        <f>(AE372+AF372)/(D372*$K$1*2)%</f>
        <v>7.8181818181818183</v>
      </c>
    </row>
    <row r="373" spans="1:35" ht="15.75" hidden="1" customHeight="1">
      <c r="A373" s="107" t="s">
        <v>646</v>
      </c>
      <c r="B373" s="226">
        <v>44077</v>
      </c>
      <c r="C373" s="231">
        <v>11399.632764006526</v>
      </c>
      <c r="D373" s="107">
        <f>COUNTA(G373:Z373)*0.5</f>
        <v>3</v>
      </c>
      <c r="F373" s="107" t="s">
        <v>263</v>
      </c>
      <c r="G373" s="178">
        <v>44077</v>
      </c>
      <c r="H373" s="178">
        <v>44077</v>
      </c>
      <c r="I373" s="178">
        <v>44077</v>
      </c>
      <c r="J373" s="178">
        <v>44077</v>
      </c>
      <c r="K373" s="178">
        <v>44077</v>
      </c>
      <c r="L373" s="178">
        <v>44077</v>
      </c>
      <c r="AA373" s="166">
        <v>44096</v>
      </c>
      <c r="AB373" s="109">
        <f>_xlfn.DAYS(AA373,B373)</f>
        <v>19</v>
      </c>
      <c r="AC373" s="107">
        <f>AVERAGE(24/27,19/30)</f>
        <v>0.76111111111111107</v>
      </c>
      <c r="AD373" s="107">
        <v>800.5</v>
      </c>
      <c r="AE373" s="107">
        <v>249</v>
      </c>
      <c r="AG373" s="107">
        <f>COUNTIFS(F:F,"Culled",A:A,LEFT(A373,LEN(A373)-3)&amp;"*")/COUNTIF(A:A,LEFT(A373,LEN(A373)-3)&amp;"*")*100</f>
        <v>0</v>
      </c>
      <c r="AH373" s="108">
        <f>(AD373-AF373)/(D373*$K$1*2)%</f>
        <v>24.257575757575758</v>
      </c>
      <c r="AI373" s="108">
        <f>(AE373+AF373)/(D373*$K$1*2)%</f>
        <v>7.5454545454545459</v>
      </c>
    </row>
    <row r="374" spans="1:35" ht="15.75" hidden="1" customHeight="1">
      <c r="A374" s="107" t="s">
        <v>647</v>
      </c>
      <c r="B374" s="226">
        <v>44077</v>
      </c>
      <c r="C374" s="231">
        <v>11399.632764006526</v>
      </c>
      <c r="D374" s="107">
        <f>COUNTA(G374:Z374)*0.5</f>
        <v>3</v>
      </c>
      <c r="F374" s="107" t="s">
        <v>263</v>
      </c>
      <c r="G374" s="178">
        <v>44077</v>
      </c>
      <c r="H374" s="178">
        <v>44077</v>
      </c>
      <c r="I374" s="178">
        <v>44077</v>
      </c>
      <c r="J374" s="178">
        <v>44077</v>
      </c>
      <c r="K374" s="178">
        <v>44077</v>
      </c>
      <c r="L374" s="178">
        <v>44077</v>
      </c>
      <c r="AA374" s="166">
        <v>44096</v>
      </c>
      <c r="AB374" s="109">
        <f>_xlfn.DAYS(AA374,B374)</f>
        <v>19</v>
      </c>
      <c r="AC374" s="107">
        <f>AVERAGE(23/36,16/23)</f>
        <v>0.66727053140096615</v>
      </c>
      <c r="AD374" s="107">
        <v>823</v>
      </c>
      <c r="AE374" s="107">
        <v>198</v>
      </c>
      <c r="AG374" s="107">
        <f>COUNTIFS(F:F,"Culled",A:A,LEFT(A374,LEN(A374)-3)&amp;"*")/COUNTIF(A:A,LEFT(A374,LEN(A374)-3)&amp;"*")*100</f>
        <v>0</v>
      </c>
      <c r="AH374" s="108">
        <f>(AD374-AF374)/(D374*$K$1*2)%</f>
        <v>24.939393939393938</v>
      </c>
      <c r="AI374" s="108">
        <f>(AE374+AF374)/(D374*$K$1*2)%</f>
        <v>6</v>
      </c>
    </row>
    <row r="375" spans="1:35" ht="15.75" hidden="1" customHeight="1">
      <c r="A375" s="107" t="s">
        <v>648</v>
      </c>
      <c r="B375" s="226">
        <v>44077</v>
      </c>
      <c r="C375" s="231">
        <v>10374.677300367435</v>
      </c>
      <c r="D375" s="107">
        <f>COUNTA(G375:Z375)*0.5</f>
        <v>5</v>
      </c>
      <c r="F375" s="107" t="s">
        <v>263</v>
      </c>
      <c r="G375" s="178">
        <v>44077</v>
      </c>
      <c r="H375" s="178">
        <v>44077</v>
      </c>
      <c r="I375" s="178">
        <v>44081</v>
      </c>
      <c r="J375" s="178">
        <v>44083</v>
      </c>
      <c r="K375" s="178">
        <v>44085</v>
      </c>
      <c r="L375" s="178">
        <v>44088</v>
      </c>
      <c r="M375" s="178">
        <v>44090</v>
      </c>
      <c r="N375" s="178" t="s">
        <v>375</v>
      </c>
      <c r="O375" s="178" t="s">
        <v>376</v>
      </c>
      <c r="P375" s="178">
        <v>44099</v>
      </c>
      <c r="AA375" s="166">
        <v>44022</v>
      </c>
      <c r="AB375" s="109">
        <f>_xlfn.DAYS(AA375,B375)</f>
        <v>-55</v>
      </c>
      <c r="AG375" s="107">
        <f>COUNTIFS(F:F,"Culled",A:A,LEFT(A375,LEN(A375)-3)&amp;"*")/COUNTIF(A:A,LEFT(A375,LEN(A375)-3)&amp;"*")*100</f>
        <v>0</v>
      </c>
      <c r="AH375" s="108">
        <f>(AD375-AF375)/(D375*$K$1*2)%</f>
        <v>0</v>
      </c>
      <c r="AI375" s="108">
        <f>(AE375+AF375)/(D375*$K$1*2)%</f>
        <v>0</v>
      </c>
    </row>
    <row r="376" spans="1:35" ht="15.75" hidden="1" customHeight="1">
      <c r="A376" s="107" t="s">
        <v>649</v>
      </c>
      <c r="B376" s="226">
        <v>44077</v>
      </c>
      <c r="C376" s="231">
        <v>10374.677300367435</v>
      </c>
      <c r="D376" s="107">
        <f>COUNTA(G376:Z376)*0.5</f>
        <v>5</v>
      </c>
      <c r="F376" s="107" t="s">
        <v>263</v>
      </c>
      <c r="G376" s="178">
        <v>44077</v>
      </c>
      <c r="H376" s="178">
        <v>44077</v>
      </c>
      <c r="I376" s="178">
        <v>44081</v>
      </c>
      <c r="J376" s="178">
        <v>44083</v>
      </c>
      <c r="K376" s="178">
        <v>44085</v>
      </c>
      <c r="L376" s="178">
        <v>44088</v>
      </c>
      <c r="M376" s="178">
        <v>44090</v>
      </c>
      <c r="N376" s="178" t="s">
        <v>375</v>
      </c>
      <c r="O376" s="178" t="s">
        <v>376</v>
      </c>
      <c r="P376" s="178">
        <v>44099</v>
      </c>
      <c r="AA376" s="166">
        <v>44022</v>
      </c>
      <c r="AB376" s="109">
        <f>_xlfn.DAYS(AA376,B376)</f>
        <v>-55</v>
      </c>
      <c r="AG376" s="107">
        <f>COUNTIFS(F:F,"Culled",A:A,LEFT(A376,LEN(A376)-3)&amp;"*")/COUNTIF(A:A,LEFT(A376,LEN(A376)-3)&amp;"*")*100</f>
        <v>0</v>
      </c>
      <c r="AH376" s="108">
        <f>(AD376-AF376)/(D376*$K$1*2)%</f>
        <v>0</v>
      </c>
      <c r="AI376" s="108">
        <f>(AE376+AF376)/(D376*$K$1*2)%</f>
        <v>0</v>
      </c>
    </row>
    <row r="377" spans="1:35" ht="15.75" hidden="1" customHeight="1">
      <c r="A377" s="107" t="s">
        <v>650</v>
      </c>
      <c r="B377" s="226">
        <v>44077</v>
      </c>
      <c r="C377" s="231">
        <v>10374.677300367435</v>
      </c>
      <c r="D377" s="107">
        <f>COUNTA(G377:Z377)*0.5</f>
        <v>5</v>
      </c>
      <c r="F377" s="107" t="s">
        <v>263</v>
      </c>
      <c r="G377" s="178">
        <v>44077</v>
      </c>
      <c r="H377" s="178">
        <v>44077</v>
      </c>
      <c r="I377" s="178">
        <v>44081</v>
      </c>
      <c r="J377" s="178">
        <v>44083</v>
      </c>
      <c r="K377" s="178">
        <v>44085</v>
      </c>
      <c r="L377" s="178">
        <v>44088</v>
      </c>
      <c r="M377" s="178">
        <v>44090</v>
      </c>
      <c r="N377" s="178" t="s">
        <v>375</v>
      </c>
      <c r="O377" s="178" t="s">
        <v>376</v>
      </c>
      <c r="P377" s="178">
        <v>44099</v>
      </c>
      <c r="AA377" s="166">
        <v>44022</v>
      </c>
      <c r="AB377" s="109">
        <f>_xlfn.DAYS(AA377,B377)</f>
        <v>-55</v>
      </c>
      <c r="AG377" s="107">
        <f>COUNTIFS(F:F,"Culled",A:A,LEFT(A377,LEN(A377)-3)&amp;"*")/COUNTIF(A:A,LEFT(A377,LEN(A377)-3)&amp;"*")*100</f>
        <v>0</v>
      </c>
      <c r="AH377" s="108">
        <f>(AD377-AF377)/(D377*$K$1*2)%</f>
        <v>0</v>
      </c>
      <c r="AI377" s="108">
        <f>(AE377+AF377)/(D377*$K$1*2)%</f>
        <v>0</v>
      </c>
    </row>
    <row r="378" spans="1:35" ht="15.75" hidden="1" customHeight="1">
      <c r="A378" s="107" t="s">
        <v>651</v>
      </c>
      <c r="B378" s="226">
        <v>44077</v>
      </c>
      <c r="C378" s="231">
        <v>11399.632764006526</v>
      </c>
      <c r="D378" s="107">
        <f>COUNTA(G378:Z378)*0.5</f>
        <v>5</v>
      </c>
      <c r="F378" s="107" t="s">
        <v>263</v>
      </c>
      <c r="G378" s="178">
        <v>44077</v>
      </c>
      <c r="H378" s="178">
        <v>44077</v>
      </c>
      <c r="I378" s="178">
        <v>44081</v>
      </c>
      <c r="J378" s="178">
        <v>44083</v>
      </c>
      <c r="K378" s="178">
        <v>44085</v>
      </c>
      <c r="L378" s="178">
        <v>44088</v>
      </c>
      <c r="M378" s="178">
        <v>44090</v>
      </c>
      <c r="N378" s="178" t="s">
        <v>375</v>
      </c>
      <c r="O378" s="178" t="s">
        <v>376</v>
      </c>
      <c r="P378" s="178">
        <v>44099</v>
      </c>
      <c r="AA378" s="166">
        <v>44022</v>
      </c>
      <c r="AB378" s="109">
        <f>_xlfn.DAYS(AA378,B378)</f>
        <v>-55</v>
      </c>
      <c r="AG378" s="107">
        <f>COUNTIFS(F:F,"Culled",A:A,LEFT(A378,LEN(A378)-3)&amp;"*")/COUNTIF(A:A,LEFT(A378,LEN(A378)-3)&amp;"*")*100</f>
        <v>0</v>
      </c>
      <c r="AH378" s="108">
        <f>(AD378-AF378)/(D378*$K$1*2)%</f>
        <v>0</v>
      </c>
      <c r="AI378" s="108">
        <f>(AE378+AF378)/(D378*$K$1*2)%</f>
        <v>0</v>
      </c>
    </row>
    <row r="379" spans="1:35" ht="15.75" hidden="1" customHeight="1">
      <c r="A379" s="107" t="s">
        <v>652</v>
      </c>
      <c r="B379" s="226">
        <v>44077</v>
      </c>
      <c r="C379" s="231">
        <v>11399.632764006526</v>
      </c>
      <c r="D379" s="107">
        <f>COUNTA(G379:Z379)*0.5</f>
        <v>5</v>
      </c>
      <c r="F379" s="107" t="s">
        <v>263</v>
      </c>
      <c r="G379" s="178">
        <v>44077</v>
      </c>
      <c r="H379" s="178">
        <v>44077</v>
      </c>
      <c r="I379" s="178">
        <v>44081</v>
      </c>
      <c r="J379" s="178">
        <v>44083</v>
      </c>
      <c r="K379" s="178">
        <v>44085</v>
      </c>
      <c r="L379" s="178">
        <v>44088</v>
      </c>
      <c r="M379" s="178">
        <v>44090</v>
      </c>
      <c r="N379" s="178" t="s">
        <v>375</v>
      </c>
      <c r="O379" s="178" t="s">
        <v>376</v>
      </c>
      <c r="P379" s="178">
        <v>44099</v>
      </c>
      <c r="AA379" s="166">
        <v>44022</v>
      </c>
      <c r="AG379" s="107">
        <f>COUNTIFS(F:F,"Culled",A:A,LEFT(A379,LEN(A379)-3)&amp;"*")/COUNTIF(A:A,LEFT(A379,LEN(A379)-3)&amp;"*")*100</f>
        <v>0</v>
      </c>
      <c r="AH379" s="108">
        <f>(AD379-AF379)/(D379*$K$1*2)%</f>
        <v>0</v>
      </c>
      <c r="AI379" s="108">
        <f>(AE379+AF379)/(D379*$K$1*2)%</f>
        <v>0</v>
      </c>
    </row>
    <row r="380" spans="1:35" ht="15.75" hidden="1" customHeight="1">
      <c r="A380" s="107" t="s">
        <v>653</v>
      </c>
      <c r="B380" s="226">
        <v>44077</v>
      </c>
      <c r="C380" s="231">
        <v>11399.632764006526</v>
      </c>
      <c r="D380" s="107">
        <f>COUNTA(G380:Z380)*0.5</f>
        <v>5</v>
      </c>
      <c r="F380" s="107" t="s">
        <v>263</v>
      </c>
      <c r="G380" s="178">
        <v>44077</v>
      </c>
      <c r="H380" s="178">
        <v>44077</v>
      </c>
      <c r="I380" s="178">
        <v>44081</v>
      </c>
      <c r="J380" s="178">
        <v>44083</v>
      </c>
      <c r="K380" s="178">
        <v>44085</v>
      </c>
      <c r="L380" s="178">
        <v>44088</v>
      </c>
      <c r="M380" s="178">
        <v>44090</v>
      </c>
      <c r="N380" s="178" t="s">
        <v>375</v>
      </c>
      <c r="O380" s="178" t="s">
        <v>376</v>
      </c>
      <c r="P380" s="178">
        <v>44099</v>
      </c>
      <c r="AA380" s="166">
        <v>44022</v>
      </c>
      <c r="AG380" s="107">
        <f>COUNTIFS(F:F,"Culled",A:A,LEFT(A380,LEN(A380)-3)&amp;"*")/COUNTIF(A:A,LEFT(A380,LEN(A380)-3)&amp;"*")*100</f>
        <v>0</v>
      </c>
      <c r="AH380" s="108">
        <f>(AD380-AF380)/(D380*$K$1*2)%</f>
        <v>0</v>
      </c>
      <c r="AI380" s="108">
        <f>(AE380+AF380)/(D380*$K$1*2)%</f>
        <v>0</v>
      </c>
    </row>
    <row r="381" spans="1:35" ht="15.75" hidden="1" customHeight="1">
      <c r="A381" s="107" t="s">
        <v>654</v>
      </c>
      <c r="B381" s="226">
        <v>44077</v>
      </c>
      <c r="C381" s="231">
        <v>10374.677300367435</v>
      </c>
      <c r="D381" s="107">
        <f>COUNTA(G381:Z381)*0.5</f>
        <v>5</v>
      </c>
      <c r="F381" s="107" t="s">
        <v>263</v>
      </c>
      <c r="G381" s="178">
        <v>44077</v>
      </c>
      <c r="H381" s="178">
        <v>44077</v>
      </c>
      <c r="I381" s="178">
        <v>44081</v>
      </c>
      <c r="J381" s="178">
        <v>44083</v>
      </c>
      <c r="K381" s="178">
        <v>44085</v>
      </c>
      <c r="L381" s="178">
        <v>44088</v>
      </c>
      <c r="M381" s="178">
        <v>44090</v>
      </c>
      <c r="N381" s="178" t="s">
        <v>375</v>
      </c>
      <c r="O381" s="178" t="s">
        <v>376</v>
      </c>
      <c r="P381" s="178">
        <v>44099</v>
      </c>
      <c r="AA381" s="166">
        <v>44022</v>
      </c>
      <c r="AG381" s="107">
        <f>COUNTIFS(F:F,"Culled",A:A,LEFT(A381,LEN(A381)-3)&amp;"*")/COUNTIF(A:A,LEFT(A381,LEN(A381)-3)&amp;"*")*100</f>
        <v>0</v>
      </c>
      <c r="AH381" s="108">
        <f>(AD381-AF381)/(D381*$K$1*2)%</f>
        <v>0</v>
      </c>
      <c r="AI381" s="108">
        <f>(AE381+AF381)/(D381*$K$1*2)%</f>
        <v>0</v>
      </c>
    </row>
    <row r="382" spans="1:35" ht="15.75" hidden="1" customHeight="1">
      <c r="A382" s="107" t="s">
        <v>655</v>
      </c>
      <c r="B382" s="226">
        <v>44077</v>
      </c>
      <c r="C382" s="231">
        <v>10374.677300367435</v>
      </c>
      <c r="D382" s="107">
        <f>COUNTA(G382:Z382)*0.5</f>
        <v>5</v>
      </c>
      <c r="F382" s="107" t="s">
        <v>263</v>
      </c>
      <c r="G382" s="178">
        <v>44077</v>
      </c>
      <c r="H382" s="178">
        <v>44077</v>
      </c>
      <c r="I382" s="178">
        <v>44081</v>
      </c>
      <c r="J382" s="178">
        <v>44083</v>
      </c>
      <c r="K382" s="178">
        <v>44085</v>
      </c>
      <c r="L382" s="178">
        <v>44088</v>
      </c>
      <c r="M382" s="178">
        <v>44090</v>
      </c>
      <c r="N382" s="178" t="s">
        <v>375</v>
      </c>
      <c r="O382" s="178" t="s">
        <v>376</v>
      </c>
      <c r="P382" s="178">
        <v>44099</v>
      </c>
      <c r="AA382" s="166">
        <v>44022</v>
      </c>
      <c r="AG382" s="107">
        <f>COUNTIFS(F:F,"Culled",A:A,LEFT(A382,LEN(A382)-3)&amp;"*")/COUNTIF(A:A,LEFT(A382,LEN(A382)-3)&amp;"*")*100</f>
        <v>0</v>
      </c>
      <c r="AH382" s="108">
        <f>(AD382-AF382)/(D382*$K$1*2)%</f>
        <v>0</v>
      </c>
      <c r="AI382" s="108">
        <f>(AE382+AF382)/(D382*$K$1*2)%</f>
        <v>0</v>
      </c>
    </row>
    <row r="383" spans="1:35" ht="15.75" hidden="1" customHeight="1">
      <c r="A383" s="107" t="s">
        <v>656</v>
      </c>
      <c r="B383" s="226">
        <v>44077</v>
      </c>
      <c r="C383" s="231">
        <v>10374.677300367435</v>
      </c>
      <c r="D383" s="107">
        <f>COUNTA(G383:Z383)*0.5</f>
        <v>5</v>
      </c>
      <c r="F383" s="107" t="s">
        <v>263</v>
      </c>
      <c r="G383" s="178">
        <v>44077</v>
      </c>
      <c r="H383" s="178">
        <v>44077</v>
      </c>
      <c r="I383" s="178">
        <v>44081</v>
      </c>
      <c r="J383" s="178">
        <v>44083</v>
      </c>
      <c r="K383" s="178">
        <v>44085</v>
      </c>
      <c r="L383" s="178">
        <v>44088</v>
      </c>
      <c r="M383" s="178">
        <v>44090</v>
      </c>
      <c r="N383" s="178" t="s">
        <v>375</v>
      </c>
      <c r="O383" s="178" t="s">
        <v>376</v>
      </c>
      <c r="P383" s="178">
        <v>44099</v>
      </c>
      <c r="AA383" s="166">
        <v>44022</v>
      </c>
      <c r="AG383" s="107">
        <f>COUNTIFS(F:F,"Culled",A:A,LEFT(A383,LEN(A383)-3)&amp;"*")/COUNTIF(A:A,LEFT(A383,LEN(A383)-3)&amp;"*")*100</f>
        <v>0</v>
      </c>
      <c r="AH383" s="108">
        <f>(AD383-AF383)/(D383*$K$1*2)%</f>
        <v>0</v>
      </c>
      <c r="AI383" s="108">
        <f>(AE383+AF383)/(D383*$K$1*2)%</f>
        <v>0</v>
      </c>
    </row>
    <row r="384" spans="1:35" ht="15.75" hidden="1" customHeight="1">
      <c r="A384" s="107" t="s">
        <v>657</v>
      </c>
      <c r="B384" s="226">
        <v>44047</v>
      </c>
      <c r="C384" s="224">
        <v>10000</v>
      </c>
      <c r="D384" s="107">
        <f>COUNTA(G384:Z384)*0.5</f>
        <v>8.5</v>
      </c>
      <c r="F384" s="107" t="s">
        <v>263</v>
      </c>
      <c r="G384" s="225">
        <v>44047</v>
      </c>
      <c r="H384" s="225">
        <v>44047</v>
      </c>
      <c r="I384" s="225">
        <v>44047</v>
      </c>
      <c r="J384" s="225">
        <v>44048</v>
      </c>
      <c r="K384" s="225">
        <v>44055</v>
      </c>
      <c r="L384" s="225">
        <v>44056</v>
      </c>
      <c r="M384" s="225">
        <v>44057</v>
      </c>
      <c r="N384" s="225">
        <v>44061</v>
      </c>
      <c r="O384" s="225">
        <v>44061</v>
      </c>
      <c r="P384" s="225">
        <v>44064</v>
      </c>
      <c r="Q384" s="225">
        <v>44064</v>
      </c>
      <c r="R384" s="225">
        <v>44064</v>
      </c>
      <c r="S384" s="225">
        <v>44067</v>
      </c>
      <c r="T384" s="225">
        <v>44069</v>
      </c>
      <c r="U384" s="225">
        <v>44069</v>
      </c>
      <c r="V384" s="225">
        <v>44071</v>
      </c>
      <c r="W384" s="225">
        <v>44071</v>
      </c>
      <c r="X384" s="225"/>
      <c r="Y384" s="225"/>
      <c r="AB384" s="109">
        <f>_xlfn.DAYS(AA384,B384)</f>
        <v>-44047</v>
      </c>
      <c r="AG384" s="107">
        <f>COUNTIFS(F:F,"Culled",A:A,LEFT(A384,LEN(A384)-3)&amp;"*")/COUNTIF(A:A,LEFT(A384,LEN(A384)-3)&amp;"*")*100</f>
        <v>0</v>
      </c>
      <c r="AH384" s="108">
        <f>(AD384-AF384)/(D384*$K$1*2)%</f>
        <v>0</v>
      </c>
      <c r="AI384" s="108">
        <f>(AE384+AF384)/(D384*$K$1*2)%</f>
        <v>0</v>
      </c>
    </row>
    <row r="385" spans="1:35" ht="15.75" hidden="1" customHeight="1">
      <c r="A385" s="107" t="s">
        <v>658</v>
      </c>
      <c r="B385" s="226">
        <v>44047</v>
      </c>
      <c r="C385" s="224">
        <v>10000</v>
      </c>
      <c r="D385" s="107">
        <f>COUNTA(G385:Z385)*0.5</f>
        <v>8.5</v>
      </c>
      <c r="F385" s="107" t="s">
        <v>263</v>
      </c>
      <c r="G385" s="225">
        <v>44047</v>
      </c>
      <c r="H385" s="225">
        <v>44047</v>
      </c>
      <c r="I385" s="225">
        <v>44047</v>
      </c>
      <c r="J385" s="225">
        <v>44048</v>
      </c>
      <c r="K385" s="225">
        <v>44055</v>
      </c>
      <c r="L385" s="225">
        <v>44056</v>
      </c>
      <c r="M385" s="225">
        <v>44057</v>
      </c>
      <c r="N385" s="225">
        <v>44061</v>
      </c>
      <c r="O385" s="225">
        <v>44061</v>
      </c>
      <c r="P385" s="225">
        <v>44064</v>
      </c>
      <c r="Q385" s="225">
        <v>44064</v>
      </c>
      <c r="R385" s="225">
        <v>44064</v>
      </c>
      <c r="S385" s="225">
        <v>44067</v>
      </c>
      <c r="T385" s="225">
        <v>44069</v>
      </c>
      <c r="U385" s="225">
        <v>44069</v>
      </c>
      <c r="V385" s="225">
        <v>44071</v>
      </c>
      <c r="W385" s="225">
        <v>44071</v>
      </c>
      <c r="X385" s="225"/>
      <c r="Y385" s="225"/>
      <c r="AB385" s="109">
        <f>_xlfn.DAYS(AA385,B385)</f>
        <v>-44047</v>
      </c>
      <c r="AC385" s="107">
        <f>(14/35+6/26)/2%</f>
        <v>31.538461538461537</v>
      </c>
      <c r="AD385" s="107">
        <v>1127</v>
      </c>
      <c r="AE385" s="107">
        <v>305.5</v>
      </c>
      <c r="AF385" s="107">
        <v>77</v>
      </c>
      <c r="AG385" s="107">
        <f>COUNTIFS(F:F,"Culled",A:A,LEFT(A385,LEN(A385)-3)&amp;"*")/COUNTIF(A:A,LEFT(A385,LEN(A385)-3)&amp;"*")*100</f>
        <v>0</v>
      </c>
      <c r="AH385" s="108">
        <f>(AD385-AF385)/(D385*$K$1*2)%</f>
        <v>11.229946524064172</v>
      </c>
      <c r="AI385" s="108">
        <f>(AE385+AF385)/(D385*$K$1*2)%</f>
        <v>4.0909090909090908</v>
      </c>
    </row>
    <row r="386" spans="1:35" ht="15.75" hidden="1" customHeight="1">
      <c r="A386" s="107" t="s">
        <v>659</v>
      </c>
      <c r="B386" s="226">
        <v>44047</v>
      </c>
      <c r="C386" s="224">
        <v>10000</v>
      </c>
      <c r="D386" s="107">
        <f>COUNTA(G386:Z386)*0.5</f>
        <v>8.5</v>
      </c>
      <c r="F386" s="107" t="s">
        <v>263</v>
      </c>
      <c r="G386" s="225">
        <v>44047</v>
      </c>
      <c r="H386" s="225">
        <v>44047</v>
      </c>
      <c r="I386" s="225">
        <v>44047</v>
      </c>
      <c r="J386" s="225">
        <v>44048</v>
      </c>
      <c r="K386" s="225">
        <v>44055</v>
      </c>
      <c r="L386" s="225">
        <v>44056</v>
      </c>
      <c r="M386" s="225">
        <v>44057</v>
      </c>
      <c r="N386" s="225">
        <v>44061</v>
      </c>
      <c r="O386" s="225">
        <v>44061</v>
      </c>
      <c r="P386" s="225">
        <v>44064</v>
      </c>
      <c r="Q386" s="225">
        <v>44064</v>
      </c>
      <c r="R386" s="225">
        <v>44064</v>
      </c>
      <c r="S386" s="225">
        <v>44067</v>
      </c>
      <c r="T386" s="225">
        <v>44069</v>
      </c>
      <c r="U386" s="225">
        <v>44069</v>
      </c>
      <c r="V386" s="225">
        <v>44071</v>
      </c>
      <c r="W386" s="225">
        <v>44071</v>
      </c>
      <c r="X386" s="225"/>
      <c r="Y386" s="225"/>
      <c r="AB386" s="109">
        <f>_xlfn.DAYS(AA386,B386)</f>
        <v>-44047</v>
      </c>
      <c r="AC386" s="107">
        <f>(9/23+11/28)/2%</f>
        <v>39.20807453416149</v>
      </c>
      <c r="AD386" s="107">
        <v>1233.5</v>
      </c>
      <c r="AE386" s="107">
        <v>309.5</v>
      </c>
      <c r="AF386" s="107">
        <v>77.5</v>
      </c>
      <c r="AG386" s="107">
        <f>COUNTIFS(F:F,"Culled",A:A,LEFT(A386,LEN(A386)-3)&amp;"*")/COUNTIF(A:A,LEFT(A386,LEN(A386)-3)&amp;"*")*100</f>
        <v>0</v>
      </c>
      <c r="AH386" s="108">
        <f>(AD386-AF386)/(D386*$K$1*2)%</f>
        <v>12.363636363636363</v>
      </c>
      <c r="AI386" s="108">
        <f>(AE386+AF386)/(D386*$K$1*2)%</f>
        <v>4.1390374331550799</v>
      </c>
    </row>
    <row r="387" spans="1:35" ht="15.75" hidden="1" customHeight="1">
      <c r="A387" s="107" t="s">
        <v>660</v>
      </c>
      <c r="B387" s="226">
        <v>44047</v>
      </c>
      <c r="C387" s="224">
        <v>10000</v>
      </c>
      <c r="D387" s="107">
        <f>COUNTA(G387:Z387)*0.5</f>
        <v>8.5</v>
      </c>
      <c r="F387" s="107" t="s">
        <v>263</v>
      </c>
      <c r="G387" s="225">
        <v>44047</v>
      </c>
      <c r="H387" s="225">
        <v>44047</v>
      </c>
      <c r="I387" s="225">
        <v>44047</v>
      </c>
      <c r="J387" s="225">
        <v>44048</v>
      </c>
      <c r="K387" s="225">
        <v>44055</v>
      </c>
      <c r="L387" s="225">
        <v>44056</v>
      </c>
      <c r="M387" s="225">
        <v>44057</v>
      </c>
      <c r="N387" s="225">
        <v>44061</v>
      </c>
      <c r="O387" s="225">
        <v>44061</v>
      </c>
      <c r="P387" s="225">
        <v>44064</v>
      </c>
      <c r="Q387" s="225">
        <v>44064</v>
      </c>
      <c r="R387" s="225">
        <v>44064</v>
      </c>
      <c r="S387" s="225">
        <v>44067</v>
      </c>
      <c r="T387" s="225">
        <v>44069</v>
      </c>
      <c r="U387" s="225">
        <v>44069</v>
      </c>
      <c r="V387" s="225">
        <v>44071</v>
      </c>
      <c r="W387" s="225">
        <v>44071</v>
      </c>
      <c r="X387" s="225"/>
      <c r="Y387" s="225"/>
      <c r="AB387" s="109">
        <f>_xlfn.DAYS(AA387,B387)</f>
        <v>-44047</v>
      </c>
      <c r="AG387" s="107">
        <f>COUNTIFS(F:F,"Culled",A:A,LEFT(A387,LEN(A387)-3)&amp;"*")/COUNTIF(A:A,LEFT(A387,LEN(A387)-3)&amp;"*")*100</f>
        <v>0</v>
      </c>
      <c r="AH387" s="108">
        <f>(AD387-AF387)/(D387*$K$1*2)%</f>
        <v>0</v>
      </c>
      <c r="AI387" s="108">
        <f>(AE387+AF387)/(D387*$K$1*2)%</f>
        <v>0</v>
      </c>
    </row>
    <row r="388" spans="1:35" ht="15.75" hidden="1" customHeight="1">
      <c r="A388" s="107" t="s">
        <v>661</v>
      </c>
      <c r="B388" s="226">
        <v>44047</v>
      </c>
      <c r="C388" s="224">
        <v>10000</v>
      </c>
      <c r="D388" s="107">
        <f>COUNTA(G388:Z388)*0.5</f>
        <v>8.5</v>
      </c>
      <c r="F388" s="107" t="s">
        <v>263</v>
      </c>
      <c r="G388" s="225">
        <v>44047</v>
      </c>
      <c r="H388" s="225">
        <v>44047</v>
      </c>
      <c r="I388" s="225">
        <v>44047</v>
      </c>
      <c r="J388" s="225">
        <v>44048</v>
      </c>
      <c r="K388" s="225">
        <v>44055</v>
      </c>
      <c r="L388" s="225">
        <v>44056</v>
      </c>
      <c r="M388" s="225">
        <v>44057</v>
      </c>
      <c r="N388" s="225">
        <v>44061</v>
      </c>
      <c r="O388" s="225">
        <v>44061</v>
      </c>
      <c r="P388" s="225">
        <v>44064</v>
      </c>
      <c r="Q388" s="225">
        <v>44064</v>
      </c>
      <c r="R388" s="225">
        <v>44064</v>
      </c>
      <c r="S388" s="225">
        <v>44067</v>
      </c>
      <c r="T388" s="225">
        <v>44069</v>
      </c>
      <c r="U388" s="225">
        <v>44069</v>
      </c>
      <c r="V388" s="225">
        <v>44071</v>
      </c>
      <c r="W388" s="225">
        <v>44071</v>
      </c>
      <c r="X388" s="225"/>
      <c r="Y388" s="225"/>
      <c r="AB388" s="109">
        <f>_xlfn.DAYS(AA388,B388)</f>
        <v>-44047</v>
      </c>
      <c r="AG388" s="107">
        <f>COUNTIFS(F:F,"Culled",A:A,LEFT(A388,LEN(A388)-3)&amp;"*")/COUNTIF(A:A,LEFT(A388,LEN(A388)-3)&amp;"*")*100</f>
        <v>0</v>
      </c>
      <c r="AH388" s="108">
        <f>(AD388-AF388)/(D388*$K$1*2)%</f>
        <v>0</v>
      </c>
      <c r="AI388" s="108">
        <f>(AE388+AF388)/(D388*$K$1*2)%</f>
        <v>0</v>
      </c>
    </row>
    <row r="389" spans="1:35" ht="15.75" hidden="1" customHeight="1">
      <c r="A389" s="110" t="s">
        <v>662</v>
      </c>
      <c r="B389" s="229">
        <v>44029</v>
      </c>
      <c r="C389" s="110">
        <v>10000</v>
      </c>
      <c r="D389" s="236">
        <v>5.5</v>
      </c>
      <c r="E389" s="236"/>
      <c r="F389" s="107" t="s">
        <v>323</v>
      </c>
      <c r="G389" s="107"/>
      <c r="H389" s="107"/>
      <c r="I389" s="107"/>
      <c r="J389" s="107"/>
      <c r="K389" s="107"/>
      <c r="L389" s="107"/>
      <c r="M389" s="107"/>
      <c r="N389" s="107"/>
      <c r="O389" s="107"/>
      <c r="P389" s="107"/>
      <c r="Q389" s="107"/>
      <c r="R389" s="107"/>
      <c r="S389" s="107"/>
      <c r="T389" s="107"/>
      <c r="U389" s="107"/>
      <c r="V389" s="107"/>
      <c r="W389" s="107"/>
      <c r="X389" s="107"/>
      <c r="Y389" s="107"/>
      <c r="Z389" s="107"/>
      <c r="AA389" s="167">
        <v>44048</v>
      </c>
      <c r="AB389" s="109">
        <f>_xlfn.DAYS(AA389,B389)</f>
        <v>19</v>
      </c>
      <c r="AC389" s="110"/>
      <c r="AD389" s="110"/>
      <c r="AE389" s="110"/>
      <c r="AF389" s="110"/>
      <c r="AG389" s="107">
        <f>COUNTIFS(F:F,"Culled",A:A,LEFT(A389,LEN(A389)-3)&amp;"*")/COUNTIF(A:A,LEFT(A389,LEN(A389)-3)&amp;"*")*100</f>
        <v>100</v>
      </c>
      <c r="AH389" s="107"/>
    </row>
    <row r="390" spans="1:35" ht="15.75" hidden="1" customHeight="1">
      <c r="A390" s="110" t="s">
        <v>663</v>
      </c>
      <c r="B390" s="229">
        <v>44029</v>
      </c>
      <c r="C390" s="110">
        <v>10000</v>
      </c>
      <c r="D390" s="236">
        <v>5</v>
      </c>
      <c r="E390" s="236"/>
      <c r="F390" s="107" t="s">
        <v>323</v>
      </c>
      <c r="G390" s="107"/>
      <c r="H390" s="107"/>
      <c r="I390" s="107"/>
      <c r="J390" s="107"/>
      <c r="K390" s="107"/>
      <c r="L390" s="107"/>
      <c r="M390" s="107"/>
      <c r="N390" s="107"/>
      <c r="O390" s="107"/>
      <c r="P390" s="107"/>
      <c r="Q390" s="107"/>
      <c r="R390" s="107"/>
      <c r="S390" s="107"/>
      <c r="T390" s="107"/>
      <c r="U390" s="107"/>
      <c r="V390" s="107"/>
      <c r="W390" s="107"/>
      <c r="X390" s="107"/>
      <c r="Y390" s="107"/>
      <c r="Z390" s="107"/>
      <c r="AA390" s="167">
        <v>44050</v>
      </c>
      <c r="AB390" s="109">
        <f>_xlfn.DAYS(AA390,B390)</f>
        <v>21</v>
      </c>
      <c r="AC390" s="110"/>
      <c r="AD390" s="110"/>
      <c r="AE390" s="110"/>
      <c r="AF390" s="110"/>
      <c r="AG390" s="107">
        <f>COUNTIFS(F:F,"Culled",A:A,LEFT(A390,LEN(A390)-3)&amp;"*")/COUNTIF(A:A,LEFT(A390,LEN(A390)-3)&amp;"*")*100</f>
        <v>100</v>
      </c>
      <c r="AH390" s="107"/>
    </row>
    <row r="391" spans="1:35" ht="15.75" hidden="1" customHeight="1">
      <c r="A391" s="110" t="s">
        <v>664</v>
      </c>
      <c r="B391" s="229">
        <v>44029</v>
      </c>
      <c r="C391" s="110">
        <v>10000</v>
      </c>
      <c r="D391" s="236">
        <v>5</v>
      </c>
      <c r="E391" s="236"/>
      <c r="F391" s="107" t="s">
        <v>323</v>
      </c>
      <c r="G391" s="107"/>
      <c r="H391" s="107"/>
      <c r="I391" s="107"/>
      <c r="J391" s="107"/>
      <c r="K391" s="107"/>
      <c r="L391" s="107"/>
      <c r="M391" s="107"/>
      <c r="N391" s="107"/>
      <c r="O391" s="107"/>
      <c r="P391" s="107"/>
      <c r="Q391" s="107"/>
      <c r="R391" s="107"/>
      <c r="S391" s="107"/>
      <c r="T391" s="107"/>
      <c r="U391" s="107"/>
      <c r="V391" s="107"/>
      <c r="W391" s="107"/>
      <c r="X391" s="107"/>
      <c r="Y391" s="107"/>
      <c r="Z391" s="107"/>
      <c r="AA391" s="167">
        <v>44050</v>
      </c>
      <c r="AB391" s="109">
        <f>_xlfn.DAYS(AA391,B391)</f>
        <v>21</v>
      </c>
      <c r="AC391" s="110"/>
      <c r="AD391" s="110"/>
      <c r="AE391" s="110"/>
      <c r="AF391" s="110"/>
      <c r="AG391" s="107">
        <f>COUNTIFS(F:F,"Culled",A:A,LEFT(A391,LEN(A391)-3)&amp;"*")/COUNTIF(A:A,LEFT(A391,LEN(A391)-3)&amp;"*")*100</f>
        <v>100</v>
      </c>
      <c r="AH391" s="107"/>
    </row>
    <row r="392" spans="1:35" ht="15.75" hidden="1" customHeight="1">
      <c r="A392" s="110" t="s">
        <v>665</v>
      </c>
      <c r="B392" s="229">
        <v>44029</v>
      </c>
      <c r="C392" s="110">
        <v>10000</v>
      </c>
      <c r="D392" s="236">
        <v>5</v>
      </c>
      <c r="E392" s="236"/>
      <c r="F392" s="107" t="s">
        <v>323</v>
      </c>
      <c r="G392" s="107"/>
      <c r="H392" s="107"/>
      <c r="I392" s="107"/>
      <c r="J392" s="107"/>
      <c r="K392" s="107"/>
      <c r="L392" s="107"/>
      <c r="M392" s="107"/>
      <c r="N392" s="107"/>
      <c r="O392" s="107"/>
      <c r="P392" s="107"/>
      <c r="Q392" s="107"/>
      <c r="R392" s="107"/>
      <c r="S392" s="107"/>
      <c r="T392" s="107"/>
      <c r="U392" s="107"/>
      <c r="V392" s="107"/>
      <c r="W392" s="107"/>
      <c r="X392" s="107"/>
      <c r="Y392" s="107"/>
      <c r="Z392" s="107"/>
      <c r="AA392" s="167">
        <v>44050</v>
      </c>
      <c r="AB392" s="109">
        <f>_xlfn.DAYS(AA392,B392)</f>
        <v>21</v>
      </c>
      <c r="AC392" s="110"/>
      <c r="AD392" s="110"/>
      <c r="AE392" s="110"/>
      <c r="AF392" s="110"/>
      <c r="AG392" s="107">
        <f>COUNTIFS(F:F,"Culled",A:A,LEFT(A392,LEN(A392)-3)&amp;"*")/COUNTIF(A:A,LEFT(A392,LEN(A392)-3)&amp;"*")*100</f>
        <v>100</v>
      </c>
      <c r="AH392" s="107"/>
    </row>
    <row r="393" spans="1:35" ht="15.75" hidden="1" customHeight="1">
      <c r="A393" s="110" t="s">
        <v>666</v>
      </c>
      <c r="B393" s="229">
        <v>44029</v>
      </c>
      <c r="C393" s="110">
        <v>6000</v>
      </c>
      <c r="D393" s="236">
        <v>5</v>
      </c>
      <c r="E393" s="236"/>
      <c r="F393" s="107" t="s">
        <v>323</v>
      </c>
      <c r="G393" s="107"/>
      <c r="H393" s="107"/>
      <c r="I393" s="107"/>
      <c r="J393" s="107"/>
      <c r="K393" s="107"/>
      <c r="L393" s="107"/>
      <c r="M393" s="107"/>
      <c r="N393" s="107"/>
      <c r="O393" s="107"/>
      <c r="P393" s="107"/>
      <c r="Q393" s="107"/>
      <c r="R393" s="107"/>
      <c r="S393" s="107"/>
      <c r="T393" s="107"/>
      <c r="U393" s="107"/>
      <c r="V393" s="107"/>
      <c r="W393" s="107"/>
      <c r="X393" s="107"/>
      <c r="Y393" s="107"/>
      <c r="Z393" s="107"/>
      <c r="AA393" s="167">
        <v>44050</v>
      </c>
      <c r="AB393" s="109">
        <f>_xlfn.DAYS(AA393,B393)</f>
        <v>21</v>
      </c>
      <c r="AC393" s="110"/>
      <c r="AD393" s="110"/>
      <c r="AE393" s="110"/>
      <c r="AF393" s="110"/>
      <c r="AG393" s="107">
        <f>COUNTIFS(F:F,"Culled",A:A,LEFT(A393,LEN(A393)-3)&amp;"*")/COUNTIF(A:A,LEFT(A393,LEN(A393)-3)&amp;"*")*100</f>
        <v>100</v>
      </c>
      <c r="AH393" s="107"/>
    </row>
    <row r="394" spans="1:35" ht="15.75" hidden="1" customHeight="1">
      <c r="A394" s="110" t="s">
        <v>667</v>
      </c>
      <c r="B394" s="229">
        <v>44029</v>
      </c>
      <c r="C394" s="110">
        <v>10000</v>
      </c>
      <c r="D394" s="236">
        <v>5.5</v>
      </c>
      <c r="E394" s="236"/>
      <c r="F394" s="107" t="s">
        <v>323</v>
      </c>
      <c r="G394" s="107"/>
      <c r="H394" s="107"/>
      <c r="I394" s="107"/>
      <c r="J394" s="107"/>
      <c r="K394" s="107"/>
      <c r="L394" s="107"/>
      <c r="M394" s="107"/>
      <c r="N394" s="107"/>
      <c r="O394" s="107"/>
      <c r="P394" s="107"/>
      <c r="Q394" s="107"/>
      <c r="R394" s="107"/>
      <c r="S394" s="107"/>
      <c r="T394" s="107"/>
      <c r="U394" s="107"/>
      <c r="V394" s="107"/>
      <c r="W394" s="107"/>
      <c r="X394" s="107"/>
      <c r="Y394" s="107"/>
      <c r="Z394" s="107"/>
      <c r="AA394" s="167">
        <v>44050</v>
      </c>
      <c r="AB394" s="109">
        <f>_xlfn.DAYS(AA394,B394)</f>
        <v>21</v>
      </c>
      <c r="AC394" s="110"/>
      <c r="AD394" s="110"/>
      <c r="AE394" s="110"/>
      <c r="AF394" s="110"/>
      <c r="AG394" s="107">
        <f>COUNTIFS(F:F,"Culled",A:A,LEFT(A394,LEN(A394)-3)&amp;"*")/COUNTIF(A:A,LEFT(A394,LEN(A394)-3)&amp;"*")*100</f>
        <v>100</v>
      </c>
      <c r="AH394" s="107"/>
    </row>
    <row r="395" spans="1:35" ht="15.75" hidden="1" customHeight="1">
      <c r="A395" s="110" t="s">
        <v>668</v>
      </c>
      <c r="B395" s="229">
        <v>44029</v>
      </c>
      <c r="C395" s="110">
        <v>10000</v>
      </c>
      <c r="D395" s="110">
        <v>6</v>
      </c>
      <c r="E395" s="110"/>
      <c r="F395" s="107" t="s">
        <v>323</v>
      </c>
      <c r="G395" s="107"/>
      <c r="H395" s="107"/>
      <c r="I395" s="107"/>
      <c r="J395" s="107"/>
      <c r="K395" s="107"/>
      <c r="L395" s="107"/>
      <c r="M395" s="107"/>
      <c r="N395" s="107"/>
      <c r="O395" s="107"/>
      <c r="P395" s="107"/>
      <c r="Q395" s="107"/>
      <c r="R395" s="107"/>
      <c r="S395" s="107"/>
      <c r="T395" s="107"/>
      <c r="U395" s="107"/>
      <c r="V395" s="107"/>
      <c r="W395" s="107"/>
      <c r="X395" s="107"/>
      <c r="Y395" s="107"/>
      <c r="Z395" s="107"/>
      <c r="AA395" s="166">
        <v>44056</v>
      </c>
      <c r="AB395" s="109">
        <f>_xlfn.DAYS(AA395,B395)</f>
        <v>27</v>
      </c>
      <c r="AC395" s="110"/>
      <c r="AD395" s="110"/>
      <c r="AE395" s="110"/>
      <c r="AF395" s="110"/>
      <c r="AG395" s="107">
        <f>COUNTIFS(F:F,"Culled",A:A,LEFT(A395,LEN(A395)-3)&amp;"*")/COUNTIF(A:A,LEFT(A395,LEN(A395)-3)&amp;"*")</f>
        <v>0.375</v>
      </c>
      <c r="AH395" s="107"/>
    </row>
    <row r="396" spans="1:35" ht="15.75" hidden="1" customHeight="1">
      <c r="A396" s="110" t="s">
        <v>669</v>
      </c>
      <c r="B396" s="229">
        <v>44034</v>
      </c>
      <c r="C396" s="110">
        <v>10000</v>
      </c>
      <c r="D396" s="236">
        <v>4</v>
      </c>
      <c r="E396" s="236"/>
      <c r="F396" s="107" t="s">
        <v>323</v>
      </c>
      <c r="G396" s="107"/>
      <c r="H396" s="107"/>
      <c r="I396" s="107"/>
      <c r="J396" s="107"/>
      <c r="K396" s="107"/>
      <c r="L396" s="107"/>
      <c r="M396" s="107"/>
      <c r="N396" s="107"/>
      <c r="O396" s="107"/>
      <c r="P396" s="107"/>
      <c r="Q396" s="107"/>
      <c r="R396" s="107"/>
      <c r="S396" s="107"/>
      <c r="T396" s="107"/>
      <c r="U396" s="107"/>
      <c r="V396" s="107"/>
      <c r="W396" s="107"/>
      <c r="X396" s="107"/>
      <c r="Y396" s="107"/>
      <c r="Z396" s="107"/>
      <c r="AA396" s="166">
        <v>44056</v>
      </c>
      <c r="AB396" s="109">
        <f>_xlfn.DAYS(AA396,B396)</f>
        <v>22</v>
      </c>
      <c r="AC396" s="110"/>
      <c r="AD396" s="110"/>
      <c r="AE396" s="110"/>
      <c r="AF396" s="110"/>
      <c r="AG396" s="107">
        <f>COUNTIFS(F:F,"Culled",A:A,LEFT(A396,LEN(A396)-3)&amp;"*")/COUNTIF(A:A,LEFT(A396,LEN(A396)-3)&amp;"*")*100</f>
        <v>100</v>
      </c>
      <c r="AH396" s="107"/>
    </row>
    <row r="397" spans="1:35" ht="15.75" hidden="1" customHeight="1">
      <c r="A397" s="110" t="s">
        <v>670</v>
      </c>
      <c r="B397" s="229">
        <v>44034</v>
      </c>
      <c r="C397" s="110">
        <v>10000</v>
      </c>
      <c r="D397" s="236">
        <v>4</v>
      </c>
      <c r="E397" s="236"/>
      <c r="F397" s="107" t="s">
        <v>323</v>
      </c>
      <c r="G397" s="107"/>
      <c r="H397" s="107"/>
      <c r="I397" s="107"/>
      <c r="J397" s="107"/>
      <c r="K397" s="107"/>
      <c r="L397" s="107"/>
      <c r="M397" s="107"/>
      <c r="N397" s="107"/>
      <c r="O397" s="107"/>
      <c r="P397" s="107"/>
      <c r="Q397" s="107"/>
      <c r="R397" s="107"/>
      <c r="S397" s="107"/>
      <c r="T397" s="107"/>
      <c r="U397" s="107"/>
      <c r="V397" s="107"/>
      <c r="W397" s="107"/>
      <c r="X397" s="107"/>
      <c r="Y397" s="107"/>
      <c r="Z397" s="107"/>
      <c r="AA397" s="166">
        <v>44056</v>
      </c>
      <c r="AB397" s="109">
        <f>_xlfn.DAYS(AA397,B397)</f>
        <v>22</v>
      </c>
      <c r="AC397" s="110"/>
      <c r="AD397" s="110"/>
      <c r="AE397" s="110"/>
      <c r="AF397" s="110"/>
      <c r="AG397" s="107">
        <f>COUNTIFS(F:F,"Culled",A:A,LEFT(A397,LEN(A397)-3)&amp;"*")/COUNTIF(A:A,LEFT(A397,LEN(A397)-3)&amp;"*")*100</f>
        <v>100</v>
      </c>
      <c r="AH397" s="107"/>
    </row>
    <row r="398" spans="1:35" ht="15.75" hidden="1" customHeight="1">
      <c r="A398" s="110" t="s">
        <v>671</v>
      </c>
      <c r="B398" s="229">
        <v>44034</v>
      </c>
      <c r="C398" s="110">
        <v>10000</v>
      </c>
      <c r="D398" s="236">
        <v>4</v>
      </c>
      <c r="E398" s="236"/>
      <c r="F398" s="107" t="s">
        <v>323</v>
      </c>
      <c r="G398" s="107"/>
      <c r="H398" s="107"/>
      <c r="I398" s="107"/>
      <c r="J398" s="107"/>
      <c r="K398" s="107"/>
      <c r="L398" s="107"/>
      <c r="M398" s="107"/>
      <c r="N398" s="107"/>
      <c r="O398" s="107"/>
      <c r="P398" s="107"/>
      <c r="Q398" s="107"/>
      <c r="R398" s="107"/>
      <c r="S398" s="107"/>
      <c r="T398" s="107"/>
      <c r="U398" s="107"/>
      <c r="V398" s="107"/>
      <c r="W398" s="107"/>
      <c r="X398" s="107"/>
      <c r="Y398" s="107"/>
      <c r="Z398" s="107"/>
      <c r="AA398" s="166">
        <v>44056</v>
      </c>
      <c r="AB398" s="109">
        <f>_xlfn.DAYS(AA398,B398)</f>
        <v>22</v>
      </c>
      <c r="AC398" s="110"/>
      <c r="AD398" s="110"/>
      <c r="AE398" s="110"/>
      <c r="AF398" s="110"/>
      <c r="AG398" s="107">
        <f>COUNTIFS(F:F,"Culled",A:A,LEFT(A398,LEN(A398)-3)&amp;"*")/COUNTIF(A:A,LEFT(A398,LEN(A398)-3)&amp;"*")*100</f>
        <v>100</v>
      </c>
      <c r="AH398" s="107"/>
    </row>
    <row r="399" spans="1:35" ht="15.75" hidden="1" customHeight="1">
      <c r="A399" s="110" t="s">
        <v>672</v>
      </c>
      <c r="B399" s="229">
        <v>44034</v>
      </c>
      <c r="C399" s="110">
        <v>10000</v>
      </c>
      <c r="D399" s="236">
        <v>4</v>
      </c>
      <c r="E399" s="236"/>
      <c r="F399" s="107" t="s">
        <v>323</v>
      </c>
      <c r="G399" s="107"/>
      <c r="H399" s="107"/>
      <c r="I399" s="107"/>
      <c r="J399" s="107"/>
      <c r="K399" s="107"/>
      <c r="L399" s="107"/>
      <c r="M399" s="107"/>
      <c r="N399" s="107"/>
      <c r="O399" s="107"/>
      <c r="P399" s="107"/>
      <c r="Q399" s="107"/>
      <c r="R399" s="107"/>
      <c r="S399" s="107"/>
      <c r="T399" s="107"/>
      <c r="U399" s="107"/>
      <c r="V399" s="107"/>
      <c r="W399" s="107"/>
      <c r="X399" s="107"/>
      <c r="Y399" s="107"/>
      <c r="Z399" s="107"/>
      <c r="AA399" s="166">
        <v>44056</v>
      </c>
      <c r="AB399" s="109">
        <f>_xlfn.DAYS(AA399,B399)</f>
        <v>22</v>
      </c>
      <c r="AC399" s="110"/>
      <c r="AD399" s="110"/>
      <c r="AE399" s="110"/>
      <c r="AF399" s="110"/>
      <c r="AG399" s="107">
        <f>COUNTIFS(F:F,"Culled",A:A,LEFT(A399,LEN(A399)-3)&amp;"*")/COUNTIF(A:A,LEFT(A399,LEN(A399)-3)&amp;"*")*100</f>
        <v>100</v>
      </c>
      <c r="AH399" s="107"/>
    </row>
    <row r="400" spans="1:35" ht="15.75" hidden="1" customHeight="1">
      <c r="A400" s="107" t="s">
        <v>673</v>
      </c>
      <c r="B400" s="226">
        <v>44047</v>
      </c>
      <c r="C400" s="224">
        <v>10000</v>
      </c>
      <c r="D400" s="107">
        <f>COUNTA(G400:Z400)*0.5</f>
        <v>8.5</v>
      </c>
      <c r="F400" s="107" t="s">
        <v>263</v>
      </c>
      <c r="G400" s="225">
        <v>44047</v>
      </c>
      <c r="H400" s="225">
        <v>44047</v>
      </c>
      <c r="I400" s="225">
        <v>44047</v>
      </c>
      <c r="J400" s="225">
        <v>44048</v>
      </c>
      <c r="K400" s="225">
        <v>44055</v>
      </c>
      <c r="L400" s="225">
        <v>44056</v>
      </c>
      <c r="M400" s="225">
        <v>44057</v>
      </c>
      <c r="N400" s="225">
        <v>44061</v>
      </c>
      <c r="O400" s="225">
        <v>44061</v>
      </c>
      <c r="P400" s="225">
        <v>44064</v>
      </c>
      <c r="Q400" s="225">
        <v>44064</v>
      </c>
      <c r="R400" s="225">
        <v>44064</v>
      </c>
      <c r="S400" s="225">
        <v>44067</v>
      </c>
      <c r="T400" s="225">
        <v>44069</v>
      </c>
      <c r="U400" s="225">
        <v>44069</v>
      </c>
      <c r="V400" s="225">
        <v>44071</v>
      </c>
      <c r="W400" s="225">
        <v>44071</v>
      </c>
      <c r="X400" s="225"/>
      <c r="Y400" s="225"/>
      <c r="AB400" s="109">
        <f>_xlfn.DAYS(AA400,B400)</f>
        <v>-44047</v>
      </c>
      <c r="AC400" s="107">
        <f>(12/26+10/19)/2%</f>
        <v>49.392712550607285</v>
      </c>
      <c r="AD400" s="107">
        <v>1243</v>
      </c>
      <c r="AE400" s="107">
        <v>266</v>
      </c>
      <c r="AF400" s="107">
        <v>73</v>
      </c>
      <c r="AG400" s="107">
        <f>COUNTIFS(F:F,"Culled",A:A,LEFT(A400,LEN(A400)-3)&amp;"*")/COUNTIF(A:A,LEFT(A400,LEN(A400)-3)&amp;"*")*100</f>
        <v>0</v>
      </c>
      <c r="AH400" s="108">
        <f>(AD400-AF400)/(D400*$K$1*2)%</f>
        <v>12.51336898395722</v>
      </c>
      <c r="AI400" s="108">
        <f>(AE400+AF400)/(D400*$K$1*2)%</f>
        <v>3.6256684491978608</v>
      </c>
    </row>
    <row r="401" spans="1:35" ht="15.75" hidden="1" customHeight="1">
      <c r="A401" s="107" t="s">
        <v>674</v>
      </c>
      <c r="B401" s="226">
        <v>44047</v>
      </c>
      <c r="C401" s="224">
        <v>10000</v>
      </c>
      <c r="D401" s="107">
        <f>COUNTA(G401:Z401)*0.5</f>
        <v>8.5</v>
      </c>
      <c r="F401" s="107" t="s">
        <v>263</v>
      </c>
      <c r="G401" s="225">
        <v>44047</v>
      </c>
      <c r="H401" s="225">
        <v>44047</v>
      </c>
      <c r="I401" s="225">
        <v>44047</v>
      </c>
      <c r="J401" s="225">
        <v>44048</v>
      </c>
      <c r="K401" s="225">
        <v>44055</v>
      </c>
      <c r="L401" s="225">
        <v>44056</v>
      </c>
      <c r="M401" s="225">
        <v>44057</v>
      </c>
      <c r="N401" s="225">
        <v>44061</v>
      </c>
      <c r="O401" s="225">
        <v>44061</v>
      </c>
      <c r="P401" s="225">
        <v>44064</v>
      </c>
      <c r="Q401" s="225">
        <v>44064</v>
      </c>
      <c r="R401" s="225">
        <v>44064</v>
      </c>
      <c r="S401" s="225">
        <v>44067</v>
      </c>
      <c r="T401" s="225">
        <v>44069</v>
      </c>
      <c r="U401" s="225">
        <v>44069</v>
      </c>
      <c r="V401" s="225">
        <v>44071</v>
      </c>
      <c r="W401" s="225">
        <v>44071</v>
      </c>
      <c r="X401" s="225"/>
      <c r="Y401" s="225"/>
      <c r="AB401" s="109">
        <f>_xlfn.DAYS(AA401,B401)</f>
        <v>-44047</v>
      </c>
      <c r="AG401" s="107">
        <f>COUNTIFS(F:F,"Culled",A:A,LEFT(A401,LEN(A401)-3)&amp;"*")/COUNTIF(A:A,LEFT(A401,LEN(A401)-3)&amp;"*")*100</f>
        <v>0</v>
      </c>
      <c r="AH401" s="108">
        <f>(AD401-AF401)/(D401*$K$1*2)%</f>
        <v>0</v>
      </c>
      <c r="AI401" s="108">
        <f>(AE401+AF401)/(D401*$K$1*2)%</f>
        <v>0</v>
      </c>
    </row>
    <row r="402" spans="1:35" ht="15.75" hidden="1" customHeight="1">
      <c r="A402" s="107" t="s">
        <v>675</v>
      </c>
      <c r="B402" s="226">
        <v>44047</v>
      </c>
      <c r="C402" s="224">
        <v>10000</v>
      </c>
      <c r="D402" s="107">
        <f>COUNTA(G402:Z402)*0.5</f>
        <v>8.5</v>
      </c>
      <c r="F402" s="107" t="s">
        <v>263</v>
      </c>
      <c r="G402" s="225">
        <v>44047</v>
      </c>
      <c r="H402" s="225">
        <v>44047</v>
      </c>
      <c r="I402" s="225">
        <v>44047</v>
      </c>
      <c r="J402" s="225">
        <v>44048</v>
      </c>
      <c r="K402" s="225">
        <v>44055</v>
      </c>
      <c r="L402" s="225">
        <v>44056</v>
      </c>
      <c r="M402" s="225">
        <v>44057</v>
      </c>
      <c r="N402" s="225">
        <v>44061</v>
      </c>
      <c r="O402" s="225">
        <v>44061</v>
      </c>
      <c r="P402" s="225">
        <v>44064</v>
      </c>
      <c r="Q402" s="225">
        <v>44064</v>
      </c>
      <c r="R402" s="225">
        <v>44064</v>
      </c>
      <c r="S402" s="225">
        <v>44067</v>
      </c>
      <c r="T402" s="225">
        <v>44069</v>
      </c>
      <c r="U402" s="225">
        <v>44069</v>
      </c>
      <c r="V402" s="225">
        <v>44071</v>
      </c>
      <c r="W402" s="225">
        <v>44071</v>
      </c>
      <c r="X402" s="225"/>
      <c r="Y402" s="225"/>
      <c r="AB402" s="109">
        <f>_xlfn.DAYS(AA402,B402)</f>
        <v>-44047</v>
      </c>
      <c r="AG402" s="107">
        <f>COUNTIFS(F:F,"Culled",A:A,LEFT(A402,LEN(A402)-3)&amp;"*")/COUNTIF(A:A,LEFT(A402,LEN(A402)-3)&amp;"*")*100</f>
        <v>0</v>
      </c>
      <c r="AH402" s="108">
        <f>(AD402-AF402)/(D402*$K$1*2)%</f>
        <v>0</v>
      </c>
      <c r="AI402" s="108">
        <f>(AE402+AF402)/(D402*$K$1*2)%</f>
        <v>0</v>
      </c>
    </row>
    <row r="403" spans="1:35" ht="15.75" hidden="1" customHeight="1">
      <c r="A403" s="107" t="s">
        <v>676</v>
      </c>
      <c r="B403" s="226">
        <v>44047</v>
      </c>
      <c r="C403" s="224">
        <v>10000</v>
      </c>
      <c r="D403" s="107">
        <f>COUNTA(G403:Z403)*0.5</f>
        <v>8.5</v>
      </c>
      <c r="F403" s="107" t="s">
        <v>263</v>
      </c>
      <c r="G403" s="225">
        <v>44047</v>
      </c>
      <c r="H403" s="225">
        <v>44047</v>
      </c>
      <c r="I403" s="225">
        <v>44047</v>
      </c>
      <c r="J403" s="225">
        <v>44048</v>
      </c>
      <c r="K403" s="225">
        <v>44055</v>
      </c>
      <c r="L403" s="225">
        <v>44056</v>
      </c>
      <c r="M403" s="225">
        <v>44057</v>
      </c>
      <c r="N403" s="225">
        <v>44061</v>
      </c>
      <c r="O403" s="225">
        <v>44061</v>
      </c>
      <c r="P403" s="225">
        <v>44064</v>
      </c>
      <c r="Q403" s="225">
        <v>44064</v>
      </c>
      <c r="R403" s="225">
        <v>44064</v>
      </c>
      <c r="S403" s="225">
        <v>44067</v>
      </c>
      <c r="T403" s="225">
        <v>44069</v>
      </c>
      <c r="U403" s="225">
        <v>44069</v>
      </c>
      <c r="V403" s="225">
        <v>44071</v>
      </c>
      <c r="W403" s="225">
        <v>44071</v>
      </c>
      <c r="X403" s="225"/>
      <c r="Y403" s="225"/>
      <c r="AB403" s="109">
        <f>_xlfn.DAYS(AA403,B403)</f>
        <v>-44047</v>
      </c>
      <c r="AC403" s="107">
        <f>(10/17+15/31)/2%</f>
        <v>53.605313092979131</v>
      </c>
      <c r="AD403" s="107">
        <v>1062</v>
      </c>
      <c r="AE403" s="107">
        <v>286</v>
      </c>
      <c r="AF403" s="107">
        <v>70</v>
      </c>
      <c r="AG403" s="107">
        <f>COUNTIFS(F:F,"Culled",A:A,LEFT(A403,LEN(A403)-3)&amp;"*")/COUNTIF(A:A,LEFT(A403,LEN(A403)-3)&amp;"*")*100</f>
        <v>0</v>
      </c>
      <c r="AH403" s="108">
        <f>(AD403-AF403)/(D403*$K$1*2)%</f>
        <v>10.609625668449198</v>
      </c>
      <c r="AI403" s="108">
        <f>(AE403+AF403)/(D403*$K$1*2)%</f>
        <v>3.8074866310160429</v>
      </c>
    </row>
    <row r="404" spans="1:35" ht="15.75" hidden="1" customHeight="1">
      <c r="A404" s="110" t="s">
        <v>677</v>
      </c>
      <c r="B404" s="229">
        <v>44034</v>
      </c>
      <c r="C404" s="110">
        <v>10000</v>
      </c>
      <c r="D404" s="236">
        <v>4</v>
      </c>
      <c r="E404" s="236"/>
      <c r="F404" s="107" t="s">
        <v>323</v>
      </c>
      <c r="G404" s="107"/>
      <c r="H404" s="107"/>
      <c r="I404" s="107"/>
      <c r="J404" s="107"/>
      <c r="K404" s="107"/>
      <c r="L404" s="107"/>
      <c r="M404" s="107"/>
      <c r="N404" s="107"/>
      <c r="O404" s="107"/>
      <c r="P404" s="107"/>
      <c r="Q404" s="107"/>
      <c r="R404" s="107"/>
      <c r="S404" s="107"/>
      <c r="T404" s="107"/>
      <c r="U404" s="107"/>
      <c r="V404" s="107"/>
      <c r="W404" s="107"/>
      <c r="X404" s="107"/>
      <c r="Y404" s="107"/>
      <c r="Z404" s="107"/>
      <c r="AA404" s="166">
        <v>44056</v>
      </c>
      <c r="AB404" s="109">
        <f>_xlfn.DAYS(AA404,B404)</f>
        <v>22</v>
      </c>
      <c r="AC404" s="110"/>
      <c r="AD404" s="110"/>
      <c r="AE404" s="110"/>
      <c r="AF404" s="110"/>
      <c r="AG404" s="107">
        <f>COUNTIFS(F:F,"Culled",A:A,LEFT(A404,LEN(A404)-3)&amp;"*")/COUNTIF(A:A,LEFT(A404,LEN(A404)-3)&amp;"*")*100</f>
        <v>100</v>
      </c>
      <c r="AH404" s="107"/>
    </row>
    <row r="405" spans="1:35" ht="15.75" hidden="1" customHeight="1">
      <c r="A405" s="110" t="s">
        <v>678</v>
      </c>
      <c r="B405" s="229">
        <v>44034</v>
      </c>
      <c r="C405" s="110">
        <v>10000</v>
      </c>
      <c r="D405" s="236">
        <v>4</v>
      </c>
      <c r="E405" s="236"/>
      <c r="F405" s="107" t="s">
        <v>323</v>
      </c>
      <c r="G405" s="107"/>
      <c r="H405" s="107"/>
      <c r="I405" s="107"/>
      <c r="J405" s="107"/>
      <c r="K405" s="107"/>
      <c r="L405" s="107"/>
      <c r="M405" s="107"/>
      <c r="N405" s="107"/>
      <c r="O405" s="107"/>
      <c r="P405" s="107"/>
      <c r="Q405" s="107"/>
      <c r="R405" s="107"/>
      <c r="S405" s="107"/>
      <c r="T405" s="107"/>
      <c r="U405" s="107"/>
      <c r="V405" s="107"/>
      <c r="W405" s="107"/>
      <c r="X405" s="107"/>
      <c r="Y405" s="107"/>
      <c r="Z405" s="107"/>
      <c r="AA405" s="166">
        <v>44056</v>
      </c>
      <c r="AB405" s="109">
        <f>_xlfn.DAYS(AA405,B405)</f>
        <v>22</v>
      </c>
      <c r="AC405" s="110"/>
      <c r="AD405" s="110"/>
      <c r="AE405" s="110"/>
      <c r="AF405" s="110"/>
      <c r="AG405" s="107">
        <f>COUNTIFS(F:F,"Culled",A:A,LEFT(A405,LEN(A405)-3)&amp;"*")/COUNTIF(A:A,LEFT(A405,LEN(A405)-3)&amp;"*")*100</f>
        <v>100</v>
      </c>
      <c r="AH405" s="107"/>
    </row>
    <row r="406" spans="1:35" ht="15.75" hidden="1" customHeight="1">
      <c r="A406" s="110" t="s">
        <v>679</v>
      </c>
      <c r="B406" s="229">
        <v>44034</v>
      </c>
      <c r="C406" s="110">
        <v>10000</v>
      </c>
      <c r="D406" s="236">
        <v>4</v>
      </c>
      <c r="E406" s="236"/>
      <c r="F406" s="107" t="s">
        <v>323</v>
      </c>
      <c r="G406" s="107"/>
      <c r="H406" s="107"/>
      <c r="I406" s="107"/>
      <c r="J406" s="107"/>
      <c r="K406" s="107"/>
      <c r="L406" s="107"/>
      <c r="M406" s="107"/>
      <c r="N406" s="107"/>
      <c r="O406" s="107"/>
      <c r="P406" s="107"/>
      <c r="Q406" s="107"/>
      <c r="R406" s="107"/>
      <c r="S406" s="107"/>
      <c r="T406" s="107"/>
      <c r="U406" s="107"/>
      <c r="V406" s="107"/>
      <c r="W406" s="107"/>
      <c r="X406" s="107"/>
      <c r="Y406" s="107"/>
      <c r="Z406" s="107"/>
      <c r="AA406" s="166">
        <v>44056</v>
      </c>
      <c r="AB406" s="109">
        <f>_xlfn.DAYS(AA406,B406)</f>
        <v>22</v>
      </c>
      <c r="AC406" s="110"/>
      <c r="AD406" s="110"/>
      <c r="AE406" s="110"/>
      <c r="AF406" s="110"/>
      <c r="AG406" s="107">
        <f>COUNTIFS(F:F,"Culled",A:A,LEFT(A406,LEN(A406)-3)&amp;"*")/COUNTIF(A:A,LEFT(A406,LEN(A406)-3)&amp;"*")*100</f>
        <v>100</v>
      </c>
      <c r="AH406" s="107"/>
    </row>
    <row r="407" spans="1:35" ht="15.75" hidden="1" customHeight="1">
      <c r="A407" s="110" t="s">
        <v>680</v>
      </c>
      <c r="B407" s="229">
        <v>44034</v>
      </c>
      <c r="C407" s="110">
        <v>10000</v>
      </c>
      <c r="D407" s="236">
        <v>4</v>
      </c>
      <c r="E407" s="236"/>
      <c r="F407" s="107" t="s">
        <v>323</v>
      </c>
      <c r="G407" s="107"/>
      <c r="H407" s="107"/>
      <c r="I407" s="107"/>
      <c r="J407" s="107"/>
      <c r="K407" s="107"/>
      <c r="L407" s="107"/>
      <c r="M407" s="107"/>
      <c r="N407" s="107"/>
      <c r="O407" s="107"/>
      <c r="P407" s="107"/>
      <c r="Q407" s="107"/>
      <c r="R407" s="107"/>
      <c r="S407" s="107"/>
      <c r="T407" s="107"/>
      <c r="U407" s="107"/>
      <c r="V407" s="107"/>
      <c r="W407" s="107"/>
      <c r="X407" s="107"/>
      <c r="Y407" s="107"/>
      <c r="Z407" s="107"/>
      <c r="AA407" s="166">
        <v>44056</v>
      </c>
      <c r="AB407" s="109">
        <f>_xlfn.DAYS(AA407,B407)</f>
        <v>22</v>
      </c>
      <c r="AC407" s="110"/>
      <c r="AD407" s="110"/>
      <c r="AE407" s="110"/>
      <c r="AF407" s="110"/>
      <c r="AG407" s="107">
        <f>COUNTIFS(F:F,"Culled",A:A,LEFT(A407,LEN(A407)-3)&amp;"*")/COUNTIF(A:A,LEFT(A407,LEN(A407)-3)&amp;"*")*100</f>
        <v>100</v>
      </c>
      <c r="AH407" s="107"/>
    </row>
    <row r="408" spans="1:35" ht="15.75" hidden="1" customHeight="1">
      <c r="A408" s="110" t="s">
        <v>681</v>
      </c>
      <c r="B408" s="229">
        <v>44036</v>
      </c>
      <c r="C408" s="110">
        <v>10000</v>
      </c>
      <c r="D408" s="110">
        <v>4.5</v>
      </c>
      <c r="E408" s="110"/>
      <c r="F408" s="107" t="s">
        <v>323</v>
      </c>
      <c r="G408" s="107"/>
      <c r="H408" s="107"/>
      <c r="I408" s="107"/>
      <c r="J408" s="107"/>
      <c r="K408" s="107"/>
      <c r="L408" s="107"/>
      <c r="M408" s="107"/>
      <c r="N408" s="107"/>
      <c r="O408" s="107"/>
      <c r="P408" s="107"/>
      <c r="Q408" s="107"/>
      <c r="R408" s="107"/>
      <c r="S408" s="107"/>
      <c r="T408" s="107"/>
      <c r="U408" s="107"/>
      <c r="V408" s="107"/>
      <c r="W408" s="107"/>
      <c r="X408" s="107"/>
      <c r="Y408" s="107"/>
      <c r="Z408" s="107"/>
      <c r="AA408" s="178">
        <v>44078</v>
      </c>
      <c r="AB408" s="109">
        <f>_xlfn.DAYS(AA408,B408)</f>
        <v>42</v>
      </c>
      <c r="AC408" s="110"/>
      <c r="AD408" s="110"/>
      <c r="AE408" s="110"/>
      <c r="AF408" s="110"/>
      <c r="AG408" s="107">
        <f>COUNTIFS(F:F,"Culled",A:A,LEFT(A408,LEN(A408)-3)&amp;"*")/COUNTIF(A:A,LEFT(A408,LEN(A408)-3)&amp;"*")*100</f>
        <v>100</v>
      </c>
      <c r="AH408" s="107"/>
    </row>
    <row r="409" spans="1:35" ht="15.75" hidden="1" customHeight="1">
      <c r="A409" s="110" t="s">
        <v>682</v>
      </c>
      <c r="B409" s="229">
        <v>44036</v>
      </c>
      <c r="C409" s="110">
        <v>10000</v>
      </c>
      <c r="D409" s="110">
        <v>4.5</v>
      </c>
      <c r="E409" s="110"/>
      <c r="F409" s="107" t="s">
        <v>323</v>
      </c>
      <c r="G409" s="107"/>
      <c r="H409" s="107"/>
      <c r="I409" s="107"/>
      <c r="J409" s="107"/>
      <c r="K409" s="107"/>
      <c r="L409" s="107"/>
      <c r="M409" s="107"/>
      <c r="N409" s="107"/>
      <c r="O409" s="107"/>
      <c r="P409" s="107"/>
      <c r="Q409" s="107"/>
      <c r="R409" s="107"/>
      <c r="S409" s="107"/>
      <c r="T409" s="107"/>
      <c r="U409" s="107"/>
      <c r="V409" s="107"/>
      <c r="W409" s="107"/>
      <c r="X409" s="107"/>
      <c r="Y409" s="107"/>
      <c r="Z409" s="107"/>
      <c r="AA409" s="178">
        <v>44078</v>
      </c>
      <c r="AB409" s="109">
        <f>_xlfn.DAYS(AA409,B409)</f>
        <v>42</v>
      </c>
      <c r="AC409" s="110"/>
      <c r="AD409" s="110"/>
      <c r="AE409" s="110"/>
      <c r="AF409" s="110"/>
      <c r="AG409" s="107">
        <f>COUNTIFS(F:F,"Culled",A:A,LEFT(A409,LEN(A409)-3)&amp;"*")/COUNTIF(A:A,LEFT(A409,LEN(A409)-3)&amp;"*")*100</f>
        <v>100</v>
      </c>
      <c r="AH409" s="107"/>
    </row>
    <row r="410" spans="1:35" ht="15.75" hidden="1" customHeight="1">
      <c r="A410" s="110" t="s">
        <v>683</v>
      </c>
      <c r="B410" s="229">
        <v>44036</v>
      </c>
      <c r="C410" s="110">
        <v>10000</v>
      </c>
      <c r="D410" s="110">
        <v>4.5</v>
      </c>
      <c r="E410" s="110"/>
      <c r="F410" s="107" t="s">
        <v>323</v>
      </c>
      <c r="G410" s="107"/>
      <c r="H410" s="107"/>
      <c r="I410" s="107"/>
      <c r="J410" s="107"/>
      <c r="K410" s="107"/>
      <c r="L410" s="107"/>
      <c r="M410" s="107"/>
      <c r="N410" s="107"/>
      <c r="O410" s="107"/>
      <c r="P410" s="107"/>
      <c r="Q410" s="107"/>
      <c r="R410" s="107"/>
      <c r="S410" s="107"/>
      <c r="T410" s="107"/>
      <c r="U410" s="107"/>
      <c r="V410" s="107"/>
      <c r="W410" s="107"/>
      <c r="X410" s="107"/>
      <c r="Y410" s="107"/>
      <c r="Z410" s="107"/>
      <c r="AA410" s="178">
        <v>44078</v>
      </c>
      <c r="AB410" s="109">
        <f>_xlfn.DAYS(AA410,B410)</f>
        <v>42</v>
      </c>
      <c r="AC410" s="110"/>
      <c r="AD410" s="110"/>
      <c r="AE410" s="110"/>
      <c r="AF410" s="110"/>
      <c r="AG410" s="107">
        <f>COUNTIFS(F:F,"Culled",A:A,LEFT(A410,LEN(A410)-3)&amp;"*")/COUNTIF(A:A,LEFT(A410,LEN(A410)-3)&amp;"*")*100</f>
        <v>100</v>
      </c>
      <c r="AH410" s="107"/>
    </row>
    <row r="411" spans="1:35" ht="15.75" hidden="1" customHeight="1">
      <c r="A411" s="110" t="s">
        <v>684</v>
      </c>
      <c r="B411" s="229">
        <v>44036</v>
      </c>
      <c r="C411" s="110">
        <v>10000</v>
      </c>
      <c r="D411" s="110">
        <v>7</v>
      </c>
      <c r="E411" s="110"/>
      <c r="F411" s="107" t="s">
        <v>323</v>
      </c>
      <c r="G411" s="107"/>
      <c r="H411" s="107"/>
      <c r="I411" s="107"/>
      <c r="J411" s="107"/>
      <c r="K411" s="107"/>
      <c r="L411" s="107"/>
      <c r="M411" s="107"/>
      <c r="N411" s="107"/>
      <c r="O411" s="107"/>
      <c r="P411" s="107"/>
      <c r="Q411" s="107"/>
      <c r="R411" s="107"/>
      <c r="S411" s="107"/>
      <c r="T411" s="107"/>
      <c r="U411" s="107"/>
      <c r="V411" s="107"/>
      <c r="W411" s="107"/>
      <c r="X411" s="107"/>
      <c r="Y411" s="107"/>
      <c r="Z411" s="107"/>
      <c r="AA411" s="178">
        <v>44078</v>
      </c>
      <c r="AB411" s="109">
        <f>_xlfn.DAYS(AA411,B411)</f>
        <v>42</v>
      </c>
      <c r="AC411" s="110"/>
      <c r="AD411" s="110"/>
      <c r="AE411" s="110"/>
      <c r="AF411" s="110"/>
      <c r="AG411" s="107">
        <f>COUNTIFS(F:F,"Culled",A:A,LEFT(A411,LEN(A411)-3)&amp;"*")/COUNTIF(A:A,LEFT(A411,LEN(A411)-3)&amp;"*")*100</f>
        <v>100</v>
      </c>
      <c r="AH411" s="107"/>
    </row>
    <row r="412" spans="1:35" ht="15.75" hidden="1" customHeight="1">
      <c r="A412" s="110" t="s">
        <v>685</v>
      </c>
      <c r="B412" s="229">
        <v>44036</v>
      </c>
      <c r="C412" s="110">
        <v>10000</v>
      </c>
      <c r="D412" s="110">
        <v>5</v>
      </c>
      <c r="E412" s="110"/>
      <c r="F412" s="107" t="s">
        <v>323</v>
      </c>
      <c r="G412" s="107"/>
      <c r="H412" s="107"/>
      <c r="I412" s="107"/>
      <c r="J412" s="107"/>
      <c r="K412" s="107"/>
      <c r="L412" s="107"/>
      <c r="M412" s="107"/>
      <c r="N412" s="107"/>
      <c r="O412" s="107"/>
      <c r="P412" s="107"/>
      <c r="Q412" s="107"/>
      <c r="R412" s="107"/>
      <c r="S412" s="107"/>
      <c r="T412" s="107"/>
      <c r="U412" s="107"/>
      <c r="V412" s="107"/>
      <c r="W412" s="107"/>
      <c r="X412" s="107"/>
      <c r="Y412" s="107"/>
      <c r="Z412" s="107"/>
      <c r="AA412" s="178">
        <v>44078</v>
      </c>
      <c r="AB412" s="109">
        <f>_xlfn.DAYS(AA412,B412)</f>
        <v>42</v>
      </c>
      <c r="AC412" s="110"/>
      <c r="AD412" s="110"/>
      <c r="AE412" s="110"/>
      <c r="AF412" s="110"/>
      <c r="AG412" s="107">
        <f>COUNTIFS(F:F,"Culled",A:A,LEFT(A412,LEN(A412)-3)&amp;"*")/COUNTIF(A:A,LEFT(A412,LEN(A412)-3)&amp;"*")*100</f>
        <v>100</v>
      </c>
      <c r="AH412" s="107"/>
    </row>
    <row r="413" spans="1:35" ht="15.75" hidden="1" customHeight="1">
      <c r="A413" s="110" t="s">
        <v>686</v>
      </c>
      <c r="B413" s="229">
        <v>44036</v>
      </c>
      <c r="C413" s="110">
        <v>10000</v>
      </c>
      <c r="D413" s="110">
        <v>6.5</v>
      </c>
      <c r="E413" s="110"/>
      <c r="F413" s="107" t="s">
        <v>323</v>
      </c>
      <c r="G413" s="107"/>
      <c r="H413" s="107"/>
      <c r="I413" s="107"/>
      <c r="J413" s="107"/>
      <c r="K413" s="107"/>
      <c r="L413" s="107"/>
      <c r="M413" s="107"/>
      <c r="N413" s="107"/>
      <c r="O413" s="107"/>
      <c r="P413" s="107"/>
      <c r="Q413" s="107"/>
      <c r="R413" s="107"/>
      <c r="S413" s="107"/>
      <c r="T413" s="107"/>
      <c r="U413" s="107"/>
      <c r="V413" s="107"/>
      <c r="W413" s="107"/>
      <c r="X413" s="107"/>
      <c r="Y413" s="107"/>
      <c r="Z413" s="107"/>
      <c r="AA413" s="178">
        <v>44078</v>
      </c>
      <c r="AB413" s="109">
        <f>_xlfn.DAYS(AA413,B413)</f>
        <v>42</v>
      </c>
      <c r="AC413" s="110"/>
      <c r="AD413" s="110"/>
      <c r="AE413" s="110"/>
      <c r="AF413" s="110"/>
      <c r="AG413" s="107">
        <f>COUNTIFS(F:F,"Culled",A:A,LEFT(A413,LEN(A413)-3)&amp;"*")/COUNTIF(A:A,LEFT(A413,LEN(A413)-3)&amp;"*")*100</f>
        <v>100</v>
      </c>
      <c r="AH413" s="107"/>
    </row>
    <row r="414" spans="1:35" ht="15.75" hidden="1" customHeight="1">
      <c r="A414" s="110" t="s">
        <v>687</v>
      </c>
      <c r="B414" s="229">
        <v>44036</v>
      </c>
      <c r="C414" s="110">
        <v>10000</v>
      </c>
      <c r="D414" s="110">
        <v>5.5</v>
      </c>
      <c r="E414" s="110"/>
      <c r="F414" s="107" t="s">
        <v>323</v>
      </c>
      <c r="G414" s="107"/>
      <c r="H414" s="107"/>
      <c r="I414" s="107"/>
      <c r="J414" s="107"/>
      <c r="K414" s="107"/>
      <c r="L414" s="107"/>
      <c r="M414" s="107"/>
      <c r="N414" s="107"/>
      <c r="O414" s="107"/>
      <c r="P414" s="107"/>
      <c r="Q414" s="107"/>
      <c r="R414" s="107"/>
      <c r="S414" s="107"/>
      <c r="T414" s="107"/>
      <c r="U414" s="107"/>
      <c r="V414" s="107"/>
      <c r="W414" s="107"/>
      <c r="X414" s="107"/>
      <c r="Y414" s="107"/>
      <c r="Z414" s="107"/>
      <c r="AA414" s="178">
        <v>44078</v>
      </c>
      <c r="AB414" s="109">
        <f>_xlfn.DAYS(AA414,B414)</f>
        <v>42</v>
      </c>
      <c r="AC414" s="110"/>
      <c r="AD414" s="110"/>
      <c r="AE414" s="110"/>
      <c r="AF414" s="110"/>
      <c r="AG414" s="107">
        <f>COUNTIFS(F:F,"Culled",A:A,LEFT(A414,LEN(A414)-3)&amp;"*")/COUNTIF(A:A,LEFT(A414,LEN(A414)-3)&amp;"*")*100</f>
        <v>100</v>
      </c>
      <c r="AH414" s="107"/>
    </row>
    <row r="415" spans="1:35" ht="15.75" hidden="1" customHeight="1">
      <c r="A415" s="110" t="s">
        <v>688</v>
      </c>
      <c r="B415" s="229">
        <v>44036</v>
      </c>
      <c r="C415" s="110">
        <v>10000</v>
      </c>
      <c r="D415" s="110">
        <v>7</v>
      </c>
      <c r="E415" s="110"/>
      <c r="F415" s="107" t="s">
        <v>323</v>
      </c>
      <c r="G415" s="107"/>
      <c r="H415" s="107"/>
      <c r="I415" s="107"/>
      <c r="J415" s="107"/>
      <c r="K415" s="107"/>
      <c r="L415" s="107"/>
      <c r="M415" s="107"/>
      <c r="N415" s="107"/>
      <c r="O415" s="107"/>
      <c r="P415" s="107"/>
      <c r="Q415" s="107"/>
      <c r="R415" s="107"/>
      <c r="S415" s="107"/>
      <c r="T415" s="107"/>
      <c r="U415" s="107"/>
      <c r="V415" s="107"/>
      <c r="W415" s="107"/>
      <c r="X415" s="107"/>
      <c r="Y415" s="107"/>
      <c r="Z415" s="107"/>
      <c r="AA415" s="178">
        <v>44078</v>
      </c>
      <c r="AB415" s="109">
        <f>_xlfn.DAYS(AA415,B415)</f>
        <v>42</v>
      </c>
      <c r="AC415" s="110"/>
      <c r="AD415" s="110"/>
      <c r="AE415" s="110"/>
      <c r="AF415" s="110"/>
      <c r="AG415" s="107">
        <f>COUNTIFS(F:F,"Culled",A:A,LEFT(A415,LEN(A415)-3)&amp;"*")/COUNTIF(A:A,LEFT(A415,LEN(A415)-3)&amp;"*")*100</f>
        <v>100</v>
      </c>
      <c r="AH415" s="107"/>
    </row>
    <row r="416" spans="1:35" ht="15.75" hidden="1" customHeight="1">
      <c r="A416" s="110" t="s">
        <v>689</v>
      </c>
      <c r="B416" s="229">
        <v>44036</v>
      </c>
      <c r="C416" s="110">
        <v>10000</v>
      </c>
      <c r="D416" s="110">
        <v>7</v>
      </c>
      <c r="E416" s="110"/>
      <c r="F416" s="107" t="s">
        <v>323</v>
      </c>
      <c r="G416" s="107"/>
      <c r="H416" s="107"/>
      <c r="I416" s="107"/>
      <c r="J416" s="107"/>
      <c r="K416" s="107"/>
      <c r="L416" s="107"/>
      <c r="M416" s="107"/>
      <c r="N416" s="107"/>
      <c r="O416" s="107"/>
      <c r="P416" s="107"/>
      <c r="Q416" s="107"/>
      <c r="R416" s="107"/>
      <c r="S416" s="107"/>
      <c r="T416" s="107"/>
      <c r="U416" s="107"/>
      <c r="V416" s="107"/>
      <c r="W416" s="107"/>
      <c r="X416" s="107"/>
      <c r="Y416" s="107"/>
      <c r="Z416" s="107"/>
      <c r="AA416" s="178">
        <v>44078</v>
      </c>
      <c r="AB416" s="109">
        <f>_xlfn.DAYS(AA416,B416)</f>
        <v>42</v>
      </c>
      <c r="AC416" s="110"/>
      <c r="AD416" s="110"/>
      <c r="AE416" s="110"/>
      <c r="AF416" s="110"/>
      <c r="AG416" s="107">
        <f>COUNTIFS(F:F,"Culled",A:A,LEFT(A416,LEN(A416)-3)&amp;"*")/COUNTIF(A:A,LEFT(A416,LEN(A416)-3)&amp;"*")*100</f>
        <v>100</v>
      </c>
      <c r="AH416" s="107"/>
    </row>
    <row r="417" spans="1:34" ht="15.75" hidden="1" customHeight="1">
      <c r="A417" s="110" t="s">
        <v>690</v>
      </c>
      <c r="B417" s="229">
        <v>44036</v>
      </c>
      <c r="C417" s="110">
        <v>10000</v>
      </c>
      <c r="D417" s="110">
        <v>7</v>
      </c>
      <c r="E417" s="110"/>
      <c r="F417" s="107" t="s">
        <v>323</v>
      </c>
      <c r="G417" s="107"/>
      <c r="H417" s="107"/>
      <c r="I417" s="107"/>
      <c r="J417" s="107"/>
      <c r="K417" s="107"/>
      <c r="L417" s="107"/>
      <c r="M417" s="107"/>
      <c r="N417" s="107"/>
      <c r="O417" s="107"/>
      <c r="P417" s="107"/>
      <c r="Q417" s="107"/>
      <c r="R417" s="107"/>
      <c r="S417" s="107"/>
      <c r="T417" s="107"/>
      <c r="U417" s="107"/>
      <c r="V417" s="107"/>
      <c r="W417" s="107"/>
      <c r="X417" s="107"/>
      <c r="Y417" s="107"/>
      <c r="Z417" s="107"/>
      <c r="AA417" s="178">
        <v>44078</v>
      </c>
      <c r="AB417" s="109">
        <f>_xlfn.DAYS(AA417,B417)</f>
        <v>42</v>
      </c>
      <c r="AC417" s="110"/>
      <c r="AD417" s="110"/>
      <c r="AE417" s="110"/>
      <c r="AF417" s="110"/>
      <c r="AG417" s="107">
        <f>COUNTIFS(F:F,"Culled",A:A,LEFT(A417,LEN(A417)-3)&amp;"*")/COUNTIF(A:A,LEFT(A417,LEN(A417)-3)&amp;"*")*100</f>
        <v>100</v>
      </c>
      <c r="AH417" s="107"/>
    </row>
    <row r="418" spans="1:34" ht="15.75" hidden="1" customHeight="1">
      <c r="A418" s="110" t="s">
        <v>691</v>
      </c>
      <c r="B418" s="229">
        <v>44036</v>
      </c>
      <c r="C418" s="110">
        <v>10000</v>
      </c>
      <c r="D418" s="110">
        <v>7</v>
      </c>
      <c r="E418" s="110"/>
      <c r="F418" s="107" t="s">
        <v>323</v>
      </c>
      <c r="G418" s="107"/>
      <c r="H418" s="107"/>
      <c r="I418" s="107"/>
      <c r="J418" s="107"/>
      <c r="K418" s="107"/>
      <c r="L418" s="107"/>
      <c r="M418" s="107"/>
      <c r="N418" s="107"/>
      <c r="O418" s="107"/>
      <c r="P418" s="107"/>
      <c r="Q418" s="107"/>
      <c r="R418" s="107"/>
      <c r="S418" s="107"/>
      <c r="T418" s="107"/>
      <c r="U418" s="107"/>
      <c r="V418" s="107"/>
      <c r="W418" s="107"/>
      <c r="X418" s="107"/>
      <c r="Y418" s="107"/>
      <c r="Z418" s="107"/>
      <c r="AA418" s="178">
        <v>44078</v>
      </c>
      <c r="AB418" s="109">
        <f>_xlfn.DAYS(AA418,B418)</f>
        <v>42</v>
      </c>
      <c r="AC418" s="110"/>
      <c r="AD418" s="110"/>
      <c r="AE418" s="110"/>
      <c r="AF418" s="110"/>
      <c r="AG418" s="107">
        <f>COUNTIFS(F:F,"Culled",A:A,LEFT(A418,LEN(A418)-3)&amp;"*")/COUNTIF(A:A,LEFT(A418,LEN(A418)-3)&amp;"*")*100</f>
        <v>100</v>
      </c>
      <c r="AH418" s="107"/>
    </row>
    <row r="419" spans="1:34" ht="15.75" hidden="1" customHeight="1">
      <c r="A419" s="110" t="s">
        <v>692</v>
      </c>
      <c r="B419" s="229">
        <v>44036</v>
      </c>
      <c r="C419" s="110">
        <v>10000</v>
      </c>
      <c r="D419" s="110">
        <v>5</v>
      </c>
      <c r="E419" s="110"/>
      <c r="F419" s="107" t="s">
        <v>323</v>
      </c>
      <c r="G419" s="107"/>
      <c r="H419" s="107"/>
      <c r="I419" s="107"/>
      <c r="J419" s="107"/>
      <c r="K419" s="107"/>
      <c r="L419" s="107"/>
      <c r="M419" s="107"/>
      <c r="N419" s="107"/>
      <c r="O419" s="107"/>
      <c r="P419" s="107"/>
      <c r="Q419" s="107"/>
      <c r="R419" s="107"/>
      <c r="S419" s="107"/>
      <c r="T419" s="107"/>
      <c r="U419" s="107"/>
      <c r="V419" s="107"/>
      <c r="W419" s="107"/>
      <c r="X419" s="107"/>
      <c r="Y419" s="107"/>
      <c r="Z419" s="107"/>
      <c r="AA419" s="178">
        <v>44078</v>
      </c>
      <c r="AB419" s="109">
        <f>_xlfn.DAYS(AA419,B419)</f>
        <v>42</v>
      </c>
      <c r="AC419" s="110"/>
      <c r="AD419" s="110"/>
      <c r="AE419" s="110"/>
      <c r="AF419" s="110"/>
      <c r="AG419" s="107">
        <f>COUNTIFS(F:F,"Culled",A:A,LEFT(A419,LEN(A419)-3)&amp;"*")/COUNTIF(A:A,LEFT(A419,LEN(A419)-3)&amp;"*")*100</f>
        <v>100</v>
      </c>
      <c r="AH419" s="107"/>
    </row>
    <row r="420" spans="1:34" ht="15.75" hidden="1" customHeight="1">
      <c r="A420" s="110" t="s">
        <v>693</v>
      </c>
      <c r="B420" s="229">
        <v>44036</v>
      </c>
      <c r="C420" s="110">
        <v>10000</v>
      </c>
      <c r="D420" s="110">
        <v>7</v>
      </c>
      <c r="E420" s="110"/>
      <c r="F420" s="107" t="s">
        <v>323</v>
      </c>
      <c r="G420" s="107"/>
      <c r="H420" s="107"/>
      <c r="I420" s="107"/>
      <c r="J420" s="107"/>
      <c r="K420" s="107"/>
      <c r="L420" s="107"/>
      <c r="M420" s="107"/>
      <c r="N420" s="107"/>
      <c r="O420" s="107"/>
      <c r="P420" s="107"/>
      <c r="Q420" s="107"/>
      <c r="R420" s="107"/>
      <c r="S420" s="107"/>
      <c r="T420" s="107"/>
      <c r="U420" s="107"/>
      <c r="V420" s="107"/>
      <c r="W420" s="107"/>
      <c r="X420" s="107"/>
      <c r="Y420" s="107"/>
      <c r="Z420" s="107"/>
      <c r="AA420" s="178">
        <v>44078</v>
      </c>
      <c r="AB420" s="109">
        <f>_xlfn.DAYS(AA420,B420)</f>
        <v>42</v>
      </c>
      <c r="AC420" s="110"/>
      <c r="AD420" s="110"/>
      <c r="AE420" s="110"/>
      <c r="AF420" s="110"/>
      <c r="AG420" s="107">
        <f>COUNTIFS(F:F,"Culled",A:A,LEFT(A420,LEN(A420)-3)&amp;"*")/COUNTIF(A:A,LEFT(A420,LEN(A420)-3)&amp;"*")*100</f>
        <v>100</v>
      </c>
      <c r="AH420" s="107"/>
    </row>
    <row r="421" spans="1:34" ht="15.75" hidden="1" customHeight="1">
      <c r="A421" s="110" t="s">
        <v>694</v>
      </c>
      <c r="B421" s="229">
        <v>44036</v>
      </c>
      <c r="C421" s="110">
        <v>10000</v>
      </c>
      <c r="D421" s="110">
        <v>7.5</v>
      </c>
      <c r="E421" s="110"/>
      <c r="F421" s="107" t="s">
        <v>323</v>
      </c>
      <c r="G421" s="107"/>
      <c r="H421" s="107"/>
      <c r="I421" s="107"/>
      <c r="J421" s="107"/>
      <c r="K421" s="107"/>
      <c r="L421" s="107"/>
      <c r="M421" s="107"/>
      <c r="N421" s="107"/>
      <c r="O421" s="107"/>
      <c r="P421" s="107"/>
      <c r="Q421" s="107"/>
      <c r="R421" s="107"/>
      <c r="S421" s="107"/>
      <c r="T421" s="107"/>
      <c r="U421" s="107"/>
      <c r="V421" s="107"/>
      <c r="W421" s="107"/>
      <c r="X421" s="107"/>
      <c r="Y421" s="107"/>
      <c r="Z421" s="107"/>
      <c r="AA421" s="178">
        <v>44078</v>
      </c>
      <c r="AB421" s="109">
        <f>_xlfn.DAYS(AA421,B421)</f>
        <v>42</v>
      </c>
      <c r="AC421" s="110"/>
      <c r="AD421" s="110"/>
      <c r="AE421" s="110"/>
      <c r="AF421" s="110"/>
      <c r="AG421" s="107">
        <f>COUNTIFS(F:F,"Culled",A:A,LEFT(A421,LEN(A421)-3)&amp;"*")/COUNTIF(A:A,LEFT(A421,LEN(A421)-3)&amp;"*")*100</f>
        <v>100</v>
      </c>
      <c r="AH421" s="107"/>
    </row>
    <row r="422" spans="1:34" ht="15.75" hidden="1" customHeight="1">
      <c r="A422" s="110" t="s">
        <v>695</v>
      </c>
      <c r="B422" s="229">
        <v>44036</v>
      </c>
      <c r="C422" s="110">
        <v>10000</v>
      </c>
      <c r="D422" s="110">
        <v>4.5</v>
      </c>
      <c r="E422" s="110"/>
      <c r="F422" s="107" t="s">
        <v>323</v>
      </c>
      <c r="G422" s="107"/>
      <c r="H422" s="107"/>
      <c r="I422" s="107"/>
      <c r="J422" s="107"/>
      <c r="K422" s="107"/>
      <c r="L422" s="107"/>
      <c r="M422" s="107"/>
      <c r="N422" s="107"/>
      <c r="O422" s="107"/>
      <c r="P422" s="107"/>
      <c r="Q422" s="107"/>
      <c r="R422" s="107"/>
      <c r="S422" s="107"/>
      <c r="T422" s="107"/>
      <c r="U422" s="107"/>
      <c r="V422" s="107"/>
      <c r="W422" s="107"/>
      <c r="X422" s="107"/>
      <c r="Y422" s="107"/>
      <c r="Z422" s="107"/>
      <c r="AA422" s="178">
        <v>44078</v>
      </c>
      <c r="AB422" s="109">
        <f>_xlfn.DAYS(AA422,B422)</f>
        <v>42</v>
      </c>
      <c r="AC422" s="110"/>
      <c r="AD422" s="110"/>
      <c r="AE422" s="110"/>
      <c r="AF422" s="110"/>
      <c r="AG422" s="107">
        <f>COUNTIFS(F:F,"Culled",A:A,LEFT(A422,LEN(A422)-3)&amp;"*")/COUNTIF(A:A,LEFT(A422,LEN(A422)-3)&amp;"*")*100</f>
        <v>100</v>
      </c>
      <c r="AH422" s="107"/>
    </row>
    <row r="423" spans="1:34" ht="15.75" hidden="1" customHeight="1">
      <c r="A423" s="107" t="s">
        <v>696</v>
      </c>
      <c r="B423" s="226">
        <v>44064</v>
      </c>
      <c r="C423" s="231">
        <v>14363.708186302807</v>
      </c>
      <c r="D423" s="107">
        <f>COUNTA(G423:Z423)*0.5</f>
        <v>6.5</v>
      </c>
      <c r="F423" s="107" t="s">
        <v>323</v>
      </c>
      <c r="G423" s="178">
        <v>44064</v>
      </c>
      <c r="H423" s="178">
        <v>44064</v>
      </c>
      <c r="I423" s="178">
        <v>44067</v>
      </c>
      <c r="J423" s="178">
        <v>44069</v>
      </c>
      <c r="K423" s="178">
        <v>44069</v>
      </c>
      <c r="L423" s="178">
        <v>44071</v>
      </c>
      <c r="M423" s="178">
        <v>44071</v>
      </c>
      <c r="N423" s="178">
        <v>44074</v>
      </c>
      <c r="O423" s="178">
        <v>44076</v>
      </c>
      <c r="P423" s="178">
        <v>44078</v>
      </c>
      <c r="Q423" s="178">
        <v>44081</v>
      </c>
      <c r="R423" s="178">
        <v>44083</v>
      </c>
      <c r="S423" s="178">
        <v>44088</v>
      </c>
      <c r="AA423" s="166">
        <v>44095</v>
      </c>
      <c r="AB423" s="109">
        <f>_xlfn.DAYS(AA423,B423)</f>
        <v>31</v>
      </c>
      <c r="AG423" s="107">
        <f>COUNTIFS(F:F,"Culled",A:A,LEFT(A423,LEN(A423)-3)&amp;"*")/COUNTIF(A:A,LEFT(A423,LEN(A423)-3)&amp;"*")*100</f>
        <v>16.666666666666664</v>
      </c>
      <c r="AH423" s="107"/>
    </row>
    <row r="424" spans="1:34" ht="15.75" hidden="1" customHeight="1">
      <c r="A424" s="107" t="s">
        <v>697</v>
      </c>
      <c r="B424" s="226">
        <v>44061</v>
      </c>
      <c r="C424" s="230">
        <v>10000</v>
      </c>
      <c r="D424" s="107">
        <f>COUNTA(G424:Z424)*0.5</f>
        <v>6.5</v>
      </c>
      <c r="F424" s="107" t="s">
        <v>323</v>
      </c>
      <c r="G424" s="178">
        <v>44061</v>
      </c>
      <c r="H424" s="178">
        <v>44061</v>
      </c>
      <c r="I424" s="178">
        <v>44064</v>
      </c>
      <c r="J424" s="178">
        <v>44064</v>
      </c>
      <c r="K424" s="178">
        <v>44064</v>
      </c>
      <c r="L424" s="178">
        <v>44067</v>
      </c>
      <c r="M424" s="178">
        <v>44069</v>
      </c>
      <c r="N424" s="178">
        <v>44069</v>
      </c>
      <c r="O424" s="178">
        <v>44071</v>
      </c>
      <c r="P424" s="178">
        <v>44071</v>
      </c>
      <c r="Q424" s="178">
        <v>44076</v>
      </c>
      <c r="R424" s="178">
        <v>44078</v>
      </c>
      <c r="S424" s="178">
        <v>44081</v>
      </c>
      <c r="AA424" s="166">
        <v>44095</v>
      </c>
      <c r="AB424" s="109">
        <f>_xlfn.DAYS(AA424,B424)</f>
        <v>34</v>
      </c>
      <c r="AG424" s="107">
        <f>COUNTIFS(F:F,"Culled",A:A,LEFT(A424,LEN(A424)-3)&amp;"*")/COUNTIF(A:A,LEFT(A424,LEN(A424)-3)&amp;"*")*100</f>
        <v>50</v>
      </c>
      <c r="AH424" s="107"/>
    </row>
    <row r="425" spans="1:34" ht="15.75" hidden="1" customHeight="1">
      <c r="A425" s="107" t="s">
        <v>698</v>
      </c>
      <c r="B425" s="226">
        <v>44064</v>
      </c>
      <c r="C425" s="230">
        <v>14978</v>
      </c>
      <c r="D425" s="107">
        <f>COUNTA(G425:Z425)*0.5</f>
        <v>5.5</v>
      </c>
      <c r="F425" s="107" t="s">
        <v>323</v>
      </c>
      <c r="G425" s="178">
        <v>44064</v>
      </c>
      <c r="H425" s="178">
        <v>44064</v>
      </c>
      <c r="I425" s="178">
        <v>44110</v>
      </c>
      <c r="J425" s="178">
        <v>44113</v>
      </c>
      <c r="K425" s="178">
        <v>44069</v>
      </c>
      <c r="L425" s="178">
        <v>44071</v>
      </c>
      <c r="M425" s="178">
        <v>44071</v>
      </c>
      <c r="N425" s="178">
        <v>44074</v>
      </c>
      <c r="O425" s="178">
        <v>44076</v>
      </c>
      <c r="P425" s="178">
        <v>44078</v>
      </c>
      <c r="Q425" s="178">
        <v>44081</v>
      </c>
      <c r="AA425" s="166">
        <v>44095</v>
      </c>
      <c r="AB425" s="109">
        <f>_xlfn.DAYS(AA425,B425)</f>
        <v>31</v>
      </c>
      <c r="AG425" s="107">
        <f>COUNTIFS(F:F,"Culled",A:A,LEFT(A425,LEN(A425)-3)&amp;"*")/COUNTIF(A:A,LEFT(A425,LEN(A425)-3)&amp;"*")*100</f>
        <v>33.333333333333329</v>
      </c>
      <c r="AH425" s="107"/>
    </row>
    <row r="426" spans="1:34" ht="15.75" hidden="1" customHeight="1">
      <c r="A426" s="107" t="s">
        <v>699</v>
      </c>
      <c r="B426" s="226">
        <v>44070</v>
      </c>
      <c r="C426" s="230">
        <v>11197</v>
      </c>
      <c r="D426" s="107">
        <f>COUNTA(G426:Z426)*0.5</f>
        <v>5</v>
      </c>
      <c r="F426" s="107" t="s">
        <v>323</v>
      </c>
      <c r="G426" s="178">
        <v>44110</v>
      </c>
      <c r="H426" s="178">
        <v>44110</v>
      </c>
      <c r="I426" s="178">
        <v>44074</v>
      </c>
      <c r="J426" s="178">
        <v>44074</v>
      </c>
      <c r="K426" s="178">
        <v>44076</v>
      </c>
      <c r="L426" s="178">
        <v>44078</v>
      </c>
      <c r="M426" s="178">
        <v>44081</v>
      </c>
      <c r="N426" s="178">
        <v>44083</v>
      </c>
      <c r="O426" s="178">
        <v>44085</v>
      </c>
      <c r="P426" s="178">
        <v>44090</v>
      </c>
      <c r="AA426" s="166">
        <v>44095</v>
      </c>
      <c r="AB426" s="109">
        <f>_xlfn.DAYS(AA426,B426)</f>
        <v>25</v>
      </c>
      <c r="AG426" s="107">
        <f>COUNTIFS(F:F,"Culled",A:A,LEFT(A426,LEN(A426)-3)&amp;"*")/COUNTIF(A:A,LEFT(A426,LEN(A426)-3)&amp;"*")*100</f>
        <v>42.857142857142854</v>
      </c>
      <c r="AH426" s="107"/>
    </row>
    <row r="427" spans="1:34" ht="15.75" hidden="1" customHeight="1">
      <c r="A427" s="107" t="s">
        <v>700</v>
      </c>
      <c r="B427" s="226">
        <v>44070</v>
      </c>
      <c r="C427" s="230">
        <v>11197</v>
      </c>
      <c r="D427" s="107">
        <f>COUNTA(G427:Z427)*0.5</f>
        <v>5.5</v>
      </c>
      <c r="F427" s="107" t="s">
        <v>323</v>
      </c>
      <c r="G427" s="178">
        <v>44110</v>
      </c>
      <c r="H427" s="178">
        <v>44110</v>
      </c>
      <c r="I427" s="178">
        <v>44074</v>
      </c>
      <c r="J427" s="178">
        <v>44074</v>
      </c>
      <c r="K427" s="178">
        <v>44076</v>
      </c>
      <c r="L427" s="178">
        <v>44078</v>
      </c>
      <c r="M427" s="178">
        <v>44081</v>
      </c>
      <c r="N427" s="178">
        <v>44083</v>
      </c>
      <c r="O427" s="178">
        <v>44085</v>
      </c>
      <c r="P427" s="178">
        <v>44088</v>
      </c>
      <c r="Q427" s="178">
        <v>44090</v>
      </c>
      <c r="AA427" s="166">
        <v>44095</v>
      </c>
      <c r="AB427" s="109">
        <f>_xlfn.DAYS(AA427,B427)</f>
        <v>25</v>
      </c>
      <c r="AG427" s="107">
        <f>COUNTIFS(F:F,"Culled",A:A,LEFT(A427,LEN(A427)-3)&amp;"*")/COUNTIF(A:A,LEFT(A427,LEN(A427)-3)&amp;"*")*100</f>
        <v>42.857142857142854</v>
      </c>
      <c r="AH427" s="107"/>
    </row>
    <row r="428" spans="1:34" ht="15.75" hidden="1" customHeight="1">
      <c r="A428" s="107" t="s">
        <v>701</v>
      </c>
      <c r="B428" s="226" t="s">
        <v>702</v>
      </c>
      <c r="C428" s="230">
        <v>10952.297626096499</v>
      </c>
      <c r="D428" s="107">
        <f>COUNTA(G428:Z428)*0.5</f>
        <v>1.5</v>
      </c>
      <c r="F428" s="107" t="s">
        <v>323</v>
      </c>
      <c r="G428" s="178">
        <v>44104</v>
      </c>
      <c r="H428" s="178">
        <v>44104</v>
      </c>
      <c r="I428" s="178">
        <v>44109</v>
      </c>
      <c r="AA428" s="166">
        <v>44106</v>
      </c>
      <c r="AG428" s="107">
        <f>COUNTIFS(F:F,"Culled",A:A,LEFT(A428,LEN(A428)-3)&amp;"*")/COUNTIF(A:A,LEFT(A428,LEN(A428)-3)&amp;"*")*100</f>
        <v>100</v>
      </c>
      <c r="AH428" s="107"/>
    </row>
    <row r="429" spans="1:34" ht="15.75" hidden="1" customHeight="1">
      <c r="A429" s="107" t="s">
        <v>703</v>
      </c>
      <c r="B429" s="226" t="s">
        <v>702</v>
      </c>
      <c r="C429" s="230">
        <v>10952.297626096499</v>
      </c>
      <c r="D429" s="107">
        <f>COUNTA(G429:Z429)*0.5</f>
        <v>1.5</v>
      </c>
      <c r="F429" s="107" t="s">
        <v>323</v>
      </c>
      <c r="G429" s="178">
        <v>44104</v>
      </c>
      <c r="H429" s="178">
        <v>44104</v>
      </c>
      <c r="I429" s="178">
        <v>44109</v>
      </c>
      <c r="AA429" s="166">
        <v>44106</v>
      </c>
      <c r="AG429" s="107">
        <f>COUNTIFS(F:F,"Culled",A:A,LEFT(A429,LEN(A429)-3)&amp;"*")/COUNTIF(A:A,LEFT(A429,LEN(A429)-3)&amp;"*")*100</f>
        <v>100</v>
      </c>
      <c r="AH429" s="107"/>
    </row>
    <row r="430" spans="1:34" ht="15.75" hidden="1" customHeight="1">
      <c r="A430" s="107" t="s">
        <v>704</v>
      </c>
      <c r="B430" s="226" t="s">
        <v>702</v>
      </c>
      <c r="C430" s="230">
        <v>10952.297626096499</v>
      </c>
      <c r="D430" s="107">
        <f>COUNTA(G430:Z430)*0.5</f>
        <v>1.5</v>
      </c>
      <c r="F430" s="107" t="s">
        <v>323</v>
      </c>
      <c r="G430" s="178">
        <v>44104</v>
      </c>
      <c r="H430" s="178">
        <v>44104</v>
      </c>
      <c r="I430" s="178">
        <v>44109</v>
      </c>
      <c r="AA430" s="166">
        <v>44106</v>
      </c>
      <c r="AG430" s="107">
        <f>COUNTIFS(F:F,"Culled",A:A,LEFT(A430,LEN(A430)-3)&amp;"*")/COUNTIF(A:A,LEFT(A430,LEN(A430)-3)&amp;"*")*100</f>
        <v>100</v>
      </c>
      <c r="AH430" s="107"/>
    </row>
    <row r="431" spans="1:34" ht="15.75" hidden="1" customHeight="1">
      <c r="A431" s="107" t="s">
        <v>705</v>
      </c>
      <c r="B431" s="226">
        <v>44106</v>
      </c>
      <c r="C431" s="111">
        <v>10123.299999999999</v>
      </c>
      <c r="D431" s="107">
        <f>COUNTA(G431:Z431)*0.5</f>
        <v>1.5</v>
      </c>
      <c r="F431" s="107" t="s">
        <v>323</v>
      </c>
      <c r="G431" s="178">
        <v>44106</v>
      </c>
      <c r="H431" s="178">
        <v>44106</v>
      </c>
      <c r="I431" s="178">
        <v>44109</v>
      </c>
      <c r="AA431" s="166">
        <v>44113</v>
      </c>
      <c r="AH431" s="107"/>
    </row>
    <row r="432" spans="1:34" ht="15.75" hidden="1" customHeight="1">
      <c r="A432" s="107" t="s">
        <v>706</v>
      </c>
      <c r="B432" s="226">
        <v>44083</v>
      </c>
      <c r="C432" s="237">
        <v>10718.653228975038</v>
      </c>
      <c r="D432" s="107">
        <f>COUNTA(G432:Z432)*0.5</f>
        <v>4</v>
      </c>
      <c r="F432" s="107" t="s">
        <v>323</v>
      </c>
      <c r="G432" s="178">
        <v>44083</v>
      </c>
      <c r="H432" s="178">
        <v>44083</v>
      </c>
      <c r="I432" s="178">
        <v>44088</v>
      </c>
      <c r="J432" s="178">
        <v>44090</v>
      </c>
      <c r="K432" s="178" t="s">
        <v>375</v>
      </c>
      <c r="L432" s="178" t="s">
        <v>376</v>
      </c>
      <c r="M432" s="178">
        <v>44099</v>
      </c>
      <c r="N432" s="178">
        <v>44102</v>
      </c>
      <c r="AA432" s="166">
        <v>44113</v>
      </c>
      <c r="AG432" s="107">
        <f>COUNTIFS(F:F,"Culled",A:A,LEFT(A432,LEN(A432)-3)&amp;"*")/COUNTIF(A:A,LEFT(A432,LEN(A432)-3)&amp;"*")*100</f>
        <v>33.333333333333329</v>
      </c>
      <c r="AH432" s="107"/>
    </row>
    <row r="433" spans="1:35" ht="15.75" hidden="1" customHeight="1">
      <c r="A433" s="107" t="s">
        <v>707</v>
      </c>
      <c r="B433" s="226" t="s">
        <v>708</v>
      </c>
      <c r="C433" s="230">
        <f>81772/8</f>
        <v>10221.5</v>
      </c>
      <c r="D433" s="107">
        <f>COUNTA(G433:Z433)*0.5</f>
        <v>4.5</v>
      </c>
      <c r="F433" s="107" t="s">
        <v>323</v>
      </c>
      <c r="G433" s="178">
        <v>44088</v>
      </c>
      <c r="H433" s="178">
        <v>44088</v>
      </c>
      <c r="I433" s="178" t="s">
        <v>375</v>
      </c>
      <c r="J433" s="178" t="s">
        <v>376</v>
      </c>
      <c r="K433" s="178">
        <v>44099</v>
      </c>
      <c r="L433" s="178">
        <v>44102</v>
      </c>
      <c r="M433" s="178">
        <v>44106</v>
      </c>
      <c r="N433" s="178">
        <v>44109</v>
      </c>
      <c r="O433" s="178">
        <v>44110</v>
      </c>
      <c r="AA433" s="166">
        <v>44113</v>
      </c>
      <c r="AG433" s="107">
        <f>COUNTIFS(F:F,"Culled",A:A,LEFT(A433,LEN(A433)-3)&amp;"*")/COUNTIF(A:A,LEFT(A433,LEN(A433)-3)&amp;"*")*100</f>
        <v>37.5</v>
      </c>
      <c r="AH433" s="107"/>
    </row>
    <row r="434" spans="1:35" ht="15.75" hidden="1" customHeight="1">
      <c r="A434" s="107" t="s">
        <v>709</v>
      </c>
      <c r="B434" s="226" t="s">
        <v>710</v>
      </c>
      <c r="C434" s="230">
        <v>12229.75</v>
      </c>
      <c r="D434" s="107">
        <f>COUNTA(G434:Z434)*0.5</f>
        <v>4</v>
      </c>
      <c r="F434" s="107" t="s">
        <v>323</v>
      </c>
      <c r="G434" s="178">
        <v>44091</v>
      </c>
      <c r="H434" s="178">
        <v>44091</v>
      </c>
      <c r="I434" s="178" t="s">
        <v>376</v>
      </c>
      <c r="J434" s="178">
        <v>44099</v>
      </c>
      <c r="K434" s="178">
        <v>44102</v>
      </c>
      <c r="L434" s="178">
        <v>44104</v>
      </c>
      <c r="M434" s="178">
        <v>44106</v>
      </c>
      <c r="N434" s="178">
        <v>44109</v>
      </c>
      <c r="AA434" s="166">
        <v>44113</v>
      </c>
      <c r="AG434" s="107">
        <f>COUNTIFS(F:F,"Culled",A:A,LEFT(A434,LEN(A434)-3)&amp;"*")/COUNTIF(A:A,LEFT(A434,LEN(A434)-3)&amp;"*")*100</f>
        <v>66.666666666666657</v>
      </c>
      <c r="AH434" s="107"/>
    </row>
    <row r="435" spans="1:35" ht="15.75" hidden="1" customHeight="1">
      <c r="A435" s="107" t="s">
        <v>711</v>
      </c>
      <c r="B435" s="226">
        <v>44085</v>
      </c>
      <c r="C435" s="231">
        <v>10550.360403930443</v>
      </c>
      <c r="D435" s="107">
        <f>COUNTA(G435:Z435)*0.5</f>
        <v>4</v>
      </c>
      <c r="F435" s="107" t="s">
        <v>323</v>
      </c>
      <c r="G435" s="178">
        <v>44085</v>
      </c>
      <c r="H435" s="178">
        <v>44085</v>
      </c>
      <c r="I435" s="178">
        <v>44088</v>
      </c>
      <c r="J435" s="178">
        <v>44090</v>
      </c>
      <c r="K435" s="178" t="s">
        <v>375</v>
      </c>
      <c r="L435" s="178" t="s">
        <v>376</v>
      </c>
      <c r="M435" s="178">
        <v>44099</v>
      </c>
      <c r="N435" s="178">
        <v>44102</v>
      </c>
      <c r="AA435" s="178">
        <v>44113</v>
      </c>
      <c r="AG435" s="107">
        <f>COUNTIFS(F:F,"Culled",A:A,LEFT(A435,LEN(A435)-3)&amp;"*")/COUNTIF(A:A,LEFT(A435,LEN(A435)-3)&amp;"*")*100</f>
        <v>11.111111111111111</v>
      </c>
      <c r="AH435" s="107"/>
    </row>
    <row r="436" spans="1:35" ht="15.75" hidden="1" customHeight="1">
      <c r="A436" s="107" t="s">
        <v>712</v>
      </c>
      <c r="B436" s="226" t="s">
        <v>713</v>
      </c>
      <c r="C436" s="230">
        <v>11338</v>
      </c>
      <c r="D436" s="107">
        <f>COUNTA(G436:Z436)*0.5</f>
        <v>3.5</v>
      </c>
      <c r="F436" s="107" t="s">
        <v>323</v>
      </c>
      <c r="G436" s="178" t="s">
        <v>714</v>
      </c>
      <c r="H436" s="178" t="s">
        <v>714</v>
      </c>
      <c r="I436" s="178">
        <v>44099</v>
      </c>
      <c r="J436" s="178">
        <v>44102</v>
      </c>
      <c r="K436" s="178">
        <v>44104</v>
      </c>
      <c r="L436" s="178">
        <v>44110</v>
      </c>
      <c r="M436" s="178">
        <v>44113</v>
      </c>
      <c r="AA436" s="166">
        <v>44118</v>
      </c>
      <c r="AG436" s="107">
        <f>COUNTIFS(F:F,"Culled",A:A,LEFT(A436,LEN(A436)-3)&amp;"*")/COUNTIF(A:A,LEFT(A436,LEN(A436)-3)&amp;"*")*100</f>
        <v>15.384615384615385</v>
      </c>
      <c r="AH436" s="107"/>
    </row>
    <row r="437" spans="1:35" ht="15.75" hidden="1" customHeight="1">
      <c r="A437" s="107" t="s">
        <v>715</v>
      </c>
      <c r="B437" s="226" t="s">
        <v>713</v>
      </c>
      <c r="C437" s="230">
        <v>11338</v>
      </c>
      <c r="D437" s="107">
        <f>COUNTA(G437:Z437)*0.5</f>
        <v>4</v>
      </c>
      <c r="F437" s="107" t="s">
        <v>323</v>
      </c>
      <c r="G437" s="178" t="s">
        <v>714</v>
      </c>
      <c r="H437" s="178" t="s">
        <v>714</v>
      </c>
      <c r="I437" s="178">
        <v>44099</v>
      </c>
      <c r="J437" s="178">
        <v>44102</v>
      </c>
      <c r="K437" s="178">
        <v>44104</v>
      </c>
      <c r="L437" s="178">
        <v>44110</v>
      </c>
      <c r="M437" s="178">
        <v>44113</v>
      </c>
      <c r="N437" s="178">
        <v>44116</v>
      </c>
      <c r="AA437" s="166">
        <v>44118</v>
      </c>
      <c r="AG437" s="107">
        <f>COUNTIFS(F:F,"Culled",A:A,LEFT(A437,LEN(A437)-3)&amp;"*")/COUNTIF(A:A,LEFT(A437,LEN(A437)-3)&amp;"*")*100</f>
        <v>15.384615384615385</v>
      </c>
      <c r="AH437" s="107"/>
    </row>
    <row r="438" spans="1:35" ht="15.75" hidden="1" customHeight="1">
      <c r="A438" s="107" t="s">
        <v>716</v>
      </c>
      <c r="B438" s="226">
        <v>44110</v>
      </c>
      <c r="C438" s="230">
        <v>10344</v>
      </c>
      <c r="D438" s="107">
        <f>COUNTA(G438:Z438)*0.5</f>
        <v>1.5</v>
      </c>
      <c r="F438" s="107" t="s">
        <v>323</v>
      </c>
      <c r="G438" s="178">
        <v>44110</v>
      </c>
      <c r="H438" s="178">
        <v>44110</v>
      </c>
      <c r="I438" s="178">
        <v>44116</v>
      </c>
      <c r="AA438" s="166">
        <v>44119</v>
      </c>
      <c r="AH438" s="107"/>
    </row>
    <row r="439" spans="1:35" ht="15.75" hidden="1" customHeight="1">
      <c r="A439" s="107" t="s">
        <v>717</v>
      </c>
      <c r="B439" s="226">
        <v>44110</v>
      </c>
      <c r="C439" s="230">
        <v>10344</v>
      </c>
      <c r="D439" s="107">
        <f>COUNTA(G439:Z439)*0.5</f>
        <v>1.5</v>
      </c>
      <c r="F439" s="107" t="s">
        <v>323</v>
      </c>
      <c r="G439" s="178">
        <v>44110</v>
      </c>
      <c r="H439" s="178">
        <v>44110</v>
      </c>
      <c r="I439" s="178">
        <v>44116</v>
      </c>
      <c r="AA439" s="166">
        <v>44119</v>
      </c>
      <c r="AH439" s="107"/>
    </row>
    <row r="440" spans="1:35" ht="15.75" hidden="1" customHeight="1">
      <c r="A440" s="107" t="s">
        <v>718</v>
      </c>
      <c r="B440" s="226">
        <v>44110</v>
      </c>
      <c r="C440" s="230">
        <v>10344</v>
      </c>
      <c r="D440" s="107">
        <f>COUNTA(G440:Z440)*0.5</f>
        <v>1.5</v>
      </c>
      <c r="F440" s="107" t="s">
        <v>323</v>
      </c>
      <c r="G440" s="178">
        <v>44110</v>
      </c>
      <c r="H440" s="178">
        <v>44110</v>
      </c>
      <c r="I440" s="178">
        <v>44116</v>
      </c>
      <c r="AA440" s="166">
        <v>44119</v>
      </c>
      <c r="AH440" s="107"/>
    </row>
    <row r="441" spans="1:35" ht="15.75" hidden="1" customHeight="1">
      <c r="A441" s="107" t="s">
        <v>719</v>
      </c>
      <c r="B441" s="226">
        <v>44110</v>
      </c>
      <c r="C441" s="230">
        <v>10344</v>
      </c>
      <c r="D441" s="107">
        <f>COUNTA(G441:Z441)*0.5</f>
        <v>1.5</v>
      </c>
      <c r="F441" s="107" t="s">
        <v>323</v>
      </c>
      <c r="G441" s="178">
        <v>44110</v>
      </c>
      <c r="H441" s="178">
        <v>44110</v>
      </c>
      <c r="I441" s="178">
        <v>44116</v>
      </c>
      <c r="AA441" s="166">
        <v>44119</v>
      </c>
      <c r="AH441" s="107"/>
    </row>
    <row r="442" spans="1:35" ht="15.75" hidden="1" customHeight="1">
      <c r="A442" s="107" t="s">
        <v>720</v>
      </c>
      <c r="B442" s="226">
        <v>44110</v>
      </c>
      <c r="C442" s="230">
        <v>10344</v>
      </c>
      <c r="D442" s="107">
        <f>COUNTA(G442:Z442)*0.5</f>
        <v>1.5</v>
      </c>
      <c r="F442" s="107" t="s">
        <v>323</v>
      </c>
      <c r="G442" s="178">
        <v>44110</v>
      </c>
      <c r="H442" s="178">
        <v>44110</v>
      </c>
      <c r="I442" s="178">
        <v>44116</v>
      </c>
      <c r="AA442" s="166">
        <v>44119</v>
      </c>
      <c r="AH442" s="107"/>
    </row>
    <row r="443" spans="1:35" ht="15.75" hidden="1" customHeight="1">
      <c r="A443" s="107" t="s">
        <v>721</v>
      </c>
      <c r="B443" s="226">
        <v>44110</v>
      </c>
      <c r="C443" s="230">
        <v>10344</v>
      </c>
      <c r="D443" s="107">
        <f>COUNTA(G443:Z443)*0.5</f>
        <v>1.5</v>
      </c>
      <c r="F443" s="107" t="s">
        <v>323</v>
      </c>
      <c r="G443" s="178">
        <v>44110</v>
      </c>
      <c r="H443" s="178">
        <v>44110</v>
      </c>
      <c r="I443" s="178">
        <v>44116</v>
      </c>
      <c r="AA443" s="166">
        <v>44119</v>
      </c>
      <c r="AH443" s="107"/>
    </row>
    <row r="444" spans="1:35" ht="15.75" hidden="1" customHeight="1">
      <c r="A444" s="107" t="s">
        <v>722</v>
      </c>
      <c r="B444" s="226">
        <v>44110</v>
      </c>
      <c r="C444" s="230">
        <v>10344</v>
      </c>
      <c r="D444" s="107">
        <f>COUNTA(G444:Z444)*0.5</f>
        <v>1.5</v>
      </c>
      <c r="F444" s="107" t="s">
        <v>323</v>
      </c>
      <c r="G444" s="178">
        <v>44110</v>
      </c>
      <c r="H444" s="178">
        <v>44110</v>
      </c>
      <c r="I444" s="178">
        <v>44116</v>
      </c>
      <c r="AA444" s="166">
        <v>44119</v>
      </c>
      <c r="AH444" s="107"/>
    </row>
    <row r="445" spans="1:35" ht="15.75" hidden="1" customHeight="1">
      <c r="A445" s="107" t="s">
        <v>723</v>
      </c>
      <c r="B445" s="226">
        <v>44047</v>
      </c>
      <c r="C445" s="224">
        <v>10000</v>
      </c>
      <c r="D445" s="107">
        <f>COUNTA(G445:Z445)*0.5</f>
        <v>8.5</v>
      </c>
      <c r="F445" s="107" t="s">
        <v>263</v>
      </c>
      <c r="G445" s="225">
        <v>44047</v>
      </c>
      <c r="H445" s="225">
        <v>44047</v>
      </c>
      <c r="I445" s="225">
        <v>44047</v>
      </c>
      <c r="J445" s="225">
        <v>44048</v>
      </c>
      <c r="K445" s="225">
        <v>44055</v>
      </c>
      <c r="L445" s="225">
        <v>44056</v>
      </c>
      <c r="M445" s="225">
        <v>44057</v>
      </c>
      <c r="N445" s="225">
        <v>44061</v>
      </c>
      <c r="O445" s="225">
        <v>44061</v>
      </c>
      <c r="P445" s="225">
        <v>44064</v>
      </c>
      <c r="Q445" s="225">
        <v>44064</v>
      </c>
      <c r="R445" s="225">
        <v>44064</v>
      </c>
      <c r="S445" s="225">
        <v>44067</v>
      </c>
      <c r="T445" s="225">
        <v>44069</v>
      </c>
      <c r="U445" s="225">
        <v>44069</v>
      </c>
      <c r="V445" s="225">
        <v>44071</v>
      </c>
      <c r="W445" s="225">
        <v>44071</v>
      </c>
      <c r="X445" s="225"/>
      <c r="Y445" s="225"/>
      <c r="AB445" s="109">
        <f>_xlfn.DAYS(AA445,B445)</f>
        <v>-44047</v>
      </c>
      <c r="AG445" s="107">
        <f>COUNTIFS(F:F,"Culled",A:A,LEFT(A445,LEN(A445)-3)&amp;"*")/COUNTIF(A:A,LEFT(A445,LEN(A445)-3)&amp;"*")*100</f>
        <v>0</v>
      </c>
      <c r="AH445" s="108">
        <f>(AD445-AF445)/(D445*$K$1*2)%</f>
        <v>0</v>
      </c>
      <c r="AI445" s="108">
        <f>(AE445+AF445)/(D445*$K$1*2)%</f>
        <v>0</v>
      </c>
    </row>
    <row r="446" spans="1:35" ht="15.75" hidden="1" customHeight="1">
      <c r="A446" s="107" t="s">
        <v>724</v>
      </c>
      <c r="B446" s="226">
        <v>44047</v>
      </c>
      <c r="C446" s="224">
        <v>10000</v>
      </c>
      <c r="D446" s="107">
        <f>COUNTA(G446:Z446)*0.5</f>
        <v>8.5</v>
      </c>
      <c r="F446" s="107" t="s">
        <v>263</v>
      </c>
      <c r="G446" s="225">
        <v>44047</v>
      </c>
      <c r="H446" s="225">
        <v>44047</v>
      </c>
      <c r="I446" s="225">
        <v>44047</v>
      </c>
      <c r="J446" s="225">
        <v>44048</v>
      </c>
      <c r="K446" s="225">
        <v>44055</v>
      </c>
      <c r="L446" s="225">
        <v>44056</v>
      </c>
      <c r="M446" s="225">
        <v>44057</v>
      </c>
      <c r="N446" s="225">
        <v>44061</v>
      </c>
      <c r="O446" s="225">
        <v>44061</v>
      </c>
      <c r="P446" s="225">
        <v>44064</v>
      </c>
      <c r="Q446" s="225">
        <v>44064</v>
      </c>
      <c r="R446" s="225">
        <v>44064</v>
      </c>
      <c r="S446" s="225">
        <v>44067</v>
      </c>
      <c r="T446" s="225">
        <v>44069</v>
      </c>
      <c r="U446" s="225">
        <v>44069</v>
      </c>
      <c r="V446" s="225">
        <v>44071</v>
      </c>
      <c r="W446" s="225">
        <v>44071</v>
      </c>
      <c r="X446" s="225"/>
      <c r="Y446" s="225"/>
      <c r="AB446" s="109">
        <f>_xlfn.DAYS(AA446,B446)</f>
        <v>-44047</v>
      </c>
      <c r="AC446" s="107">
        <f>(13/25+11/31)/2%</f>
        <v>43.741935483870968</v>
      </c>
      <c r="AD446" s="107">
        <v>1142</v>
      </c>
      <c r="AE446" s="107">
        <v>307</v>
      </c>
      <c r="AF446" s="107">
        <v>59</v>
      </c>
      <c r="AG446" s="107">
        <f>COUNTIFS(F:F,"Culled",A:A,LEFT(A446,LEN(A446)-3)&amp;"*")/COUNTIF(A:A,LEFT(A446,LEN(A446)-3)&amp;"*")*100</f>
        <v>0</v>
      </c>
      <c r="AH446" s="108">
        <f>(AD446-AF446)/(D446*$K$1*2)%</f>
        <v>11.582887700534759</v>
      </c>
      <c r="AI446" s="108">
        <f>(AE446+AF446)/(D446*$K$1*2)%</f>
        <v>3.9144385026737969</v>
      </c>
    </row>
    <row r="447" spans="1:35" ht="15.75" hidden="1" customHeight="1">
      <c r="A447" s="10" t="s">
        <v>725</v>
      </c>
      <c r="B447" s="229">
        <v>43987</v>
      </c>
      <c r="C447" s="10">
        <v>10000</v>
      </c>
      <c r="D447" s="10">
        <v>8.5</v>
      </c>
      <c r="E447" s="10"/>
      <c r="F447" s="107" t="s">
        <v>263</v>
      </c>
      <c r="G447" s="107"/>
      <c r="H447" s="107"/>
      <c r="I447" s="107"/>
      <c r="J447" s="107"/>
      <c r="K447" s="107"/>
      <c r="L447" s="107"/>
      <c r="M447" s="107"/>
      <c r="N447" s="107"/>
      <c r="O447" s="107"/>
      <c r="P447" s="107"/>
      <c r="Q447" s="107"/>
      <c r="R447" s="107"/>
      <c r="S447" s="107"/>
      <c r="T447" s="107"/>
      <c r="U447" s="107"/>
      <c r="V447" s="107"/>
      <c r="W447" s="107"/>
      <c r="X447" s="107"/>
      <c r="Y447" s="107"/>
      <c r="Z447" s="107"/>
      <c r="AA447" s="167">
        <v>44018</v>
      </c>
      <c r="AB447" s="109">
        <f>_xlfn.DAYS(AA447,B447)</f>
        <v>31</v>
      </c>
      <c r="AC447" s="110">
        <f>((11/40)+(7/34))/2%</f>
        <v>24.044117647058822</v>
      </c>
      <c r="AD447" s="110">
        <v>1500</v>
      </c>
      <c r="AE447" s="110">
        <v>209</v>
      </c>
      <c r="AF447" s="110">
        <v>72.5</v>
      </c>
      <c r="AG447" s="10">
        <v>0</v>
      </c>
      <c r="AH447" s="108">
        <f>(AD447-AF447)/(D447*$K$1*2)%</f>
        <v>15.267379679144385</v>
      </c>
      <c r="AI447" s="108">
        <f>(AE447+AF447)/(D447*$K$1*2)%</f>
        <v>3.0106951871657754</v>
      </c>
    </row>
    <row r="448" spans="1:35" ht="15.75" hidden="1" customHeight="1">
      <c r="A448" s="10" t="s">
        <v>726</v>
      </c>
      <c r="B448" s="229">
        <v>43987</v>
      </c>
      <c r="C448" s="10">
        <v>10000</v>
      </c>
      <c r="D448" s="10">
        <v>8.5</v>
      </c>
      <c r="E448" s="10"/>
      <c r="F448" s="107" t="s">
        <v>263</v>
      </c>
      <c r="G448" s="107"/>
      <c r="H448" s="107"/>
      <c r="I448" s="107"/>
      <c r="J448" s="107"/>
      <c r="K448" s="107"/>
      <c r="L448" s="107"/>
      <c r="M448" s="107"/>
      <c r="N448" s="107"/>
      <c r="O448" s="107"/>
      <c r="P448" s="107"/>
      <c r="Q448" s="107"/>
      <c r="R448" s="107"/>
      <c r="S448" s="107"/>
      <c r="T448" s="107"/>
      <c r="U448" s="107"/>
      <c r="V448" s="107"/>
      <c r="W448" s="107"/>
      <c r="X448" s="107"/>
      <c r="Y448" s="107"/>
      <c r="Z448" s="107"/>
      <c r="AA448" s="167">
        <v>44018</v>
      </c>
      <c r="AB448" s="109">
        <f>_xlfn.DAYS(AA448,B448)</f>
        <v>31</v>
      </c>
      <c r="AC448" s="110">
        <f>((5/27)+(8/32))/2%</f>
        <v>21.75925925925926</v>
      </c>
      <c r="AD448" s="110">
        <v>1552.5</v>
      </c>
      <c r="AE448" s="110">
        <v>275.5</v>
      </c>
      <c r="AF448" s="110">
        <v>76.5</v>
      </c>
      <c r="AG448" s="10">
        <v>0</v>
      </c>
      <c r="AH448" s="108">
        <f>(AD448-AF448)/(D448*$K$1*2)%</f>
        <v>15.786096256684491</v>
      </c>
      <c r="AI448" s="108">
        <f>(AE448+AF448)/(D448*$K$1*2)%</f>
        <v>3.7647058823529411</v>
      </c>
    </row>
    <row r="449" spans="1:35" ht="15.75" hidden="1" customHeight="1">
      <c r="A449" s="107" t="s">
        <v>727</v>
      </c>
      <c r="B449" s="226">
        <v>44106</v>
      </c>
      <c r="C449" s="111">
        <v>10042.16</v>
      </c>
      <c r="D449" s="107">
        <f>COUNTA(G449:Z449)*0.5</f>
        <v>1.5</v>
      </c>
      <c r="F449" s="107" t="s">
        <v>323</v>
      </c>
      <c r="G449" s="178">
        <v>44106</v>
      </c>
      <c r="H449" s="178">
        <v>44106</v>
      </c>
      <c r="I449" s="178">
        <v>44113</v>
      </c>
      <c r="AA449" s="166">
        <v>44119</v>
      </c>
      <c r="AH449" s="107"/>
    </row>
    <row r="450" spans="1:35" ht="15.75" hidden="1" customHeight="1">
      <c r="A450" s="107" t="s">
        <v>728</v>
      </c>
      <c r="B450" s="226">
        <v>44106</v>
      </c>
      <c r="C450" s="111">
        <v>10042.16</v>
      </c>
      <c r="D450" s="107">
        <f>COUNTA(G450:Z450)*0.5</f>
        <v>1.5</v>
      </c>
      <c r="F450" s="107" t="s">
        <v>323</v>
      </c>
      <c r="G450" s="178">
        <v>44106</v>
      </c>
      <c r="H450" s="178">
        <v>44106</v>
      </c>
      <c r="I450" s="178">
        <v>44113</v>
      </c>
      <c r="AA450" s="166">
        <v>44119</v>
      </c>
      <c r="AH450" s="107"/>
    </row>
    <row r="451" spans="1:35" ht="15.75" hidden="1" customHeight="1">
      <c r="A451" s="107" t="s">
        <v>729</v>
      </c>
      <c r="B451" s="226">
        <v>44106</v>
      </c>
      <c r="C451" s="111">
        <v>10042.16</v>
      </c>
      <c r="D451" s="107">
        <f>COUNTA(G451:Z451)*0.5</f>
        <v>1.5</v>
      </c>
      <c r="F451" s="107" t="s">
        <v>323</v>
      </c>
      <c r="G451" s="178">
        <v>44106</v>
      </c>
      <c r="H451" s="178">
        <v>44106</v>
      </c>
      <c r="I451" s="178">
        <v>44113</v>
      </c>
      <c r="AA451" s="166">
        <v>44119</v>
      </c>
      <c r="AH451" s="107"/>
    </row>
    <row r="452" spans="1:35" ht="15.75" hidden="1" customHeight="1">
      <c r="A452" s="107" t="s">
        <v>730</v>
      </c>
      <c r="B452" s="226">
        <v>44106</v>
      </c>
      <c r="C452" s="111">
        <v>10042.16</v>
      </c>
      <c r="D452" s="107">
        <f>COUNTA(G452:Z452)*0.5</f>
        <v>1.5</v>
      </c>
      <c r="F452" s="107" t="s">
        <v>323</v>
      </c>
      <c r="G452" s="178">
        <v>44106</v>
      </c>
      <c r="H452" s="178">
        <v>44106</v>
      </c>
      <c r="I452" s="178">
        <v>44113</v>
      </c>
      <c r="AA452" s="166">
        <v>44119</v>
      </c>
      <c r="AH452" s="107"/>
    </row>
    <row r="453" spans="1:35" ht="15.75" hidden="1" customHeight="1">
      <c r="A453" s="107" t="s">
        <v>731</v>
      </c>
      <c r="B453" s="226">
        <v>44106</v>
      </c>
      <c r="C453" s="111">
        <v>10042.16</v>
      </c>
      <c r="D453" s="107">
        <f>COUNTA(G453:Z453)*0.5</f>
        <v>1.5</v>
      </c>
      <c r="F453" s="107" t="s">
        <v>323</v>
      </c>
      <c r="G453" s="178">
        <v>44106</v>
      </c>
      <c r="H453" s="178">
        <v>44106</v>
      </c>
      <c r="I453" s="178">
        <v>44113</v>
      </c>
      <c r="AA453" s="166">
        <v>44119</v>
      </c>
      <c r="AH453" s="107"/>
    </row>
    <row r="454" spans="1:35" ht="15.75" hidden="1" customHeight="1">
      <c r="A454" s="107" t="s">
        <v>732</v>
      </c>
      <c r="B454" s="226" t="s">
        <v>702</v>
      </c>
      <c r="C454" s="230">
        <v>10853.778407128077</v>
      </c>
      <c r="D454" s="107">
        <f>COUNTA(G454:Z454)*0.5</f>
        <v>2.5</v>
      </c>
      <c r="F454" s="107" t="s">
        <v>323</v>
      </c>
      <c r="G454" s="178">
        <v>44104</v>
      </c>
      <c r="H454" s="178">
        <v>44104</v>
      </c>
      <c r="I454" s="178">
        <v>44110</v>
      </c>
      <c r="J454" s="178">
        <v>44113</v>
      </c>
      <c r="K454" s="178">
        <v>44116</v>
      </c>
      <c r="AA454" s="166">
        <v>44119</v>
      </c>
      <c r="AG454" s="107">
        <f>COUNTIFS(F:F,"Culled",A:A,LEFT(A454,LEN(A454)-3)&amp;"*")/COUNTIF(A:A,LEFT(A454,LEN(A454)-3)&amp;"*")*100</f>
        <v>100</v>
      </c>
      <c r="AH454" s="107"/>
    </row>
    <row r="455" spans="1:35" ht="15.75" hidden="1" customHeight="1">
      <c r="A455" s="107" t="s">
        <v>733</v>
      </c>
      <c r="B455" s="226" t="s">
        <v>702</v>
      </c>
      <c r="C455" s="230">
        <v>10853.778407128077</v>
      </c>
      <c r="D455" s="107">
        <f>COUNTA(G455:Z455)*0.5</f>
        <v>2</v>
      </c>
      <c r="F455" s="107" t="s">
        <v>323</v>
      </c>
      <c r="G455" s="178">
        <v>44104</v>
      </c>
      <c r="H455" s="178">
        <v>44104</v>
      </c>
      <c r="I455" s="178">
        <v>44110</v>
      </c>
      <c r="J455" s="178">
        <v>44113</v>
      </c>
      <c r="AA455" s="166">
        <v>44119</v>
      </c>
      <c r="AG455" s="107">
        <f>COUNTIFS(F:F,"Culled",A:A,LEFT(A455,LEN(A455)-3)&amp;"*")/COUNTIF(A:A,LEFT(A455,LEN(A455)-3)&amp;"*")*100</f>
        <v>100</v>
      </c>
      <c r="AH455" s="107"/>
    </row>
    <row r="456" spans="1:35" ht="15.75" hidden="1" customHeight="1">
      <c r="A456" s="107" t="s">
        <v>734</v>
      </c>
      <c r="B456" s="226" t="s">
        <v>702</v>
      </c>
      <c r="C456" s="230">
        <v>10853.778407128077</v>
      </c>
      <c r="D456" s="107">
        <f>COUNTA(G456:Z456)*0.5</f>
        <v>2</v>
      </c>
      <c r="F456" s="107" t="s">
        <v>323</v>
      </c>
      <c r="G456" s="178">
        <v>44104</v>
      </c>
      <c r="H456" s="178">
        <v>44104</v>
      </c>
      <c r="I456" s="178">
        <v>44110</v>
      </c>
      <c r="J456" s="178">
        <v>44113</v>
      </c>
      <c r="AA456" s="166">
        <v>44119</v>
      </c>
      <c r="AG456" s="107">
        <f>COUNTIFS(F:F,"Culled",A:A,LEFT(A456,LEN(A456)-3)&amp;"*")/COUNTIF(A:A,LEFT(A456,LEN(A456)-3)&amp;"*")*100</f>
        <v>100</v>
      </c>
      <c r="AH456" s="107"/>
    </row>
    <row r="457" spans="1:35" ht="15.75" hidden="1" customHeight="1">
      <c r="A457" s="107" t="s">
        <v>735</v>
      </c>
      <c r="B457" s="226" t="s">
        <v>702</v>
      </c>
      <c r="C457" s="230">
        <v>10853.778407128077</v>
      </c>
      <c r="D457" s="107">
        <f>COUNTA(G457:Z457)*0.5</f>
        <v>2</v>
      </c>
      <c r="F457" s="107" t="s">
        <v>323</v>
      </c>
      <c r="G457" s="178">
        <v>44104</v>
      </c>
      <c r="H457" s="178">
        <v>44104</v>
      </c>
      <c r="I457" s="178">
        <v>44110</v>
      </c>
      <c r="J457" s="178">
        <v>44113</v>
      </c>
      <c r="AA457" s="166">
        <v>44119</v>
      </c>
      <c r="AG457" s="107">
        <f>COUNTIFS(F:F,"Culled",A:A,LEFT(A457,LEN(A457)-3)&amp;"*")/COUNTIF(A:A,LEFT(A457,LEN(A457)-3)&amp;"*")*100</f>
        <v>100</v>
      </c>
      <c r="AH457" s="107"/>
    </row>
    <row r="458" spans="1:35" ht="15.75" hidden="1" customHeight="1">
      <c r="A458" s="107" t="s">
        <v>736</v>
      </c>
      <c r="B458" s="226">
        <v>44113</v>
      </c>
      <c r="C458" s="230">
        <v>10182</v>
      </c>
      <c r="D458" s="107">
        <f>COUNTA(G458:Z458)*0.5</f>
        <v>1.5</v>
      </c>
      <c r="F458" s="107" t="s">
        <v>323</v>
      </c>
      <c r="G458" s="178">
        <v>44113</v>
      </c>
      <c r="H458" s="178">
        <v>44113</v>
      </c>
      <c r="I458" s="178">
        <v>44116</v>
      </c>
      <c r="AA458" s="166">
        <v>44119</v>
      </c>
    </row>
    <row r="459" spans="1:35" ht="15.75" hidden="1" customHeight="1">
      <c r="A459" s="107" t="s">
        <v>737</v>
      </c>
      <c r="B459" s="226">
        <v>44113</v>
      </c>
      <c r="C459" s="230">
        <v>10182</v>
      </c>
      <c r="D459" s="107">
        <f>COUNTA(G459:Z459)*0.5</f>
        <v>1.5</v>
      </c>
      <c r="F459" s="107" t="s">
        <v>323</v>
      </c>
      <c r="G459" s="178">
        <v>44113</v>
      </c>
      <c r="H459" s="178">
        <v>44113</v>
      </c>
      <c r="I459" s="178">
        <v>44116</v>
      </c>
      <c r="AA459" s="166">
        <v>44119</v>
      </c>
    </row>
    <row r="460" spans="1:35" ht="15.75" hidden="1" customHeight="1">
      <c r="A460" s="10" t="s">
        <v>738</v>
      </c>
      <c r="B460" s="229">
        <v>43987</v>
      </c>
      <c r="C460" s="10">
        <v>10000</v>
      </c>
      <c r="D460" s="10">
        <v>8.5</v>
      </c>
      <c r="E460" s="10"/>
      <c r="F460" s="107" t="s">
        <v>263</v>
      </c>
      <c r="G460" s="107"/>
      <c r="H460" s="107"/>
      <c r="I460" s="107"/>
      <c r="J460" s="107"/>
      <c r="K460" s="107"/>
      <c r="L460" s="107"/>
      <c r="M460" s="107"/>
      <c r="N460" s="107"/>
      <c r="O460" s="107"/>
      <c r="P460" s="107"/>
      <c r="Q460" s="107"/>
      <c r="R460" s="107"/>
      <c r="S460" s="107"/>
      <c r="T460" s="107"/>
      <c r="U460" s="107"/>
      <c r="V460" s="107"/>
      <c r="W460" s="107"/>
      <c r="X460" s="107"/>
      <c r="Y460" s="107"/>
      <c r="Z460" s="107"/>
      <c r="AA460" s="167">
        <v>44018</v>
      </c>
      <c r="AB460" s="109">
        <f>_xlfn.DAYS(AA460,B460)</f>
        <v>31</v>
      </c>
      <c r="AC460" s="110">
        <f>((7/31)+(11/24))/2%</f>
        <v>34.206989247311824</v>
      </c>
      <c r="AD460" s="110">
        <v>1608</v>
      </c>
      <c r="AE460" s="110">
        <v>208.5</v>
      </c>
      <c r="AF460" s="110">
        <v>105</v>
      </c>
      <c r="AG460" s="10">
        <v>0</v>
      </c>
      <c r="AH460" s="108">
        <f>(AD460-AF460)/(D460*$K$1*2)%</f>
        <v>16.074866310160427</v>
      </c>
      <c r="AI460" s="108">
        <f>(AE460+AF460)/(D460*$K$1*2)%</f>
        <v>3.3529411764705883</v>
      </c>
    </row>
    <row r="461" spans="1:35" ht="15.75" hidden="1" customHeight="1">
      <c r="A461" s="107" t="s">
        <v>739</v>
      </c>
      <c r="B461" s="226">
        <v>44113</v>
      </c>
      <c r="C461" s="230">
        <v>10182</v>
      </c>
      <c r="D461" s="107">
        <f>COUNTA(G461:Z461)*0.5</f>
        <v>1.5</v>
      </c>
      <c r="F461" s="107" t="s">
        <v>323</v>
      </c>
      <c r="G461" s="178">
        <v>44113</v>
      </c>
      <c r="H461" s="178">
        <v>44113</v>
      </c>
      <c r="I461" s="178">
        <v>44116</v>
      </c>
      <c r="AA461" s="166">
        <v>44119</v>
      </c>
    </row>
    <row r="462" spans="1:35" ht="15.75" hidden="1" customHeight="1">
      <c r="A462" s="10" t="s">
        <v>740</v>
      </c>
      <c r="B462" s="229">
        <v>43987</v>
      </c>
      <c r="C462" s="10">
        <v>10000</v>
      </c>
      <c r="D462" s="10">
        <v>9</v>
      </c>
      <c r="E462" s="10"/>
      <c r="F462" s="107" t="s">
        <v>263</v>
      </c>
      <c r="G462" s="107"/>
      <c r="H462" s="107"/>
      <c r="I462" s="107"/>
      <c r="J462" s="107"/>
      <c r="K462" s="107"/>
      <c r="L462" s="107"/>
      <c r="M462" s="107"/>
      <c r="N462" s="107"/>
      <c r="O462" s="107"/>
      <c r="P462" s="107"/>
      <c r="Q462" s="107"/>
      <c r="R462" s="107"/>
      <c r="S462" s="107"/>
      <c r="T462" s="107"/>
      <c r="U462" s="107"/>
      <c r="V462" s="107"/>
      <c r="W462" s="107"/>
      <c r="X462" s="107"/>
      <c r="Y462" s="107"/>
      <c r="Z462" s="107"/>
      <c r="AA462" s="167">
        <v>44018</v>
      </c>
      <c r="AB462" s="109">
        <f>_xlfn.DAYS(AA462,B462)</f>
        <v>31</v>
      </c>
      <c r="AC462" s="110">
        <f>((5/30)+(3/27))/2%</f>
        <v>13.888888888888889</v>
      </c>
      <c r="AD462" s="110">
        <v>1669</v>
      </c>
      <c r="AE462" s="110">
        <v>237</v>
      </c>
      <c r="AF462" s="110">
        <v>94.5</v>
      </c>
      <c r="AG462" s="10">
        <v>0</v>
      </c>
      <c r="AH462" s="108">
        <f>(AD462-AF462)/(D462*$K$1*2)%</f>
        <v>15.904040404040405</v>
      </c>
      <c r="AI462" s="108">
        <f>(AE462+AF462)/(D462*$K$1*2)%</f>
        <v>3.3484848484848486</v>
      </c>
    </row>
    <row r="463" spans="1:35" ht="15.75" hidden="1" customHeight="1">
      <c r="A463" s="107" t="s">
        <v>741</v>
      </c>
      <c r="B463" s="226">
        <v>44113</v>
      </c>
      <c r="C463" s="230">
        <v>10182</v>
      </c>
      <c r="D463" s="107">
        <f>COUNTA(G463:Z463)*0.5</f>
        <v>1.5</v>
      </c>
      <c r="F463" s="107" t="s">
        <v>323</v>
      </c>
      <c r="G463" s="178">
        <v>44113</v>
      </c>
      <c r="H463" s="178">
        <v>44113</v>
      </c>
      <c r="I463" s="178">
        <v>44116</v>
      </c>
      <c r="AA463" s="166">
        <v>44119</v>
      </c>
    </row>
    <row r="464" spans="1:35" ht="15.75" hidden="1" customHeight="1">
      <c r="A464" s="107" t="s">
        <v>742</v>
      </c>
      <c r="B464" s="226">
        <v>44113</v>
      </c>
      <c r="C464" s="230">
        <v>10182</v>
      </c>
      <c r="D464" s="107">
        <f>COUNTA(G464:Z464)*0.5</f>
        <v>1.5</v>
      </c>
      <c r="F464" s="107" t="s">
        <v>323</v>
      </c>
      <c r="G464" s="178">
        <v>44113</v>
      </c>
      <c r="H464" s="178">
        <v>44113</v>
      </c>
      <c r="I464" s="178">
        <v>44116</v>
      </c>
      <c r="AA464" s="166">
        <v>44119</v>
      </c>
    </row>
    <row r="465" spans="1:35" ht="15.75" hidden="1" customHeight="1">
      <c r="A465" s="107" t="s">
        <v>743</v>
      </c>
      <c r="B465" s="226">
        <v>44113</v>
      </c>
      <c r="C465" s="230">
        <v>10182</v>
      </c>
      <c r="D465" s="107">
        <f>COUNTA(G465:Z465)*0.5</f>
        <v>1.5</v>
      </c>
      <c r="F465" s="107" t="s">
        <v>323</v>
      </c>
      <c r="G465" s="178">
        <v>44113</v>
      </c>
      <c r="H465" s="178">
        <v>44113</v>
      </c>
      <c r="I465" s="178">
        <v>44116</v>
      </c>
      <c r="AA465" s="166">
        <v>44119</v>
      </c>
    </row>
    <row r="466" spans="1:35" ht="15.75" hidden="1" customHeight="1">
      <c r="A466" s="10" t="s">
        <v>744</v>
      </c>
      <c r="B466" s="229">
        <v>43987</v>
      </c>
      <c r="C466" s="10">
        <v>10000</v>
      </c>
      <c r="D466" s="10">
        <v>8.5</v>
      </c>
      <c r="E466" s="10"/>
      <c r="F466" s="107" t="s">
        <v>263</v>
      </c>
      <c r="G466" s="107"/>
      <c r="H466" s="107"/>
      <c r="I466" s="107"/>
      <c r="J466" s="107"/>
      <c r="K466" s="107"/>
      <c r="L466" s="107"/>
      <c r="M466" s="107"/>
      <c r="N466" s="107"/>
      <c r="O466" s="107"/>
      <c r="P466" s="107"/>
      <c r="Q466" s="107"/>
      <c r="R466" s="107"/>
      <c r="S466" s="107"/>
      <c r="T466" s="107"/>
      <c r="U466" s="107"/>
      <c r="V466" s="107"/>
      <c r="W466" s="107"/>
      <c r="X466" s="107"/>
      <c r="Y466" s="107"/>
      <c r="Z466" s="107"/>
      <c r="AA466" s="167">
        <v>44018</v>
      </c>
      <c r="AB466" s="109">
        <f>_xlfn.DAYS(AA466,B466)</f>
        <v>31</v>
      </c>
      <c r="AC466" s="110">
        <f>((5/24)+(7/30))/2%</f>
        <v>22.083333333333332</v>
      </c>
      <c r="AD466" s="110">
        <v>1538.5</v>
      </c>
      <c r="AE466" s="110">
        <v>286.5</v>
      </c>
      <c r="AF466" s="110">
        <v>88</v>
      </c>
      <c r="AG466" s="10">
        <v>0</v>
      </c>
      <c r="AH466" s="108">
        <f>(AD466-AF466)/(D466*$K$1*2)%</f>
        <v>15.51336898395722</v>
      </c>
      <c r="AI466" s="108">
        <f>(AE466+AF466)/(D466*$K$1*2)%</f>
        <v>4.0053475935828873</v>
      </c>
    </row>
    <row r="467" spans="1:35" ht="15.75" hidden="1" customHeight="1">
      <c r="A467" s="10" t="s">
        <v>745</v>
      </c>
      <c r="B467" s="229">
        <v>43987</v>
      </c>
      <c r="C467" s="10">
        <v>10000</v>
      </c>
      <c r="D467" s="10">
        <v>8.5</v>
      </c>
      <c r="E467" s="10"/>
      <c r="F467" s="107" t="s">
        <v>263</v>
      </c>
      <c r="G467" s="107"/>
      <c r="H467" s="107"/>
      <c r="I467" s="107"/>
      <c r="J467" s="107"/>
      <c r="K467" s="107"/>
      <c r="L467" s="107"/>
      <c r="M467" s="107"/>
      <c r="N467" s="107"/>
      <c r="O467" s="107"/>
      <c r="P467" s="107"/>
      <c r="Q467" s="107"/>
      <c r="R467" s="107"/>
      <c r="S467" s="107"/>
      <c r="T467" s="107"/>
      <c r="U467" s="107"/>
      <c r="V467" s="107"/>
      <c r="W467" s="107"/>
      <c r="X467" s="107"/>
      <c r="Y467" s="107"/>
      <c r="Z467" s="107"/>
      <c r="AA467" s="167">
        <v>44018</v>
      </c>
      <c r="AB467" s="109">
        <f>_xlfn.DAYS(AA467,B467)</f>
        <v>31</v>
      </c>
      <c r="AC467" s="110">
        <f>((6/21)+(7/19))/2%</f>
        <v>32.70676691729323</v>
      </c>
      <c r="AD467" s="110">
        <v>1486.5</v>
      </c>
      <c r="AE467" s="110">
        <v>288.5</v>
      </c>
      <c r="AF467" s="110">
        <v>80.5</v>
      </c>
      <c r="AG467" s="10">
        <v>0</v>
      </c>
      <c r="AH467" s="108">
        <f>(AD467-AF467)/(D467*$K$1*2)%</f>
        <v>15.037433155080214</v>
      </c>
      <c r="AI467" s="108">
        <f>(AE467+AF467)/(D467*$K$1*2)%</f>
        <v>3.9465240641711228</v>
      </c>
    </row>
    <row r="468" spans="1:35" ht="15.75" hidden="1" customHeight="1">
      <c r="A468" s="10" t="s">
        <v>746</v>
      </c>
      <c r="B468" s="229">
        <v>43987</v>
      </c>
      <c r="C468" s="10">
        <v>10000</v>
      </c>
      <c r="D468" s="10">
        <v>8.5</v>
      </c>
      <c r="E468" s="10"/>
      <c r="F468" s="107" t="s">
        <v>263</v>
      </c>
      <c r="G468" s="107"/>
      <c r="H468" s="107"/>
      <c r="I468" s="107"/>
      <c r="J468" s="107"/>
      <c r="K468" s="107"/>
      <c r="L468" s="107"/>
      <c r="M468" s="107"/>
      <c r="N468" s="107"/>
      <c r="O468" s="107"/>
      <c r="P468" s="107"/>
      <c r="Q468" s="107"/>
      <c r="R468" s="107"/>
      <c r="S468" s="107"/>
      <c r="T468" s="107"/>
      <c r="U468" s="107"/>
      <c r="V468" s="107"/>
      <c r="W468" s="107"/>
      <c r="X468" s="107"/>
      <c r="Y468" s="107"/>
      <c r="Z468" s="107"/>
      <c r="AA468" s="167">
        <v>44018</v>
      </c>
      <c r="AB468" s="109">
        <f>_xlfn.DAYS(AA468,B468)</f>
        <v>31</v>
      </c>
      <c r="AC468" s="110">
        <f>((4/24)+(5/21))/2%</f>
        <v>20.238095238095237</v>
      </c>
      <c r="AD468" s="110">
        <v>1475</v>
      </c>
      <c r="AE468" s="110">
        <v>322.5</v>
      </c>
      <c r="AF468" s="110">
        <v>51.5</v>
      </c>
      <c r="AG468" s="10">
        <v>0</v>
      </c>
      <c r="AH468" s="108">
        <f>(AD468-AF468)/(D468*$K$1*2)%</f>
        <v>15.224598930481283</v>
      </c>
      <c r="AI468" s="108">
        <f>(AE468+AF468)/(D468*$K$1*2)%</f>
        <v>4</v>
      </c>
    </row>
    <row r="469" spans="1:35" ht="15.75" hidden="1" customHeight="1">
      <c r="A469" s="107" t="s">
        <v>747</v>
      </c>
      <c r="B469" s="226">
        <v>44113</v>
      </c>
      <c r="C469" s="230">
        <v>10182</v>
      </c>
      <c r="D469" s="107">
        <f>COUNTA(G469:Z469)*0.5</f>
        <v>1.5</v>
      </c>
      <c r="F469" s="107" t="s">
        <v>323</v>
      </c>
      <c r="G469" s="178">
        <v>44113</v>
      </c>
      <c r="H469" s="178">
        <v>44113</v>
      </c>
      <c r="I469" s="178">
        <v>44116</v>
      </c>
      <c r="AA469" s="166">
        <v>44119</v>
      </c>
    </row>
    <row r="470" spans="1:35" ht="15.75" hidden="1" customHeight="1">
      <c r="A470" s="107" t="s">
        <v>748</v>
      </c>
      <c r="B470" s="226">
        <v>44113</v>
      </c>
      <c r="C470" s="230">
        <v>10182</v>
      </c>
      <c r="D470" s="107">
        <f>COUNTA(G470:Z470)*0.5</f>
        <v>1.5</v>
      </c>
      <c r="F470" s="107" t="s">
        <v>323</v>
      </c>
      <c r="G470" s="178">
        <v>44113</v>
      </c>
      <c r="H470" s="178">
        <v>44113</v>
      </c>
      <c r="I470" s="178">
        <v>44116</v>
      </c>
      <c r="AA470" s="166">
        <v>44119</v>
      </c>
    </row>
    <row r="471" spans="1:35" ht="15.75" hidden="1" customHeight="1">
      <c r="A471" s="107" t="s">
        <v>749</v>
      </c>
      <c r="B471" s="226">
        <v>44050</v>
      </c>
      <c r="C471" s="224">
        <v>10000</v>
      </c>
      <c r="D471" s="107">
        <f>COUNTA(G471:Z471)*0.5</f>
        <v>7.5</v>
      </c>
      <c r="F471" s="107" t="s">
        <v>263</v>
      </c>
      <c r="G471" s="225">
        <v>44050</v>
      </c>
      <c r="H471" s="225">
        <v>44050</v>
      </c>
      <c r="I471" s="225">
        <v>44050</v>
      </c>
      <c r="J471" s="225">
        <v>44055</v>
      </c>
      <c r="K471" s="225">
        <v>44056</v>
      </c>
      <c r="L471" s="225">
        <v>44057</v>
      </c>
      <c r="M471" s="225">
        <v>44061</v>
      </c>
      <c r="N471" s="225">
        <v>44061</v>
      </c>
      <c r="O471" s="225">
        <v>44064</v>
      </c>
      <c r="P471" s="225">
        <v>44064</v>
      </c>
      <c r="Q471" s="225">
        <v>44064</v>
      </c>
      <c r="R471" s="225">
        <v>44067</v>
      </c>
      <c r="S471" s="225">
        <v>44069</v>
      </c>
      <c r="T471" s="225">
        <v>44069</v>
      </c>
      <c r="U471" s="225">
        <v>44071</v>
      </c>
      <c r="V471" s="226"/>
      <c r="W471" s="226"/>
      <c r="X471" s="226"/>
      <c r="Y471" s="226"/>
      <c r="Z471" s="107"/>
      <c r="AB471" s="109">
        <f>_xlfn.DAYS(AA471,B471)</f>
        <v>-44050</v>
      </c>
      <c r="AC471" s="107">
        <f>(15/29+21/41)/2%</f>
        <v>51.471825063078214</v>
      </c>
      <c r="AD471" s="107">
        <v>1106.5</v>
      </c>
      <c r="AE471" s="107">
        <v>251</v>
      </c>
      <c r="AF471" s="107">
        <v>59</v>
      </c>
      <c r="AG471" s="107">
        <f>COUNTIFS(F:F,"Culled",A:A,LEFT(A471,LEN(A471)-3)&amp;"*")/COUNTIF(A:A,LEFT(A471,LEN(A471)-3)&amp;"*")*100</f>
        <v>0</v>
      </c>
      <c r="AH471" s="108">
        <f>(AD471-AF471)/(D471*$K$1*2)%</f>
        <v>12.696969696969697</v>
      </c>
      <c r="AI471" s="108">
        <f>(AE471+AF471)/(D471*$K$1*2)%</f>
        <v>3.7575757575757578</v>
      </c>
    </row>
    <row r="472" spans="1:35" ht="15.75" hidden="1" customHeight="1">
      <c r="A472" s="107" t="s">
        <v>750</v>
      </c>
      <c r="B472" s="226">
        <v>44113</v>
      </c>
      <c r="C472" s="230">
        <v>10182</v>
      </c>
      <c r="D472" s="107">
        <f>COUNTA(G472:Z472)*0.5</f>
        <v>1.5</v>
      </c>
      <c r="F472" s="107" t="s">
        <v>323</v>
      </c>
      <c r="G472" s="178">
        <v>44113</v>
      </c>
      <c r="H472" s="178">
        <v>44113</v>
      </c>
      <c r="I472" s="178">
        <v>44116</v>
      </c>
      <c r="AA472" s="166">
        <v>44119</v>
      </c>
    </row>
    <row r="473" spans="1:35" ht="15.75" hidden="1" customHeight="1">
      <c r="A473" s="107" t="s">
        <v>751</v>
      </c>
      <c r="B473" s="226">
        <v>44050</v>
      </c>
      <c r="C473" s="224">
        <v>10000</v>
      </c>
      <c r="D473" s="107">
        <f>COUNTA(G473:Z473)*0.5</f>
        <v>7.5</v>
      </c>
      <c r="F473" s="107" t="s">
        <v>263</v>
      </c>
      <c r="G473" s="225">
        <v>44050</v>
      </c>
      <c r="H473" s="225">
        <v>44050</v>
      </c>
      <c r="I473" s="225">
        <v>44050</v>
      </c>
      <c r="J473" s="225">
        <v>44055</v>
      </c>
      <c r="K473" s="225">
        <v>44056</v>
      </c>
      <c r="L473" s="225">
        <v>44057</v>
      </c>
      <c r="M473" s="225">
        <v>44061</v>
      </c>
      <c r="N473" s="225">
        <v>44061</v>
      </c>
      <c r="O473" s="225">
        <v>44064</v>
      </c>
      <c r="P473" s="225">
        <v>44064</v>
      </c>
      <c r="Q473" s="225">
        <v>44064</v>
      </c>
      <c r="R473" s="225">
        <v>44067</v>
      </c>
      <c r="S473" s="225">
        <v>44069</v>
      </c>
      <c r="T473" s="225">
        <v>44069</v>
      </c>
      <c r="U473" s="225">
        <v>44071</v>
      </c>
      <c r="V473" s="226"/>
      <c r="W473" s="226"/>
      <c r="X473" s="226"/>
      <c r="Y473" s="226"/>
      <c r="Z473" s="107"/>
      <c r="AB473" s="109">
        <f>_xlfn.DAYS(AA473,B473)</f>
        <v>-44050</v>
      </c>
      <c r="AG473" s="107">
        <f>COUNTIFS(F:F,"Culled",A:A,LEFT(A473,LEN(A473)-3)&amp;"*")/COUNTIF(A:A,LEFT(A473,LEN(A473)-3)&amp;"*")*100</f>
        <v>0</v>
      </c>
      <c r="AH473" s="108">
        <f>(AD473-AF473)/(D473*$K$1*2)%</f>
        <v>0</v>
      </c>
      <c r="AI473" s="108">
        <f>(AE473+AF473)/(D473*$K$1*2)%</f>
        <v>0</v>
      </c>
    </row>
    <row r="474" spans="1:35" ht="15.75" hidden="1" customHeight="1">
      <c r="A474" s="107" t="s">
        <v>752</v>
      </c>
      <c r="B474" s="226">
        <v>44050</v>
      </c>
      <c r="C474" s="224">
        <v>10000</v>
      </c>
      <c r="D474" s="107">
        <f>COUNTA(G474:Z474)*0.5</f>
        <v>7.5</v>
      </c>
      <c r="F474" s="107" t="s">
        <v>263</v>
      </c>
      <c r="G474" s="225">
        <v>44050</v>
      </c>
      <c r="H474" s="225">
        <v>44050</v>
      </c>
      <c r="I474" s="225">
        <v>44050</v>
      </c>
      <c r="J474" s="225">
        <v>44055</v>
      </c>
      <c r="K474" s="225">
        <v>44056</v>
      </c>
      <c r="L474" s="225">
        <v>44057</v>
      </c>
      <c r="M474" s="225">
        <v>44061</v>
      </c>
      <c r="N474" s="225">
        <v>44061</v>
      </c>
      <c r="O474" s="225">
        <v>44064</v>
      </c>
      <c r="P474" s="225">
        <v>44064</v>
      </c>
      <c r="Q474" s="225">
        <v>44064</v>
      </c>
      <c r="R474" s="225">
        <v>44067</v>
      </c>
      <c r="S474" s="225">
        <v>44069</v>
      </c>
      <c r="T474" s="225">
        <v>44069</v>
      </c>
      <c r="U474" s="225">
        <v>44071</v>
      </c>
      <c r="V474" s="226"/>
      <c r="W474" s="226"/>
      <c r="X474" s="226"/>
      <c r="Y474" s="226"/>
      <c r="Z474" s="107"/>
      <c r="AB474" s="109">
        <f>_xlfn.DAYS(AA474,B474)</f>
        <v>-44050</v>
      </c>
      <c r="AG474" s="107">
        <f>COUNTIFS(F:F,"Culled",A:A,LEFT(A474,LEN(A474)-3)&amp;"*")/COUNTIF(A:A,LEFT(A474,LEN(A474)-3)&amp;"*")*100</f>
        <v>0</v>
      </c>
      <c r="AH474" s="108">
        <f>(AD474-AF474)/(D474*$K$1*2)%</f>
        <v>0</v>
      </c>
      <c r="AI474" s="108">
        <f>(AE474+AF474)/(D474*$K$1*2)%</f>
        <v>0</v>
      </c>
    </row>
    <row r="475" spans="1:35" ht="15.75" hidden="1" customHeight="1">
      <c r="A475" s="107" t="s">
        <v>753</v>
      </c>
      <c r="B475" s="226">
        <v>44050</v>
      </c>
      <c r="C475" s="224">
        <v>10000</v>
      </c>
      <c r="D475" s="107">
        <f>COUNTA(G475:Z475)*0.5</f>
        <v>7.5</v>
      </c>
      <c r="F475" s="107" t="s">
        <v>263</v>
      </c>
      <c r="G475" s="225">
        <v>44050</v>
      </c>
      <c r="H475" s="225">
        <v>44050</v>
      </c>
      <c r="I475" s="225">
        <v>44050</v>
      </c>
      <c r="J475" s="225">
        <v>44055</v>
      </c>
      <c r="K475" s="225">
        <v>44056</v>
      </c>
      <c r="L475" s="225">
        <v>44057</v>
      </c>
      <c r="M475" s="225">
        <v>44061</v>
      </c>
      <c r="N475" s="225">
        <v>44061</v>
      </c>
      <c r="O475" s="225">
        <v>44064</v>
      </c>
      <c r="P475" s="225">
        <v>44064</v>
      </c>
      <c r="Q475" s="225">
        <v>44064</v>
      </c>
      <c r="R475" s="225">
        <v>44067</v>
      </c>
      <c r="S475" s="225">
        <v>44069</v>
      </c>
      <c r="T475" s="225">
        <v>44069</v>
      </c>
      <c r="U475" s="225">
        <v>44071</v>
      </c>
      <c r="V475" s="226"/>
      <c r="W475" s="226"/>
      <c r="X475" s="226"/>
      <c r="Y475" s="226"/>
      <c r="Z475" s="107"/>
      <c r="AB475" s="109">
        <f>_xlfn.DAYS(AA475,B475)</f>
        <v>-44050</v>
      </c>
      <c r="AC475" s="107">
        <f>(13/24+16/23)/2%</f>
        <v>61.865942028985501</v>
      </c>
      <c r="AD475" s="107">
        <v>982</v>
      </c>
      <c r="AE475" s="107">
        <v>229.5</v>
      </c>
      <c r="AF475" s="107">
        <v>90</v>
      </c>
      <c r="AG475" s="107">
        <f>COUNTIFS(F:F,"Culled",A:A,LEFT(A475,LEN(A475)-3)&amp;"*")/COUNTIF(A:A,LEFT(A475,LEN(A475)-3)&amp;"*")*100</f>
        <v>0</v>
      </c>
      <c r="AH475" s="108">
        <f>(AD475-AF475)/(D475*$K$1*2)%</f>
        <v>10.812121212121212</v>
      </c>
      <c r="AI475" s="108">
        <f>(AE475+AF475)/(D475*$K$1*2)%</f>
        <v>3.8727272727272726</v>
      </c>
    </row>
    <row r="476" spans="1:35" ht="15.75" hidden="1" customHeight="1">
      <c r="A476" s="107" t="s">
        <v>754</v>
      </c>
      <c r="B476" s="226">
        <v>44050</v>
      </c>
      <c r="C476" s="224">
        <v>10000</v>
      </c>
      <c r="D476" s="107">
        <f>COUNTA(G476:Z476)*0.5</f>
        <v>7.5</v>
      </c>
      <c r="F476" s="107" t="s">
        <v>263</v>
      </c>
      <c r="G476" s="225">
        <v>44050</v>
      </c>
      <c r="H476" s="225">
        <v>44050</v>
      </c>
      <c r="I476" s="225">
        <v>44050</v>
      </c>
      <c r="J476" s="225">
        <v>44055</v>
      </c>
      <c r="K476" s="225">
        <v>44056</v>
      </c>
      <c r="L476" s="225">
        <v>44057</v>
      </c>
      <c r="M476" s="225">
        <v>44061</v>
      </c>
      <c r="N476" s="225">
        <v>44061</v>
      </c>
      <c r="O476" s="225">
        <v>44064</v>
      </c>
      <c r="P476" s="225">
        <v>44064</v>
      </c>
      <c r="Q476" s="225">
        <v>44064</v>
      </c>
      <c r="R476" s="225">
        <v>44067</v>
      </c>
      <c r="S476" s="225">
        <v>44069</v>
      </c>
      <c r="T476" s="225">
        <v>44069</v>
      </c>
      <c r="U476" s="225">
        <v>44071</v>
      </c>
      <c r="V476" s="226"/>
      <c r="W476" s="226"/>
      <c r="X476" s="226"/>
      <c r="Y476" s="226"/>
      <c r="Z476" s="107"/>
      <c r="AB476" s="109">
        <f>_xlfn.DAYS(AA476,B476)</f>
        <v>-44050</v>
      </c>
      <c r="AG476" s="107">
        <f>COUNTIFS(F:F,"Culled",A:A,LEFT(A476,LEN(A476)-3)&amp;"*")/COUNTIF(A:A,LEFT(A476,LEN(A476)-3)&amp;"*")*100</f>
        <v>0</v>
      </c>
      <c r="AH476" s="108">
        <f>(AD476-AF476)/(D476*$K$1*2)%</f>
        <v>0</v>
      </c>
      <c r="AI476" s="108">
        <f>(AE476+AF476)/(D476*$K$1*2)%</f>
        <v>0</v>
      </c>
    </row>
    <row r="477" spans="1:35" ht="15.75" hidden="1" customHeight="1">
      <c r="A477" s="107" t="s">
        <v>755</v>
      </c>
      <c r="B477" s="226">
        <v>44050</v>
      </c>
      <c r="C477" s="224">
        <v>10000</v>
      </c>
      <c r="D477" s="107">
        <f>COUNTA(G477:Z477)*0.5</f>
        <v>7.5</v>
      </c>
      <c r="F477" s="107" t="s">
        <v>263</v>
      </c>
      <c r="G477" s="225">
        <v>44050</v>
      </c>
      <c r="H477" s="225">
        <v>44050</v>
      </c>
      <c r="I477" s="225">
        <v>44050</v>
      </c>
      <c r="J477" s="225">
        <v>44055</v>
      </c>
      <c r="K477" s="225">
        <v>44056</v>
      </c>
      <c r="L477" s="225">
        <v>44057</v>
      </c>
      <c r="M477" s="225">
        <v>44061</v>
      </c>
      <c r="N477" s="225">
        <v>44061</v>
      </c>
      <c r="O477" s="225">
        <v>44064</v>
      </c>
      <c r="P477" s="225">
        <v>44064</v>
      </c>
      <c r="Q477" s="225">
        <v>44064</v>
      </c>
      <c r="R477" s="225">
        <v>44067</v>
      </c>
      <c r="S477" s="225">
        <v>44069</v>
      </c>
      <c r="T477" s="225">
        <v>44069</v>
      </c>
      <c r="U477" s="225">
        <v>44071</v>
      </c>
      <c r="V477" s="226"/>
      <c r="W477" s="226"/>
      <c r="X477" s="226"/>
      <c r="Y477" s="226"/>
      <c r="Z477" s="107"/>
      <c r="AB477" s="109">
        <f>_xlfn.DAYS(AA477,B477)</f>
        <v>-44050</v>
      </c>
      <c r="AG477" s="107">
        <f>COUNTIFS(F:F,"Culled",A:A,LEFT(A477,LEN(A477)-3)&amp;"*")/COUNTIF(A:A,LEFT(A477,LEN(A477)-3)&amp;"*")*100</f>
        <v>0</v>
      </c>
      <c r="AH477" s="108">
        <f>(AD477-AF477)/(D477*$K$1*2)%</f>
        <v>0</v>
      </c>
      <c r="AI477" s="108">
        <f>(AE477+AF477)/(D477*$K$1*2)%</f>
        <v>0</v>
      </c>
    </row>
    <row r="478" spans="1:35" ht="15.75" hidden="1" customHeight="1">
      <c r="A478" s="107" t="s">
        <v>756</v>
      </c>
      <c r="B478" s="226">
        <v>44050</v>
      </c>
      <c r="C478" s="224">
        <v>10000</v>
      </c>
      <c r="D478" s="107">
        <f>COUNTA(G478:Z478)*0.5</f>
        <v>7.5</v>
      </c>
      <c r="F478" s="107" t="s">
        <v>263</v>
      </c>
      <c r="G478" s="225">
        <v>44050</v>
      </c>
      <c r="H478" s="225">
        <v>44050</v>
      </c>
      <c r="I478" s="225">
        <v>44050</v>
      </c>
      <c r="J478" s="225">
        <v>44055</v>
      </c>
      <c r="K478" s="225">
        <v>44056</v>
      </c>
      <c r="L478" s="225">
        <v>44057</v>
      </c>
      <c r="M478" s="225">
        <v>44061</v>
      </c>
      <c r="N478" s="225">
        <v>44061</v>
      </c>
      <c r="O478" s="225">
        <v>44064</v>
      </c>
      <c r="P478" s="225">
        <v>44064</v>
      </c>
      <c r="Q478" s="225">
        <v>44064</v>
      </c>
      <c r="R478" s="225">
        <v>44067</v>
      </c>
      <c r="S478" s="225">
        <v>44069</v>
      </c>
      <c r="T478" s="225">
        <v>44069</v>
      </c>
      <c r="U478" s="225">
        <v>44071</v>
      </c>
      <c r="V478" s="226"/>
      <c r="W478" s="226"/>
      <c r="X478" s="226"/>
      <c r="Y478" s="226"/>
      <c r="Z478" s="107"/>
      <c r="AB478" s="109">
        <f>_xlfn.DAYS(AA478,B478)</f>
        <v>-44050</v>
      </c>
      <c r="AC478" s="107">
        <f>(11/19+25/38)/2%</f>
        <v>61.842105263157897</v>
      </c>
      <c r="AD478" s="107">
        <v>1046.5</v>
      </c>
      <c r="AE478" s="107">
        <v>235.5</v>
      </c>
      <c r="AF478" s="107">
        <v>93.5</v>
      </c>
      <c r="AG478" s="107">
        <f>COUNTIFS(F:F,"Culled",A:A,LEFT(A478,LEN(A478)-3)&amp;"*")/COUNTIF(A:A,LEFT(A478,LEN(A478)-3)&amp;"*")*100</f>
        <v>0</v>
      </c>
      <c r="AH478" s="108">
        <f>(AD478-AF478)/(D478*$K$1*2)%</f>
        <v>11.551515151515151</v>
      </c>
      <c r="AI478" s="108">
        <f>(AE478+AF478)/(D478*$K$1*2)%</f>
        <v>3.9878787878787878</v>
      </c>
    </row>
    <row r="479" spans="1:35" ht="15.75" hidden="1" customHeight="1">
      <c r="A479" s="107" t="s">
        <v>757</v>
      </c>
      <c r="B479" s="226">
        <v>44050</v>
      </c>
      <c r="C479" s="224">
        <v>10000</v>
      </c>
      <c r="D479" s="107">
        <f>COUNTA(G479:Z479)*0.5</f>
        <v>7.5</v>
      </c>
      <c r="F479" s="107" t="s">
        <v>263</v>
      </c>
      <c r="G479" s="225">
        <v>44050</v>
      </c>
      <c r="H479" s="225">
        <v>44050</v>
      </c>
      <c r="I479" s="225">
        <v>44050</v>
      </c>
      <c r="J479" s="225">
        <v>44055</v>
      </c>
      <c r="K479" s="225">
        <v>44056</v>
      </c>
      <c r="L479" s="225">
        <v>44057</v>
      </c>
      <c r="M479" s="225">
        <v>44061</v>
      </c>
      <c r="N479" s="225">
        <v>44061</v>
      </c>
      <c r="O479" s="225">
        <v>44064</v>
      </c>
      <c r="P479" s="225">
        <v>44064</v>
      </c>
      <c r="Q479" s="225">
        <v>44064</v>
      </c>
      <c r="R479" s="225">
        <v>44067</v>
      </c>
      <c r="S479" s="225">
        <v>44069</v>
      </c>
      <c r="T479" s="225">
        <v>44069</v>
      </c>
      <c r="U479" s="225">
        <v>44071</v>
      </c>
      <c r="V479" s="226"/>
      <c r="W479" s="226"/>
      <c r="X479" s="226"/>
      <c r="Y479" s="226"/>
      <c r="Z479" s="107"/>
      <c r="AB479" s="109">
        <f>_xlfn.DAYS(AA479,B479)</f>
        <v>-44050</v>
      </c>
      <c r="AC479" s="107">
        <f>(10/32+19/30)/2%</f>
        <v>47.291666666666664</v>
      </c>
      <c r="AD479" s="107">
        <v>1122</v>
      </c>
      <c r="AE479" s="107">
        <v>248</v>
      </c>
      <c r="AF479" s="107">
        <v>96.5</v>
      </c>
      <c r="AG479" s="107">
        <f>COUNTIFS(F:F,"Culled",A:A,LEFT(A479,LEN(A479)-3)&amp;"*")/COUNTIF(A:A,LEFT(A479,LEN(A479)-3)&amp;"*")*100</f>
        <v>0</v>
      </c>
      <c r="AH479" s="108">
        <f>(AD479-AF479)/(D479*$K$1*2)%</f>
        <v>12.43030303030303</v>
      </c>
      <c r="AI479" s="108">
        <f>(AE479+AF479)/(D479*$K$1*2)%</f>
        <v>4.1757575757575758</v>
      </c>
    </row>
    <row r="480" spans="1:35" ht="15.75" hidden="1" customHeight="1">
      <c r="A480" s="107" t="s">
        <v>758</v>
      </c>
      <c r="B480" s="226">
        <v>44050</v>
      </c>
      <c r="C480" s="224">
        <v>10000</v>
      </c>
      <c r="D480" s="107">
        <f>COUNTA(G480:Z480)*0.5</f>
        <v>7.5</v>
      </c>
      <c r="F480" s="107" t="s">
        <v>263</v>
      </c>
      <c r="G480" s="225">
        <v>44050</v>
      </c>
      <c r="H480" s="225">
        <v>44050</v>
      </c>
      <c r="I480" s="225">
        <v>44050</v>
      </c>
      <c r="J480" s="225">
        <v>44055</v>
      </c>
      <c r="K480" s="225">
        <v>44056</v>
      </c>
      <c r="L480" s="225">
        <v>44057</v>
      </c>
      <c r="M480" s="225">
        <v>44061</v>
      </c>
      <c r="N480" s="225">
        <v>44061</v>
      </c>
      <c r="O480" s="225">
        <v>44064</v>
      </c>
      <c r="P480" s="225">
        <v>44064</v>
      </c>
      <c r="Q480" s="225">
        <v>44064</v>
      </c>
      <c r="R480" s="225">
        <v>44067</v>
      </c>
      <c r="S480" s="225">
        <v>44069</v>
      </c>
      <c r="T480" s="225">
        <v>44069</v>
      </c>
      <c r="U480" s="225">
        <v>44071</v>
      </c>
      <c r="V480" s="226"/>
      <c r="W480" s="226"/>
      <c r="X480" s="226"/>
      <c r="Y480" s="226"/>
      <c r="Z480" s="107"/>
      <c r="AB480" s="109">
        <f>_xlfn.DAYS(AA480,B480)</f>
        <v>-44050</v>
      </c>
      <c r="AG480" s="107">
        <f>COUNTIFS(F:F,"Culled",A:A,LEFT(A480,LEN(A480)-3)&amp;"*")/COUNTIF(A:A,LEFT(A480,LEN(A480)-3)&amp;"*")*100</f>
        <v>0</v>
      </c>
      <c r="AH480" s="108">
        <f>(AD480-AF480)/(D480*$K$1*2)%</f>
        <v>0</v>
      </c>
      <c r="AI480" s="108">
        <f>(AE480+AF480)/(D480*$K$1*2)%</f>
        <v>0</v>
      </c>
    </row>
    <row r="481" spans="1:36" ht="15.75" hidden="1" customHeight="1">
      <c r="A481" s="107" t="s">
        <v>759</v>
      </c>
      <c r="B481" s="226">
        <v>44113</v>
      </c>
      <c r="C481" s="230">
        <v>10182</v>
      </c>
      <c r="D481" s="107">
        <f>COUNTA(G481:Z481)*0.5</f>
        <v>1.5</v>
      </c>
      <c r="F481" s="107" t="s">
        <v>323</v>
      </c>
      <c r="G481" s="178">
        <v>44113</v>
      </c>
      <c r="H481" s="178">
        <v>44113</v>
      </c>
      <c r="I481" s="178">
        <v>44116</v>
      </c>
      <c r="AA481" s="166">
        <v>44119</v>
      </c>
    </row>
    <row r="482" spans="1:36" ht="15.75" hidden="1" customHeight="1">
      <c r="A482" s="107" t="s">
        <v>760</v>
      </c>
      <c r="B482" s="226">
        <v>44110</v>
      </c>
      <c r="C482" s="230">
        <v>10344</v>
      </c>
      <c r="D482" s="107">
        <f>COUNTA(G482:Z482)*0.5</f>
        <v>1.5</v>
      </c>
      <c r="F482" s="107" t="s">
        <v>323</v>
      </c>
      <c r="G482" s="178">
        <v>44110</v>
      </c>
      <c r="H482" s="178">
        <v>44110</v>
      </c>
      <c r="I482" s="178">
        <v>44116</v>
      </c>
      <c r="AA482" s="166">
        <v>44120</v>
      </c>
      <c r="AH482" s="107"/>
    </row>
    <row r="483" spans="1:36" ht="15.75" hidden="1" customHeight="1">
      <c r="A483" s="107" t="s">
        <v>761</v>
      </c>
      <c r="B483" s="226">
        <v>44050</v>
      </c>
      <c r="C483" s="224">
        <v>10000</v>
      </c>
      <c r="D483" s="107">
        <f>COUNTA(G483:Z483)*0.5</f>
        <v>7.5</v>
      </c>
      <c r="F483" s="107" t="s">
        <v>263</v>
      </c>
      <c r="G483" s="225">
        <v>44050</v>
      </c>
      <c r="H483" s="225">
        <v>44050</v>
      </c>
      <c r="I483" s="225">
        <v>44050</v>
      </c>
      <c r="J483" s="225">
        <v>44055</v>
      </c>
      <c r="K483" s="225">
        <v>44056</v>
      </c>
      <c r="L483" s="225">
        <v>44057</v>
      </c>
      <c r="M483" s="225">
        <v>44061</v>
      </c>
      <c r="N483" s="225">
        <v>44061</v>
      </c>
      <c r="O483" s="225">
        <v>44064</v>
      </c>
      <c r="P483" s="225">
        <v>44064</v>
      </c>
      <c r="Q483" s="225">
        <v>44064</v>
      </c>
      <c r="R483" s="225">
        <v>44067</v>
      </c>
      <c r="S483" s="225">
        <v>44069</v>
      </c>
      <c r="T483" s="225">
        <v>44069</v>
      </c>
      <c r="U483" s="225">
        <v>44071</v>
      </c>
      <c r="V483" s="226"/>
      <c r="W483" s="226"/>
      <c r="X483" s="226"/>
      <c r="Y483" s="226"/>
      <c r="Z483" s="107"/>
      <c r="AB483" s="109">
        <f>_xlfn.DAYS(AA483,B483)</f>
        <v>-44050</v>
      </c>
      <c r="AC483" s="107">
        <f>(10/25+11/41)/2%</f>
        <v>33.414634146341463</v>
      </c>
      <c r="AD483" s="107">
        <v>910</v>
      </c>
      <c r="AE483" s="107">
        <v>233</v>
      </c>
      <c r="AF483" s="107">
        <v>66.5</v>
      </c>
      <c r="AG483" s="107">
        <f>COUNTIFS(F:F,"Culled",A:A,LEFT(A483,LEN(A483)-3)&amp;"*")/COUNTIF(A:A,LEFT(A483,LEN(A483)-3)&amp;"*")*100</f>
        <v>0</v>
      </c>
      <c r="AH483" s="108">
        <f>(AD483-AF483)/(D483*$K$1*2)%</f>
        <v>10.224242424242425</v>
      </c>
      <c r="AI483" s="108">
        <f>(AE483+AF483)/(D483*$K$1*2)%</f>
        <v>3.6303030303030304</v>
      </c>
    </row>
    <row r="484" spans="1:36" ht="15.75" hidden="1" customHeight="1">
      <c r="A484" s="110" t="s">
        <v>762</v>
      </c>
      <c r="B484" s="229">
        <v>43901</v>
      </c>
      <c r="C484" s="110">
        <v>10000</v>
      </c>
      <c r="D484" s="110">
        <v>10.25</v>
      </c>
      <c r="E484" s="110"/>
      <c r="F484" s="107" t="s">
        <v>263</v>
      </c>
      <c r="G484" s="107"/>
      <c r="H484" s="107"/>
      <c r="I484" s="107"/>
      <c r="J484" s="107"/>
      <c r="K484" s="107"/>
      <c r="L484" s="107"/>
      <c r="M484" s="107"/>
      <c r="N484" s="107"/>
      <c r="O484" s="107"/>
      <c r="P484" s="107"/>
      <c r="Q484" s="107"/>
      <c r="R484" s="107"/>
      <c r="S484" s="107"/>
      <c r="T484" s="107"/>
      <c r="U484" s="107"/>
      <c r="V484" s="107"/>
      <c r="W484" s="107"/>
      <c r="X484" s="107"/>
      <c r="Y484" s="107"/>
      <c r="Z484" s="107"/>
      <c r="AA484" s="167">
        <v>43930</v>
      </c>
      <c r="AB484" s="109">
        <f>_xlfn.DAYS(AA484,B484)</f>
        <v>29</v>
      </c>
      <c r="AC484" s="110">
        <v>28.57</v>
      </c>
      <c r="AD484" s="110">
        <v>1256</v>
      </c>
      <c r="AE484" s="110">
        <v>336</v>
      </c>
      <c r="AF484" s="110">
        <v>87</v>
      </c>
      <c r="AG484" s="110">
        <v>0</v>
      </c>
      <c r="AH484" s="108">
        <f>(AD484-AF484)/(D484*$K$1*2)%</f>
        <v>10.368070953436806</v>
      </c>
      <c r="AI484" s="108">
        <f>(AE484+AF484)/(D484*$K$1*2)%</f>
        <v>3.7516629711751661</v>
      </c>
      <c r="AJ484" s="110"/>
    </row>
    <row r="485" spans="1:36" ht="15.75" hidden="1" customHeight="1">
      <c r="A485" s="110" t="s">
        <v>763</v>
      </c>
      <c r="B485" s="229">
        <v>43901</v>
      </c>
      <c r="C485" s="110">
        <v>10000</v>
      </c>
      <c r="D485" s="110">
        <v>10.25</v>
      </c>
      <c r="E485" s="110"/>
      <c r="F485" s="107" t="s">
        <v>263</v>
      </c>
      <c r="G485" s="107"/>
      <c r="H485" s="107"/>
      <c r="I485" s="107"/>
      <c r="J485" s="107"/>
      <c r="K485" s="107"/>
      <c r="L485" s="107"/>
      <c r="M485" s="107"/>
      <c r="N485" s="107"/>
      <c r="O485" s="107"/>
      <c r="P485" s="107"/>
      <c r="Q485" s="107"/>
      <c r="R485" s="107"/>
      <c r="S485" s="107"/>
      <c r="T485" s="107"/>
      <c r="U485" s="107"/>
      <c r="V485" s="107"/>
      <c r="W485" s="107"/>
      <c r="X485" s="107"/>
      <c r="Y485" s="107"/>
      <c r="Z485" s="107"/>
      <c r="AA485" s="167">
        <v>43930</v>
      </c>
      <c r="AB485" s="109">
        <f>_xlfn.DAYS(AA485,B485)</f>
        <v>29</v>
      </c>
      <c r="AC485" s="110">
        <v>62.5</v>
      </c>
      <c r="AD485" s="110">
        <v>1237.5</v>
      </c>
      <c r="AE485" s="110">
        <v>325.5</v>
      </c>
      <c r="AF485" s="110">
        <v>128</v>
      </c>
      <c r="AG485" s="110">
        <v>0</v>
      </c>
      <c r="AH485" s="108">
        <f>(AD485-AF485)/(D485*$K$1*2)%</f>
        <v>9.840354767184035</v>
      </c>
      <c r="AI485" s="108">
        <f>(AE485+AF485)/(D485*$K$1*2)%</f>
        <v>4.0221729490022176</v>
      </c>
      <c r="AJ485" s="110"/>
    </row>
    <row r="486" spans="1:36" ht="15.75" hidden="1" customHeight="1">
      <c r="A486" s="110" t="s">
        <v>764</v>
      </c>
      <c r="B486" s="229">
        <v>43901</v>
      </c>
      <c r="C486" s="110">
        <v>10000</v>
      </c>
      <c r="D486" s="110">
        <v>10.75</v>
      </c>
      <c r="E486" s="110"/>
      <c r="F486" s="107" t="s">
        <v>263</v>
      </c>
      <c r="G486" s="107"/>
      <c r="H486" s="107"/>
      <c r="I486" s="107"/>
      <c r="J486" s="107"/>
      <c r="K486" s="107"/>
      <c r="L486" s="107"/>
      <c r="M486" s="107"/>
      <c r="N486" s="107"/>
      <c r="O486" s="107"/>
      <c r="P486" s="107"/>
      <c r="Q486" s="107"/>
      <c r="R486" s="107"/>
      <c r="S486" s="107"/>
      <c r="T486" s="107"/>
      <c r="U486" s="107"/>
      <c r="V486" s="107"/>
      <c r="W486" s="107"/>
      <c r="X486" s="107"/>
      <c r="Y486" s="107"/>
      <c r="Z486" s="107"/>
      <c r="AA486" s="167">
        <v>43930</v>
      </c>
      <c r="AB486" s="109">
        <f>_xlfn.DAYS(AA486,B486)</f>
        <v>29</v>
      </c>
      <c r="AC486" s="110">
        <v>25</v>
      </c>
      <c r="AD486" s="110">
        <v>1254</v>
      </c>
      <c r="AE486" s="110">
        <v>333.5</v>
      </c>
      <c r="AF486" s="110">
        <v>127.5</v>
      </c>
      <c r="AG486" s="110">
        <v>0</v>
      </c>
      <c r="AH486" s="108">
        <f>(AD486-AF486)/(D486*$K$1*2)%</f>
        <v>9.5264270613107822</v>
      </c>
      <c r="AI486" s="108">
        <f>(AE486+AF486)/(D486*$K$1*2)%</f>
        <v>3.8985200845665964</v>
      </c>
      <c r="AJ486" s="110"/>
    </row>
    <row r="487" spans="1:36" ht="15.75" hidden="1" customHeight="1">
      <c r="A487" s="110" t="s">
        <v>765</v>
      </c>
      <c r="B487" s="229">
        <v>43901</v>
      </c>
      <c r="C487" s="110">
        <v>10000</v>
      </c>
      <c r="D487" s="110">
        <v>10.25</v>
      </c>
      <c r="E487" s="110"/>
      <c r="F487" s="107" t="s">
        <v>263</v>
      </c>
      <c r="G487" s="107"/>
      <c r="H487" s="107"/>
      <c r="I487" s="107"/>
      <c r="J487" s="107"/>
      <c r="K487" s="107"/>
      <c r="L487" s="107"/>
      <c r="M487" s="107"/>
      <c r="N487" s="107"/>
      <c r="O487" s="107"/>
      <c r="P487" s="107"/>
      <c r="Q487" s="107"/>
      <c r="R487" s="107"/>
      <c r="S487" s="107"/>
      <c r="T487" s="107"/>
      <c r="U487" s="107"/>
      <c r="V487" s="107"/>
      <c r="W487" s="107"/>
      <c r="X487" s="107"/>
      <c r="Y487" s="107"/>
      <c r="Z487" s="107"/>
      <c r="AA487" s="167">
        <v>43930</v>
      </c>
      <c r="AB487" s="109">
        <f>_xlfn.DAYS(AA487,B487)</f>
        <v>29</v>
      </c>
      <c r="AC487" s="110">
        <v>33</v>
      </c>
      <c r="AD487" s="110">
        <v>1226.5</v>
      </c>
      <c r="AE487" s="110">
        <v>353</v>
      </c>
      <c r="AF487" s="110">
        <v>120.5</v>
      </c>
      <c r="AG487" s="110">
        <v>0</v>
      </c>
      <c r="AH487" s="108">
        <f>(AD487-AF487)/(D487*$K$1*2)%</f>
        <v>9.8093126385809306</v>
      </c>
      <c r="AI487" s="108">
        <f>(AE487+AF487)/(D487*$K$1*2)%</f>
        <v>4.1995565410199553</v>
      </c>
      <c r="AJ487" s="110"/>
    </row>
    <row r="488" spans="1:36" ht="15.75" hidden="1" customHeight="1">
      <c r="A488" s="107" t="s">
        <v>766</v>
      </c>
      <c r="B488" s="226">
        <v>44106</v>
      </c>
      <c r="C488" s="111">
        <v>10123.299999999999</v>
      </c>
      <c r="D488" s="107">
        <f>COUNTA(G488:Z488)*0.5</f>
        <v>2.5</v>
      </c>
      <c r="F488" s="107" t="s">
        <v>323</v>
      </c>
      <c r="G488" s="178">
        <v>44106</v>
      </c>
      <c r="H488" s="178">
        <v>44106</v>
      </c>
      <c r="I488" s="178">
        <v>44110</v>
      </c>
      <c r="J488" s="178">
        <v>44113</v>
      </c>
      <c r="K488" s="178">
        <v>44116</v>
      </c>
      <c r="AA488" s="166">
        <v>44120</v>
      </c>
      <c r="AH488" s="107"/>
    </row>
    <row r="489" spans="1:36" ht="15.75" hidden="1" customHeight="1">
      <c r="A489" s="107" t="s">
        <v>767</v>
      </c>
      <c r="B489" s="226">
        <v>44106</v>
      </c>
      <c r="C489" s="111">
        <v>10123.299999999999</v>
      </c>
      <c r="D489" s="107">
        <f>COUNTA(G489:Z489)*0.5</f>
        <v>2.5</v>
      </c>
      <c r="F489" s="107" t="s">
        <v>323</v>
      </c>
      <c r="G489" s="178">
        <v>44106</v>
      </c>
      <c r="H489" s="178">
        <v>44106</v>
      </c>
      <c r="I489" s="178">
        <v>44110</v>
      </c>
      <c r="J489" s="178">
        <v>44113</v>
      </c>
      <c r="K489" s="178">
        <v>44116</v>
      </c>
      <c r="AA489" s="166">
        <v>44120</v>
      </c>
      <c r="AH489" s="107"/>
    </row>
    <row r="490" spans="1:36" ht="15.75" hidden="1" customHeight="1">
      <c r="A490" s="107" t="s">
        <v>768</v>
      </c>
      <c r="B490" s="226">
        <v>44106</v>
      </c>
      <c r="C490" s="111">
        <v>10123.299999999999</v>
      </c>
      <c r="D490" s="107">
        <f>COUNTA(G490:Z490)*0.5</f>
        <v>2.5</v>
      </c>
      <c r="F490" s="107" t="s">
        <v>323</v>
      </c>
      <c r="G490" s="178">
        <v>44106</v>
      </c>
      <c r="H490" s="178">
        <v>44106</v>
      </c>
      <c r="I490" s="178">
        <v>44110</v>
      </c>
      <c r="J490" s="178">
        <v>44113</v>
      </c>
      <c r="K490" s="178">
        <v>44116</v>
      </c>
      <c r="AA490" s="166">
        <v>44120</v>
      </c>
      <c r="AH490" s="107"/>
    </row>
    <row r="491" spans="1:36" ht="15.75" hidden="1" customHeight="1">
      <c r="A491" s="110" t="s">
        <v>769</v>
      </c>
      <c r="B491" s="229">
        <v>43901</v>
      </c>
      <c r="C491" s="110">
        <v>10000</v>
      </c>
      <c r="D491" s="110">
        <v>10.25</v>
      </c>
      <c r="E491" s="110"/>
      <c r="F491" s="107" t="s">
        <v>263</v>
      </c>
      <c r="G491" s="107"/>
      <c r="H491" s="107"/>
      <c r="I491" s="107"/>
      <c r="J491" s="107"/>
      <c r="K491" s="107"/>
      <c r="L491" s="107"/>
      <c r="M491" s="107"/>
      <c r="N491" s="107"/>
      <c r="O491" s="107"/>
      <c r="P491" s="107"/>
      <c r="Q491" s="107"/>
      <c r="R491" s="107"/>
      <c r="S491" s="107"/>
      <c r="T491" s="107"/>
      <c r="U491" s="107"/>
      <c r="V491" s="107"/>
      <c r="W491" s="107"/>
      <c r="X491" s="107"/>
      <c r="Y491" s="107"/>
      <c r="Z491" s="107"/>
      <c r="AA491" s="167">
        <v>43930</v>
      </c>
      <c r="AB491" s="109">
        <f>_xlfn.DAYS(AA491,B491)</f>
        <v>29</v>
      </c>
      <c r="AC491" s="110">
        <v>33</v>
      </c>
      <c r="AD491" s="110">
        <v>1292.5</v>
      </c>
      <c r="AE491" s="110">
        <v>344.5</v>
      </c>
      <c r="AF491" s="110">
        <v>117</v>
      </c>
      <c r="AG491" s="110">
        <v>0</v>
      </c>
      <c r="AH491" s="108">
        <f>(AD491-AF491)/(D491*$K$1*2)%</f>
        <v>10.425720620842572</v>
      </c>
      <c r="AI491" s="108">
        <f>(AE491+AF491)/(D491*$K$1*2)%</f>
        <v>4.0931263858093123</v>
      </c>
      <c r="AJ491" s="110"/>
    </row>
    <row r="492" spans="1:36" ht="15.75" hidden="1" customHeight="1">
      <c r="A492" s="110" t="s">
        <v>770</v>
      </c>
      <c r="B492" s="229">
        <v>43962</v>
      </c>
      <c r="C492" s="110">
        <v>6800</v>
      </c>
      <c r="D492" s="110">
        <v>3.5</v>
      </c>
      <c r="E492" s="110"/>
      <c r="F492" s="107" t="s">
        <v>263</v>
      </c>
      <c r="G492" s="107"/>
      <c r="H492" s="107"/>
      <c r="I492" s="107"/>
      <c r="J492" s="107"/>
      <c r="K492" s="107"/>
      <c r="L492" s="107"/>
      <c r="M492" s="107"/>
      <c r="N492" s="107"/>
      <c r="O492" s="107"/>
      <c r="P492" s="107"/>
      <c r="Q492" s="107"/>
      <c r="R492" s="107"/>
      <c r="S492" s="107"/>
      <c r="T492" s="107"/>
      <c r="U492" s="107"/>
      <c r="V492" s="107"/>
      <c r="W492" s="107"/>
      <c r="X492" s="107"/>
      <c r="Y492" s="107"/>
      <c r="Z492" s="107"/>
      <c r="AA492" s="167">
        <v>43983</v>
      </c>
      <c r="AB492" s="109">
        <f>_xlfn.DAYS(AA492,B492)</f>
        <v>21</v>
      </c>
      <c r="AC492" s="110">
        <f>5/13%</f>
        <v>38.46153846153846</v>
      </c>
      <c r="AD492" s="110">
        <v>642.5</v>
      </c>
      <c r="AE492" s="110">
        <v>342</v>
      </c>
      <c r="AF492" s="110">
        <v>0</v>
      </c>
      <c r="AG492" s="110">
        <v>0</v>
      </c>
      <c r="AH492" s="108">
        <f>(AD492-AF492)/(D492*$K$1*2)%</f>
        <v>16.688311688311689</v>
      </c>
      <c r="AI492" s="108">
        <f>(AE492+AF492)/(D492*$K$1*2)%</f>
        <v>8.8831168831168839</v>
      </c>
      <c r="AJ492" s="110"/>
    </row>
    <row r="493" spans="1:36" ht="15.75" hidden="1" customHeight="1">
      <c r="A493" s="110" t="s">
        <v>771</v>
      </c>
      <c r="B493" s="229">
        <v>44027</v>
      </c>
      <c r="C493" s="110">
        <v>10000</v>
      </c>
      <c r="D493" s="236">
        <v>6</v>
      </c>
      <c r="E493" s="236"/>
      <c r="F493" s="107" t="s">
        <v>263</v>
      </c>
      <c r="G493" s="107"/>
      <c r="H493" s="107"/>
      <c r="I493" s="107"/>
      <c r="J493" s="107"/>
      <c r="K493" s="107"/>
      <c r="L493" s="107"/>
      <c r="M493" s="107"/>
      <c r="N493" s="107"/>
      <c r="O493" s="107"/>
      <c r="P493" s="107"/>
      <c r="Q493" s="107"/>
      <c r="R493" s="107"/>
      <c r="S493" s="107"/>
      <c r="T493" s="107"/>
      <c r="U493" s="107"/>
      <c r="V493" s="107"/>
      <c r="W493" s="107"/>
      <c r="X493" s="107"/>
      <c r="Y493" s="107"/>
      <c r="Z493" s="107"/>
      <c r="AA493" s="167">
        <v>44054</v>
      </c>
      <c r="AB493" s="109">
        <f>_xlfn.DAYS(AA493,B493)</f>
        <v>27</v>
      </c>
      <c r="AC493" s="110"/>
      <c r="AD493" s="107">
        <f>ROUND(AVERAGE(1016,1033.5,905,1023,932.5,968,962,978,956,959.5,986,937),1)</f>
        <v>971.4</v>
      </c>
      <c r="AE493" s="110">
        <f>ROUND((1262.5+1387+1111.5)/12,1)</f>
        <v>313.39999999999998</v>
      </c>
      <c r="AF493" s="110"/>
      <c r="AG493" s="107">
        <f>COUNTIFS(F:F,"Culled",A:A,LEFT(A493,LEN(A493)-3)&amp;"*")/COUNTIF(A:A,LEFT(A493,LEN(A493)-3)&amp;"*")*100</f>
        <v>0</v>
      </c>
      <c r="AH493" s="108">
        <f>(AD493-AF493)/(D493*$K$1*2)%</f>
        <v>14.718181818181819</v>
      </c>
      <c r="AI493" s="108">
        <f>(AE493+AF493)/(D493*$K$1*2)%</f>
        <v>4.7484848484848481</v>
      </c>
    </row>
    <row r="494" spans="1:36" ht="15.75" hidden="1" customHeight="1">
      <c r="A494" s="110" t="s">
        <v>772</v>
      </c>
      <c r="B494" s="229">
        <v>44027</v>
      </c>
      <c r="C494" s="110">
        <v>10000</v>
      </c>
      <c r="D494" s="236">
        <v>6</v>
      </c>
      <c r="E494" s="236"/>
      <c r="F494" s="107" t="s">
        <v>263</v>
      </c>
      <c r="G494" s="107"/>
      <c r="H494" s="107"/>
      <c r="I494" s="107"/>
      <c r="J494" s="107"/>
      <c r="K494" s="107"/>
      <c r="L494" s="107"/>
      <c r="M494" s="107"/>
      <c r="N494" s="107"/>
      <c r="O494" s="107"/>
      <c r="P494" s="107"/>
      <c r="Q494" s="107"/>
      <c r="R494" s="107"/>
      <c r="S494" s="107"/>
      <c r="T494" s="107"/>
      <c r="U494" s="107"/>
      <c r="V494" s="107"/>
      <c r="W494" s="107"/>
      <c r="X494" s="107"/>
      <c r="Y494" s="107"/>
      <c r="Z494" s="107"/>
      <c r="AA494" s="167">
        <v>44054</v>
      </c>
      <c r="AB494" s="109">
        <f>_xlfn.DAYS(AA494,B494)</f>
        <v>27</v>
      </c>
      <c r="AC494" s="110">
        <f>AVERAGE(2/27,4/21)*100</f>
        <v>13.227513227513226</v>
      </c>
      <c r="AD494" s="110">
        <v>976.5</v>
      </c>
      <c r="AE494" s="110">
        <v>376</v>
      </c>
      <c r="AF494" s="110"/>
      <c r="AG494" s="107">
        <f>COUNTIFS(F:F,"Culled",A:A,LEFT(A494,LEN(A494)-3)&amp;"*")/COUNTIF(A:A,LEFT(A494,LEN(A494)-3)&amp;"*")*100</f>
        <v>0</v>
      </c>
      <c r="AH494" s="108">
        <f>(AD494-AF494)/(D494*$K$1*2)%</f>
        <v>14.795454545454545</v>
      </c>
      <c r="AI494" s="108">
        <f>(AE494+AF494)/(D494*$K$1*2)%</f>
        <v>5.6969696969696972</v>
      </c>
    </row>
    <row r="495" spans="1:36" ht="15.75" hidden="1" customHeight="1">
      <c r="A495" s="110" t="s">
        <v>773</v>
      </c>
      <c r="B495" s="229">
        <v>44027</v>
      </c>
      <c r="C495" s="110">
        <v>10000</v>
      </c>
      <c r="D495" s="236">
        <v>6</v>
      </c>
      <c r="E495" s="236"/>
      <c r="F495" s="107" t="s">
        <v>263</v>
      </c>
      <c r="G495" s="107"/>
      <c r="H495" s="107"/>
      <c r="I495" s="107"/>
      <c r="J495" s="107"/>
      <c r="K495" s="107"/>
      <c r="L495" s="107"/>
      <c r="M495" s="107"/>
      <c r="N495" s="107"/>
      <c r="O495" s="107"/>
      <c r="P495" s="107"/>
      <c r="Q495" s="107"/>
      <c r="R495" s="107"/>
      <c r="S495" s="107"/>
      <c r="T495" s="107"/>
      <c r="U495" s="107"/>
      <c r="V495" s="107"/>
      <c r="W495" s="107"/>
      <c r="X495" s="107"/>
      <c r="Y495" s="107"/>
      <c r="Z495" s="107"/>
      <c r="AA495" s="167">
        <v>44054</v>
      </c>
      <c r="AB495" s="109">
        <f>_xlfn.DAYS(AA495,B495)</f>
        <v>27</v>
      </c>
      <c r="AC495" s="110"/>
      <c r="AD495" s="107">
        <f>ROUND(AVERAGE(1016,1033.5,905,1023,932.5,968,962,978,956,959.5,986,937),1)</f>
        <v>971.4</v>
      </c>
      <c r="AE495" s="110">
        <f>ROUND((1262.5+1387+1111.5)/12,1)</f>
        <v>313.39999999999998</v>
      </c>
      <c r="AF495" s="110"/>
      <c r="AG495" s="107">
        <f>COUNTIFS(F:F,"Culled",A:A,LEFT(A495,LEN(A495)-3)&amp;"*")/COUNTIF(A:A,LEFT(A495,LEN(A495)-3)&amp;"*")*100</f>
        <v>0</v>
      </c>
      <c r="AH495" s="108">
        <f>(AD495-AF495)/(D495*$K$1*2)%</f>
        <v>14.718181818181819</v>
      </c>
      <c r="AI495" s="108">
        <f>(AE495+AF495)/(D495*$K$1*2)%</f>
        <v>4.7484848484848481</v>
      </c>
    </row>
    <row r="496" spans="1:36" ht="15.75" hidden="1" customHeight="1">
      <c r="A496" s="110" t="s">
        <v>774</v>
      </c>
      <c r="B496" s="229">
        <v>44027</v>
      </c>
      <c r="C496" s="110">
        <v>10000</v>
      </c>
      <c r="D496" s="236">
        <v>6</v>
      </c>
      <c r="E496" s="236"/>
      <c r="F496" s="107" t="s">
        <v>263</v>
      </c>
      <c r="G496" s="107"/>
      <c r="H496" s="107"/>
      <c r="I496" s="107"/>
      <c r="J496" s="107"/>
      <c r="K496" s="107"/>
      <c r="L496" s="107"/>
      <c r="M496" s="107"/>
      <c r="N496" s="107"/>
      <c r="O496" s="107"/>
      <c r="P496" s="107"/>
      <c r="Q496" s="107"/>
      <c r="R496" s="107"/>
      <c r="S496" s="107"/>
      <c r="T496" s="107"/>
      <c r="U496" s="107"/>
      <c r="V496" s="107"/>
      <c r="W496" s="107"/>
      <c r="X496" s="107"/>
      <c r="Y496" s="107"/>
      <c r="Z496" s="107"/>
      <c r="AA496" s="167">
        <v>44054</v>
      </c>
      <c r="AB496" s="109">
        <f>_xlfn.DAYS(AA496,B496)</f>
        <v>27</v>
      </c>
      <c r="AC496" s="110">
        <f>AVERAGE(2/23,3/15)*100</f>
        <v>14.347826086956522</v>
      </c>
      <c r="AD496" s="110">
        <v>986.5</v>
      </c>
      <c r="AE496" s="110">
        <v>362</v>
      </c>
      <c r="AF496" s="110"/>
      <c r="AG496" s="107">
        <f>COUNTIFS(F:F,"Culled",A:A,LEFT(A496,LEN(A496)-3)&amp;"*")/COUNTIF(A:A,LEFT(A496,LEN(A496)-3)&amp;"*")*100</f>
        <v>0</v>
      </c>
      <c r="AH496" s="108">
        <f>(AD496-AF496)/(D496*$K$1*2)%</f>
        <v>14.946969696969697</v>
      </c>
      <c r="AI496" s="108">
        <f>(AE496+AF496)/(D496*$K$1*2)%</f>
        <v>5.4848484848484844</v>
      </c>
    </row>
    <row r="497" spans="1:41" ht="15.75" hidden="1" customHeight="1">
      <c r="A497" s="110" t="s">
        <v>775</v>
      </c>
      <c r="B497" s="229">
        <v>44027</v>
      </c>
      <c r="C497" s="110">
        <v>10000</v>
      </c>
      <c r="D497" s="236">
        <v>6</v>
      </c>
      <c r="E497" s="236"/>
      <c r="F497" s="107" t="s">
        <v>263</v>
      </c>
      <c r="G497" s="107"/>
      <c r="H497" s="107"/>
      <c r="I497" s="107"/>
      <c r="J497" s="107"/>
      <c r="K497" s="107"/>
      <c r="L497" s="107"/>
      <c r="M497" s="107"/>
      <c r="N497" s="107"/>
      <c r="O497" s="107"/>
      <c r="P497" s="107"/>
      <c r="Q497" s="107"/>
      <c r="R497" s="107"/>
      <c r="S497" s="107"/>
      <c r="T497" s="107"/>
      <c r="U497" s="107"/>
      <c r="V497" s="107"/>
      <c r="W497" s="107"/>
      <c r="X497" s="107"/>
      <c r="Y497" s="107"/>
      <c r="Z497" s="107"/>
      <c r="AA497" s="167">
        <v>44054</v>
      </c>
      <c r="AB497" s="109">
        <f>_xlfn.DAYS(AA497,B497)</f>
        <v>27</v>
      </c>
      <c r="AC497" s="110"/>
      <c r="AD497" s="107">
        <f>ROUND(AVERAGE(1016,1033.5,905,1023,932.5,968,962,978,956,959.5,986,937),1)</f>
        <v>971.4</v>
      </c>
      <c r="AE497" s="110">
        <f>ROUND((1262.5+1387+1111.5)/12,1)</f>
        <v>313.39999999999998</v>
      </c>
      <c r="AF497" s="110"/>
      <c r="AG497" s="107">
        <f>COUNTIFS(F:F,"Culled",A:A,LEFT(A497,LEN(A497)-3)&amp;"*")/COUNTIF(A:A,LEFT(A497,LEN(A497)-3)&amp;"*")*100</f>
        <v>0</v>
      </c>
      <c r="AH497" s="108">
        <f>(AD497-AF497)/(D497*$K$1*2)%</f>
        <v>14.718181818181819</v>
      </c>
      <c r="AI497" s="108">
        <f>(AE497+AF497)/(D497*$K$1*2)%</f>
        <v>4.7484848484848481</v>
      </c>
    </row>
    <row r="498" spans="1:41" ht="15.75" hidden="1" customHeight="1">
      <c r="A498" s="110" t="s">
        <v>776</v>
      </c>
      <c r="B498" s="229">
        <v>44027</v>
      </c>
      <c r="C498" s="110">
        <v>10000</v>
      </c>
      <c r="D498" s="236">
        <v>6</v>
      </c>
      <c r="E498" s="236"/>
      <c r="F498" s="107" t="s">
        <v>263</v>
      </c>
      <c r="G498" s="107"/>
      <c r="H498" s="107"/>
      <c r="I498" s="107"/>
      <c r="J498" s="107"/>
      <c r="K498" s="107"/>
      <c r="L498" s="107"/>
      <c r="M498" s="107"/>
      <c r="N498" s="107"/>
      <c r="O498" s="107"/>
      <c r="P498" s="107"/>
      <c r="Q498" s="107"/>
      <c r="R498" s="107"/>
      <c r="S498" s="107"/>
      <c r="T498" s="107"/>
      <c r="U498" s="107"/>
      <c r="V498" s="107"/>
      <c r="W498" s="107"/>
      <c r="X498" s="107"/>
      <c r="Y498" s="107"/>
      <c r="Z498" s="107"/>
      <c r="AA498" s="167">
        <v>44054</v>
      </c>
      <c r="AB498" s="109">
        <f>_xlfn.DAYS(AA498,B498)</f>
        <v>27</v>
      </c>
      <c r="AC498" s="110"/>
      <c r="AD498" s="107">
        <f>ROUND(AVERAGE(1016,1033.5,905,1023,932.5,968,962,978,956,959.5,986,937),1)</f>
        <v>971.4</v>
      </c>
      <c r="AE498" s="110">
        <f>ROUND((1262.5+1387+1111.5)/12,1)</f>
        <v>313.39999999999998</v>
      </c>
      <c r="AF498" s="110"/>
      <c r="AG498" s="107">
        <f>COUNTIFS(F:F,"Culled",A:A,LEFT(A498,LEN(A498)-3)&amp;"*")/COUNTIF(A:A,LEFT(A498,LEN(A498)-3)&amp;"*")*100</f>
        <v>0</v>
      </c>
      <c r="AH498" s="108">
        <f>(AD498-AF498)/(D498*$K$1*2)%</f>
        <v>14.718181818181819</v>
      </c>
      <c r="AI498" s="108">
        <f>(AE498+AF498)/(D498*$K$1*2)%</f>
        <v>4.7484848484848481</v>
      </c>
    </row>
    <row r="499" spans="1:41" ht="15.75" hidden="1" customHeight="1">
      <c r="A499" s="107" t="s">
        <v>777</v>
      </c>
      <c r="B499" s="226">
        <v>44106</v>
      </c>
      <c r="C499" s="111">
        <v>10123.299999999999</v>
      </c>
      <c r="D499" s="107">
        <f>COUNTA(G499:Z499)*0.5</f>
        <v>2</v>
      </c>
      <c r="F499" s="107" t="s">
        <v>323</v>
      </c>
      <c r="G499" s="178">
        <v>44106</v>
      </c>
      <c r="H499" s="178">
        <v>44106</v>
      </c>
      <c r="I499" s="178">
        <v>44113</v>
      </c>
      <c r="J499" s="178">
        <v>44116</v>
      </c>
      <c r="AA499" s="166">
        <v>44120</v>
      </c>
      <c r="AH499" s="107"/>
    </row>
    <row r="500" spans="1:41" ht="15.75" hidden="1" customHeight="1">
      <c r="A500" s="107" t="s">
        <v>778</v>
      </c>
      <c r="B500" s="226">
        <v>44106</v>
      </c>
      <c r="C500" s="111">
        <v>10123.299999999999</v>
      </c>
      <c r="D500" s="107">
        <f>COUNTA(G500:Z500)*0.5</f>
        <v>2.5</v>
      </c>
      <c r="F500" s="107" t="s">
        <v>323</v>
      </c>
      <c r="G500" s="178">
        <v>44106</v>
      </c>
      <c r="H500" s="178">
        <v>44106</v>
      </c>
      <c r="I500" s="178">
        <v>44110</v>
      </c>
      <c r="J500" s="178">
        <v>44113</v>
      </c>
      <c r="K500" s="178">
        <v>44116</v>
      </c>
      <c r="AA500" s="166">
        <v>44120</v>
      </c>
      <c r="AH500" s="107"/>
    </row>
    <row r="501" spans="1:41" ht="15.75" hidden="1" customHeight="1">
      <c r="A501" s="10" t="s">
        <v>779</v>
      </c>
      <c r="B501" s="229">
        <v>43944</v>
      </c>
      <c r="C501" s="10">
        <v>10000</v>
      </c>
      <c r="D501" s="110">
        <v>7</v>
      </c>
      <c r="E501" s="110"/>
      <c r="F501" s="107" t="s">
        <v>323</v>
      </c>
      <c r="G501" s="107"/>
      <c r="H501" s="107"/>
      <c r="I501" s="107"/>
      <c r="J501" s="107"/>
      <c r="K501" s="107"/>
      <c r="L501" s="107"/>
      <c r="M501" s="107"/>
      <c r="N501" s="107"/>
      <c r="O501" s="107"/>
      <c r="P501" s="107"/>
      <c r="Q501" s="107"/>
      <c r="R501" s="107"/>
      <c r="S501" s="107"/>
      <c r="T501" s="107"/>
      <c r="U501" s="107"/>
      <c r="V501" s="107"/>
      <c r="W501" s="107"/>
      <c r="X501" s="107"/>
      <c r="Y501" s="107"/>
      <c r="Z501" s="107"/>
      <c r="AA501" s="167"/>
      <c r="AB501" s="109">
        <f>_xlfn.DAYS(AA501,B501)</f>
        <v>-43944</v>
      </c>
      <c r="AC501" s="110"/>
      <c r="AD501" s="110"/>
      <c r="AE501" s="110"/>
      <c r="AF501" s="110"/>
      <c r="AG501" s="110">
        <v>66.67</v>
      </c>
      <c r="AH501" s="107"/>
      <c r="AJ501" s="110"/>
      <c r="AK501" s="110"/>
      <c r="AL501" s="110"/>
      <c r="AM501" s="110"/>
      <c r="AN501" s="110"/>
      <c r="AO501" s="110"/>
    </row>
    <row r="502" spans="1:41" ht="15.75" hidden="1" customHeight="1">
      <c r="A502" s="107" t="s">
        <v>780</v>
      </c>
      <c r="B502" s="226">
        <v>44105</v>
      </c>
      <c r="C502" s="111">
        <v>10723.53</v>
      </c>
      <c r="D502" s="107">
        <f>COUNTA(G502:Z502)*0.5</f>
        <v>4</v>
      </c>
      <c r="F502" s="107" t="s">
        <v>263</v>
      </c>
      <c r="G502" s="178">
        <v>44105</v>
      </c>
      <c r="H502" s="178">
        <v>44105</v>
      </c>
      <c r="I502" s="178">
        <v>44110</v>
      </c>
      <c r="J502" s="178">
        <v>44113</v>
      </c>
      <c r="K502" s="178">
        <v>44116</v>
      </c>
      <c r="L502" s="178">
        <v>44118</v>
      </c>
      <c r="M502" s="178">
        <v>44120</v>
      </c>
      <c r="N502" s="178">
        <v>44123</v>
      </c>
      <c r="AA502" s="166">
        <v>44131</v>
      </c>
      <c r="AC502" s="107">
        <f>13/18*100</f>
        <v>72.222222222222214</v>
      </c>
      <c r="AD502" s="107">
        <v>524</v>
      </c>
      <c r="AE502" s="107">
        <v>140</v>
      </c>
      <c r="AG502" s="107">
        <f>COUNTIFS(F:F,"Culled",A:A,LEFT(A502,LEN(A502)-3)&amp;"*")/COUNTIF(A:A,LEFT(A502,LEN(A502)-3)&amp;"*")*100</f>
        <v>0</v>
      </c>
      <c r="AH502" s="108">
        <f>(AD502-AF502)/(D502*$K$1*2)%</f>
        <v>11.909090909090908</v>
      </c>
      <c r="AI502" s="108">
        <f>(AE502+AF502)/(D502*$K$1*2)%</f>
        <v>3.1818181818181817</v>
      </c>
    </row>
    <row r="503" spans="1:41" ht="15.75" hidden="1" customHeight="1">
      <c r="A503" s="110" t="s">
        <v>781</v>
      </c>
      <c r="B503" s="229">
        <v>44027</v>
      </c>
      <c r="C503" s="110">
        <v>10000</v>
      </c>
      <c r="D503" s="236">
        <v>6</v>
      </c>
      <c r="E503" s="236"/>
      <c r="F503" s="107" t="s">
        <v>263</v>
      </c>
      <c r="G503" s="107"/>
      <c r="H503" s="107"/>
      <c r="I503" s="107"/>
      <c r="K503" s="107"/>
      <c r="L503" s="107"/>
      <c r="M503" s="107"/>
      <c r="N503" s="107"/>
      <c r="O503" s="107"/>
      <c r="P503" s="107"/>
      <c r="Q503" s="107"/>
      <c r="R503" s="107"/>
      <c r="S503" s="107"/>
      <c r="T503" s="107"/>
      <c r="U503" s="107"/>
      <c r="V503" s="107"/>
      <c r="W503" s="107"/>
      <c r="X503" s="107"/>
      <c r="Y503" s="107"/>
      <c r="Z503" s="107"/>
      <c r="AA503" s="167">
        <v>44054</v>
      </c>
      <c r="AB503" s="109">
        <f>_xlfn.DAYS(AA503,B503)</f>
        <v>27</v>
      </c>
      <c r="AC503" s="110"/>
      <c r="AD503" s="107">
        <f>ROUND(AVERAGE(1016,1033.5,905,1023,932.5,968,962,978,956,959.5,986,937),1)</f>
        <v>971.4</v>
      </c>
      <c r="AE503" s="110">
        <f>ROUND((1262.5+1387+1111.5)/12,1)</f>
        <v>313.39999999999998</v>
      </c>
      <c r="AF503" s="110"/>
      <c r="AG503" s="107">
        <f>COUNTIFS(F:F,"Culled",A:A,LEFT(A503,LEN(A503)-3)&amp;"*")/COUNTIF(A:A,LEFT(A503,LEN(A503)-3)&amp;"*")*100</f>
        <v>0</v>
      </c>
      <c r="AH503" s="108">
        <f>(AD503-AF503)/(D503*$K$1*2)%</f>
        <v>14.718181818181819</v>
      </c>
      <c r="AI503" s="108">
        <f>(AE503+AF503)/(D503*$K$1*2)%</f>
        <v>4.7484848484848481</v>
      </c>
    </row>
    <row r="504" spans="1:41" ht="15.75" hidden="1" customHeight="1">
      <c r="A504" s="107" t="s">
        <v>782</v>
      </c>
      <c r="B504" s="226">
        <v>44105</v>
      </c>
      <c r="C504" s="111">
        <v>10723.53</v>
      </c>
      <c r="D504" s="107">
        <f>COUNTA(G504:Z504)*0.5</f>
        <v>3.5</v>
      </c>
      <c r="F504" s="107" t="s">
        <v>263</v>
      </c>
      <c r="G504" s="178">
        <v>44105</v>
      </c>
      <c r="H504" s="178">
        <v>44105</v>
      </c>
      <c r="I504" s="178">
        <v>44110</v>
      </c>
      <c r="J504" s="178">
        <v>44113</v>
      </c>
      <c r="K504" s="178">
        <v>44116</v>
      </c>
      <c r="L504" s="178">
        <v>44118</v>
      </c>
      <c r="M504" s="178">
        <v>44120</v>
      </c>
      <c r="AA504" s="166">
        <v>44131</v>
      </c>
      <c r="AG504" s="107">
        <f>COUNTIFS(F:F,"Culled",A:A,LEFT(A504,LEN(A504)-3)&amp;"*")/COUNTIF(A:A,LEFT(A504,LEN(A504)-3)&amp;"*")*100</f>
        <v>0</v>
      </c>
      <c r="AH504" s="108">
        <f>(AD504-AF504)/(D504*$K$1*2)%</f>
        <v>0</v>
      </c>
      <c r="AI504" s="108">
        <f>(AE504+AF504)/(D504*$K$1*2)%</f>
        <v>0</v>
      </c>
    </row>
    <row r="505" spans="1:41" ht="15.75" hidden="1" customHeight="1">
      <c r="A505" s="107" t="s">
        <v>783</v>
      </c>
      <c r="B505" s="226">
        <v>44105</v>
      </c>
      <c r="C505" s="111">
        <v>10723.53</v>
      </c>
      <c r="D505" s="107">
        <f>COUNTA(G505:Z505)*0.5</f>
        <v>4.5</v>
      </c>
      <c r="F505" s="107" t="s">
        <v>263</v>
      </c>
      <c r="G505" s="178">
        <v>44105</v>
      </c>
      <c r="H505" s="178">
        <v>44105</v>
      </c>
      <c r="I505" s="178">
        <v>44110</v>
      </c>
      <c r="J505" s="178">
        <v>44113</v>
      </c>
      <c r="K505" s="178">
        <v>44116</v>
      </c>
      <c r="L505" s="178">
        <v>44118</v>
      </c>
      <c r="M505" s="178">
        <v>44120</v>
      </c>
      <c r="N505" s="178">
        <v>44123</v>
      </c>
      <c r="O505" s="178">
        <v>44125</v>
      </c>
      <c r="AA505" s="166">
        <v>44131</v>
      </c>
      <c r="AG505" s="107">
        <f>COUNTIFS(F:F,"Culled",A:A,LEFT(A505,LEN(A505)-3)&amp;"*")/COUNTIF(A:A,LEFT(A505,LEN(A505)-3)&amp;"*")*100</f>
        <v>0</v>
      </c>
      <c r="AH505" s="108">
        <f>(AD505-AF505)/(D505*$K$1*2)%</f>
        <v>0</v>
      </c>
      <c r="AI505" s="108">
        <f>(AE505+AF505)/(D505*$K$1*2)%</f>
        <v>0</v>
      </c>
    </row>
    <row r="506" spans="1:41" ht="15.75" hidden="1" customHeight="1">
      <c r="A506" s="107" t="s">
        <v>784</v>
      </c>
      <c r="B506" s="226">
        <v>44105</v>
      </c>
      <c r="C506" s="111">
        <v>10723.53</v>
      </c>
      <c r="D506" s="107">
        <f>COUNTA(G506:Z506)*0.5</f>
        <v>5</v>
      </c>
      <c r="F506" s="107" t="s">
        <v>263</v>
      </c>
      <c r="G506" s="178">
        <v>44105</v>
      </c>
      <c r="H506" s="178">
        <v>44105</v>
      </c>
      <c r="I506" s="178">
        <v>44110</v>
      </c>
      <c r="J506" s="178">
        <v>44113</v>
      </c>
      <c r="K506" s="178">
        <v>44116</v>
      </c>
      <c r="L506" s="178">
        <v>44118</v>
      </c>
      <c r="M506" s="178">
        <v>44118</v>
      </c>
      <c r="N506" s="178">
        <v>44120</v>
      </c>
      <c r="O506" s="178">
        <v>44123</v>
      </c>
      <c r="P506" s="178">
        <v>44125</v>
      </c>
      <c r="AA506" s="166">
        <v>44131</v>
      </c>
      <c r="AG506" s="107">
        <f>COUNTIFS(F:F,"Culled",A:A,LEFT(A506,LEN(A506)-3)&amp;"*")/COUNTIF(A:A,LEFT(A506,LEN(A506)-3)&amp;"*")*100</f>
        <v>0</v>
      </c>
      <c r="AH506" s="108">
        <f>(AD506-AF506)/(D506*$K$1*2)%</f>
        <v>0</v>
      </c>
      <c r="AI506" s="108">
        <f>(AE506+AF506)/(D506*$K$1*2)%</f>
        <v>0</v>
      </c>
    </row>
    <row r="507" spans="1:41" ht="15.75" hidden="1" customHeight="1">
      <c r="A507" s="110" t="s">
        <v>785</v>
      </c>
      <c r="B507" s="229">
        <v>44027</v>
      </c>
      <c r="C507" s="110">
        <v>10000</v>
      </c>
      <c r="D507" s="236">
        <v>6</v>
      </c>
      <c r="E507" s="236"/>
      <c r="F507" s="107" t="s">
        <v>263</v>
      </c>
      <c r="G507" s="107"/>
      <c r="H507" s="107"/>
      <c r="K507" s="107"/>
      <c r="L507" s="107"/>
      <c r="M507" s="107"/>
      <c r="N507" s="107"/>
      <c r="O507" s="107"/>
      <c r="P507" s="107"/>
      <c r="Q507" s="107"/>
      <c r="R507" s="107"/>
      <c r="S507" s="107"/>
      <c r="T507" s="107"/>
      <c r="U507" s="107"/>
      <c r="V507" s="107"/>
      <c r="W507" s="107"/>
      <c r="X507" s="107"/>
      <c r="Y507" s="107"/>
      <c r="Z507" s="107"/>
      <c r="AA507" s="167">
        <v>44054</v>
      </c>
      <c r="AB507" s="109">
        <f>_xlfn.DAYS(AA507,B507)</f>
        <v>27</v>
      </c>
      <c r="AC507" s="110">
        <f>AVERAGE(4/24,5/35)*100</f>
        <v>15.476190476190476</v>
      </c>
      <c r="AD507" s="110">
        <v>919.5</v>
      </c>
      <c r="AE507" s="110">
        <v>344</v>
      </c>
      <c r="AF507" s="110"/>
      <c r="AG507" s="107">
        <f>COUNTIFS(F:F,"Culled",A:A,LEFT(A507,LEN(A507)-3)&amp;"*")/COUNTIF(A:A,LEFT(A507,LEN(A507)-3)&amp;"*")*100</f>
        <v>0</v>
      </c>
      <c r="AH507" s="108">
        <f>(AD507-AF507)/(D507*$K$1*2)%</f>
        <v>13.931818181818182</v>
      </c>
      <c r="AI507" s="108">
        <f>(AE507+AF507)/(D507*$K$1*2)%</f>
        <v>5.2121212121212119</v>
      </c>
    </row>
    <row r="508" spans="1:41" ht="15.75" hidden="1" customHeight="1">
      <c r="A508" s="110" t="s">
        <v>786</v>
      </c>
      <c r="B508" s="229">
        <v>44027</v>
      </c>
      <c r="C508" s="110">
        <v>10000</v>
      </c>
      <c r="D508" s="236">
        <v>6</v>
      </c>
      <c r="E508" s="236"/>
      <c r="F508" s="107" t="s">
        <v>263</v>
      </c>
      <c r="G508" s="107"/>
      <c r="H508" s="107"/>
      <c r="K508" s="107"/>
      <c r="L508" s="107"/>
      <c r="M508" s="107"/>
      <c r="N508" s="107"/>
      <c r="O508" s="107"/>
      <c r="P508" s="107"/>
      <c r="Q508" s="107"/>
      <c r="R508" s="107"/>
      <c r="S508" s="107"/>
      <c r="T508" s="107"/>
      <c r="U508" s="107"/>
      <c r="V508" s="107"/>
      <c r="W508" s="107"/>
      <c r="X508" s="107"/>
      <c r="Y508" s="107"/>
      <c r="Z508" s="107"/>
      <c r="AA508" s="167">
        <v>44054</v>
      </c>
      <c r="AB508" s="109">
        <f>_xlfn.DAYS(AA508,B508)</f>
        <v>27</v>
      </c>
      <c r="AC508" s="110"/>
      <c r="AD508" s="107">
        <f>ROUND(AVERAGE(1016,1033.5,905,1023,932.5,968,962,978,956,959.5,986,937),1)</f>
        <v>971.4</v>
      </c>
      <c r="AE508" s="110">
        <f>ROUND((1262.5+1387+1111.5)/12,1)</f>
        <v>313.39999999999998</v>
      </c>
      <c r="AF508" s="110"/>
      <c r="AG508" s="107">
        <f>COUNTIFS(F:F,"Culled",A:A,LEFT(A508,LEN(A508)-3)&amp;"*")/COUNTIF(A:A,LEFT(A508,LEN(A508)-3)&amp;"*")*100</f>
        <v>0</v>
      </c>
      <c r="AH508" s="108">
        <f>(AD508-AF508)/(D508*$K$1*2)%</f>
        <v>14.718181818181819</v>
      </c>
      <c r="AI508" s="108">
        <f>(AE508+AF508)/(D508*$K$1*2)%</f>
        <v>4.7484848484848481</v>
      </c>
    </row>
    <row r="509" spans="1:41" ht="15.75" hidden="1" customHeight="1">
      <c r="A509" s="110" t="s">
        <v>787</v>
      </c>
      <c r="B509" s="229">
        <v>44027</v>
      </c>
      <c r="C509" s="110">
        <v>10000</v>
      </c>
      <c r="D509" s="236">
        <v>6</v>
      </c>
      <c r="E509" s="236"/>
      <c r="F509" s="107" t="s">
        <v>263</v>
      </c>
      <c r="G509" s="107"/>
      <c r="H509" s="107"/>
      <c r="K509" s="107"/>
      <c r="L509" s="107"/>
      <c r="M509" s="107"/>
      <c r="N509" s="107"/>
      <c r="O509" s="107"/>
      <c r="P509" s="107"/>
      <c r="Q509" s="107"/>
      <c r="R509" s="107"/>
      <c r="S509" s="107"/>
      <c r="T509" s="107"/>
      <c r="U509" s="107"/>
      <c r="V509" s="107"/>
      <c r="W509" s="107"/>
      <c r="X509" s="107"/>
      <c r="Y509" s="107"/>
      <c r="Z509" s="107"/>
      <c r="AA509" s="167">
        <v>44054</v>
      </c>
      <c r="AB509" s="109">
        <f>_xlfn.DAYS(AA509,B509)</f>
        <v>27</v>
      </c>
      <c r="AC509" s="110"/>
      <c r="AD509" s="107">
        <f>ROUND(AVERAGE(1016,1033.5,905,1023,932.5,968,962,978,956,959.5,986,937),1)</f>
        <v>971.4</v>
      </c>
      <c r="AE509" s="110">
        <f>ROUND((1262.5+1387+1111.5)/12,1)</f>
        <v>313.39999999999998</v>
      </c>
      <c r="AF509" s="110"/>
      <c r="AG509" s="107">
        <f>COUNTIFS(F:F,"Culled",A:A,LEFT(A509,LEN(A509)-3)&amp;"*")/COUNTIF(A:A,LEFT(A509,LEN(A509)-3)&amp;"*")*100</f>
        <v>0</v>
      </c>
      <c r="AH509" s="108">
        <f>(AD509-AF509)/(D509*$K$1*2)%</f>
        <v>14.718181818181819</v>
      </c>
      <c r="AI509" s="108">
        <f>(AE509+AF509)/(D509*$K$1*2)%</f>
        <v>4.7484848484848481</v>
      </c>
    </row>
    <row r="510" spans="1:41" ht="15.75" hidden="1" customHeight="1">
      <c r="A510" s="110" t="s">
        <v>788</v>
      </c>
      <c r="B510" s="229">
        <v>44027</v>
      </c>
      <c r="C510" s="110">
        <v>10000</v>
      </c>
      <c r="D510" s="236">
        <v>6</v>
      </c>
      <c r="E510" s="236"/>
      <c r="F510" s="107" t="s">
        <v>263</v>
      </c>
      <c r="G510" s="107"/>
      <c r="H510" s="107"/>
      <c r="K510" s="107"/>
      <c r="L510" s="107"/>
      <c r="M510" s="107"/>
      <c r="N510" s="107"/>
      <c r="O510" s="107"/>
      <c r="P510" s="107"/>
      <c r="Q510" s="107"/>
      <c r="R510" s="107"/>
      <c r="S510" s="107"/>
      <c r="T510" s="107"/>
      <c r="U510" s="107"/>
      <c r="V510" s="107"/>
      <c r="W510" s="107"/>
      <c r="X510" s="107"/>
      <c r="Y510" s="107"/>
      <c r="Z510" s="107"/>
      <c r="AA510" s="167">
        <v>44054</v>
      </c>
      <c r="AB510" s="109">
        <f>_xlfn.DAYS(AA510,B510)</f>
        <v>27</v>
      </c>
      <c r="AC510" s="110"/>
      <c r="AD510" s="107">
        <f>ROUND(AVERAGE(1016,1033.5,905,1023,932.5,968,962,978,956,959.5,986,937),1)</f>
        <v>971.4</v>
      </c>
      <c r="AE510" s="110">
        <f>ROUND((1262.5+1387+1111.5)/12,1)</f>
        <v>313.39999999999998</v>
      </c>
      <c r="AF510" s="110"/>
      <c r="AG510" s="107">
        <f>COUNTIFS(F:F,"Culled",A:A,LEFT(A510,LEN(A510)-3)&amp;"*")/COUNTIF(A:A,LEFT(A510,LEN(A510)-3)&amp;"*")*100</f>
        <v>0</v>
      </c>
      <c r="AH510" s="108">
        <f>(AD510-AF510)/(D510*$K$1*2)%</f>
        <v>14.718181818181819</v>
      </c>
      <c r="AI510" s="108">
        <f>(AE510+AF510)/(D510*$K$1*2)%</f>
        <v>4.7484848484848481</v>
      </c>
    </row>
    <row r="511" spans="1:41" ht="15.75" hidden="1" customHeight="1">
      <c r="A511" s="110" t="s">
        <v>789</v>
      </c>
      <c r="B511" s="229">
        <v>44027</v>
      </c>
      <c r="C511" s="110">
        <v>10000</v>
      </c>
      <c r="D511" s="236">
        <v>6</v>
      </c>
      <c r="E511" s="236"/>
      <c r="F511" s="107" t="s">
        <v>263</v>
      </c>
      <c r="G511" s="107"/>
      <c r="H511" s="107"/>
      <c r="K511" s="107"/>
      <c r="L511" s="107"/>
      <c r="M511" s="107"/>
      <c r="N511" s="107"/>
      <c r="O511" s="107"/>
      <c r="P511" s="107"/>
      <c r="Q511" s="107"/>
      <c r="R511" s="107"/>
      <c r="S511" s="107"/>
      <c r="T511" s="107"/>
      <c r="U511" s="107"/>
      <c r="V511" s="107"/>
      <c r="W511" s="107"/>
      <c r="X511" s="107"/>
      <c r="Y511" s="107"/>
      <c r="Z511" s="107"/>
      <c r="AA511" s="167">
        <v>44054</v>
      </c>
      <c r="AB511" s="109">
        <f>_xlfn.DAYS(AA511,B511)</f>
        <v>27</v>
      </c>
      <c r="AC511" s="110"/>
      <c r="AD511" s="107">
        <f>ROUND(AVERAGE(1016,1033.5,905,1023,932.5,968,962,978,956,959.5,986,937),1)</f>
        <v>971.4</v>
      </c>
      <c r="AE511" s="110">
        <f>ROUND((1262.5+1387+1111.5)/12,1)</f>
        <v>313.39999999999998</v>
      </c>
      <c r="AF511" s="110"/>
      <c r="AG511" s="107">
        <f>COUNTIFS(F:F,"Culled",A:A,LEFT(A511,LEN(A511)-3)&amp;"*")/COUNTIF(A:A,LEFT(A511,LEN(A511)-3)&amp;"*")*100</f>
        <v>0</v>
      </c>
      <c r="AH511" s="108">
        <f>(AD511-AF511)/(D511*$K$1*2)%</f>
        <v>14.718181818181819</v>
      </c>
      <c r="AI511" s="108">
        <f>(AE511+AF511)/(D511*$K$1*2)%</f>
        <v>4.7484848484848481</v>
      </c>
    </row>
    <row r="512" spans="1:41" ht="15.75" hidden="1" customHeight="1">
      <c r="A512" s="10" t="s">
        <v>790</v>
      </c>
      <c r="B512" s="229">
        <v>43952</v>
      </c>
      <c r="C512" s="10">
        <v>10000</v>
      </c>
      <c r="D512" s="10">
        <v>5</v>
      </c>
      <c r="E512" s="10"/>
      <c r="F512" s="107" t="s">
        <v>323</v>
      </c>
      <c r="G512" s="107"/>
      <c r="H512" s="107"/>
      <c r="I512" s="107"/>
      <c r="J512" s="107"/>
      <c r="K512" s="107"/>
      <c r="L512" s="107"/>
      <c r="M512" s="107"/>
      <c r="N512" s="107"/>
      <c r="O512" s="107"/>
      <c r="P512" s="107"/>
      <c r="Q512" s="107"/>
      <c r="R512" s="107"/>
      <c r="S512" s="107"/>
      <c r="T512" s="107"/>
      <c r="U512" s="107"/>
      <c r="V512" s="107"/>
      <c r="W512" s="107"/>
      <c r="X512" s="107"/>
      <c r="Y512" s="107"/>
      <c r="Z512" s="107"/>
      <c r="AA512" s="167"/>
      <c r="AB512" s="109">
        <f>_xlfn.DAYS(AA512,B512)</f>
        <v>-43952</v>
      </c>
      <c r="AG512" s="10">
        <v>100</v>
      </c>
      <c r="AH512" s="107"/>
      <c r="AJ512" s="110"/>
      <c r="AK512" s="110"/>
      <c r="AL512" s="110"/>
      <c r="AM512" s="110"/>
      <c r="AN512" s="110"/>
      <c r="AO512" s="110"/>
    </row>
    <row r="513" spans="1:41" ht="15.75" hidden="1" customHeight="1">
      <c r="A513" s="10" t="s">
        <v>791</v>
      </c>
      <c r="B513" s="229">
        <v>43952</v>
      </c>
      <c r="C513" s="10">
        <v>10000</v>
      </c>
      <c r="D513" s="10">
        <v>5</v>
      </c>
      <c r="E513" s="10"/>
      <c r="F513" s="107" t="s">
        <v>323</v>
      </c>
      <c r="G513" s="107"/>
      <c r="H513" s="107"/>
      <c r="I513" s="107"/>
      <c r="J513" s="107"/>
      <c r="K513" s="107"/>
      <c r="L513" s="107"/>
      <c r="M513" s="107"/>
      <c r="N513" s="107"/>
      <c r="O513" s="107"/>
      <c r="P513" s="107"/>
      <c r="Q513" s="107"/>
      <c r="R513" s="107"/>
      <c r="S513" s="107"/>
      <c r="T513" s="107"/>
      <c r="U513" s="107"/>
      <c r="V513" s="107"/>
      <c r="W513" s="107"/>
      <c r="X513" s="107"/>
      <c r="Y513" s="107"/>
      <c r="Z513" s="107"/>
      <c r="AA513" s="167"/>
      <c r="AB513" s="109">
        <f>_xlfn.DAYS(AA513,B513)</f>
        <v>-43952</v>
      </c>
      <c r="AG513" s="10">
        <v>100</v>
      </c>
      <c r="AH513" s="107"/>
      <c r="AJ513" s="110"/>
      <c r="AK513" s="110"/>
      <c r="AL513" s="110"/>
      <c r="AM513" s="110"/>
      <c r="AN513" s="110"/>
      <c r="AO513" s="110"/>
    </row>
    <row r="514" spans="1:41" ht="15.75" hidden="1" customHeight="1">
      <c r="A514" s="10" t="s">
        <v>792</v>
      </c>
      <c r="B514" s="229">
        <v>43952</v>
      </c>
      <c r="C514" s="10">
        <v>10000</v>
      </c>
      <c r="D514" s="10">
        <v>5</v>
      </c>
      <c r="E514" s="10"/>
      <c r="F514" s="107" t="s">
        <v>323</v>
      </c>
      <c r="G514" s="107"/>
      <c r="H514" s="107"/>
      <c r="I514" s="107"/>
      <c r="J514" s="107"/>
      <c r="K514" s="107"/>
      <c r="L514" s="107"/>
      <c r="M514" s="107"/>
      <c r="N514" s="107"/>
      <c r="O514" s="107"/>
      <c r="P514" s="107"/>
      <c r="Q514" s="107"/>
      <c r="R514" s="107"/>
      <c r="S514" s="107"/>
      <c r="T514" s="107"/>
      <c r="U514" s="107"/>
      <c r="V514" s="107"/>
      <c r="W514" s="107"/>
      <c r="X514" s="107"/>
      <c r="Y514" s="107"/>
      <c r="Z514" s="107"/>
      <c r="AA514" s="167"/>
      <c r="AB514" s="109">
        <f>_xlfn.DAYS(AA514,B514)</f>
        <v>-43952</v>
      </c>
      <c r="AG514" s="10">
        <v>100</v>
      </c>
      <c r="AH514" s="107"/>
      <c r="AJ514" s="110"/>
      <c r="AK514" s="110"/>
      <c r="AL514" s="110"/>
      <c r="AM514" s="110"/>
      <c r="AN514" s="110"/>
      <c r="AO514" s="110"/>
    </row>
    <row r="515" spans="1:41" ht="15.75" hidden="1" customHeight="1">
      <c r="A515" s="10" t="s">
        <v>793</v>
      </c>
      <c r="B515" s="229">
        <v>43952</v>
      </c>
      <c r="C515" s="10">
        <v>10000</v>
      </c>
      <c r="D515" s="10">
        <v>5</v>
      </c>
      <c r="E515" s="10"/>
      <c r="F515" s="107" t="s">
        <v>323</v>
      </c>
      <c r="G515" s="107"/>
      <c r="H515" s="107"/>
      <c r="I515" s="107"/>
      <c r="J515" s="107"/>
      <c r="K515" s="107"/>
      <c r="L515" s="107"/>
      <c r="M515" s="107"/>
      <c r="N515" s="107"/>
      <c r="O515" s="107"/>
      <c r="P515" s="107"/>
      <c r="Q515" s="107"/>
      <c r="R515" s="107"/>
      <c r="S515" s="107"/>
      <c r="T515" s="107"/>
      <c r="U515" s="107"/>
      <c r="V515" s="107"/>
      <c r="W515" s="107"/>
      <c r="X515" s="107"/>
      <c r="Y515" s="107"/>
      <c r="Z515" s="107"/>
      <c r="AA515" s="167"/>
      <c r="AB515" s="109">
        <f>_xlfn.DAYS(AA515,B515)</f>
        <v>-43952</v>
      </c>
      <c r="AG515" s="10">
        <v>100</v>
      </c>
      <c r="AH515" s="107"/>
      <c r="AJ515" s="110"/>
      <c r="AK515" s="110"/>
      <c r="AL515" s="110"/>
      <c r="AM515" s="110"/>
      <c r="AN515" s="110"/>
      <c r="AO515" s="110"/>
    </row>
    <row r="516" spans="1:41" ht="15.75" hidden="1" customHeight="1">
      <c r="A516" s="10" t="s">
        <v>794</v>
      </c>
      <c r="B516" s="229">
        <v>43944</v>
      </c>
      <c r="C516" s="10">
        <v>10000</v>
      </c>
      <c r="D516" s="10">
        <v>7</v>
      </c>
      <c r="E516" s="10"/>
      <c r="F516" s="107" t="s">
        <v>323</v>
      </c>
      <c r="G516" s="107"/>
      <c r="H516" s="107"/>
      <c r="I516" s="107"/>
      <c r="J516" s="107"/>
      <c r="K516" s="107"/>
      <c r="L516" s="107"/>
      <c r="M516" s="107"/>
      <c r="N516" s="107"/>
      <c r="O516" s="107"/>
      <c r="P516" s="107"/>
      <c r="Q516" s="107"/>
      <c r="R516" s="107"/>
      <c r="S516" s="107"/>
      <c r="T516" s="107"/>
      <c r="U516" s="107"/>
      <c r="V516" s="107"/>
      <c r="W516" s="107"/>
      <c r="X516" s="107"/>
      <c r="Y516" s="107"/>
      <c r="Z516" s="107"/>
      <c r="AA516" s="167"/>
      <c r="AB516" s="109">
        <f>_xlfn.DAYS(AA516,B516)</f>
        <v>-43944</v>
      </c>
      <c r="AG516" s="10">
        <v>100</v>
      </c>
      <c r="AH516" s="107"/>
      <c r="AJ516" s="110"/>
      <c r="AK516" s="110"/>
      <c r="AL516" s="110"/>
      <c r="AM516" s="110"/>
      <c r="AN516" s="110"/>
      <c r="AO516" s="110"/>
    </row>
    <row r="517" spans="1:41" ht="15.75" hidden="1" customHeight="1">
      <c r="A517" s="110" t="s">
        <v>795</v>
      </c>
      <c r="B517" s="229">
        <v>43944</v>
      </c>
      <c r="C517" s="10">
        <v>10000</v>
      </c>
      <c r="D517" s="110">
        <v>6.5</v>
      </c>
      <c r="E517" s="110"/>
      <c r="F517" s="107" t="s">
        <v>323</v>
      </c>
      <c r="G517" s="107"/>
      <c r="H517" s="107"/>
      <c r="I517" s="107"/>
      <c r="J517" s="107"/>
      <c r="K517" s="107"/>
      <c r="L517" s="107"/>
      <c r="M517" s="107"/>
      <c r="N517" s="107"/>
      <c r="O517" s="107"/>
      <c r="P517" s="107"/>
      <c r="Q517" s="107"/>
      <c r="R517" s="107"/>
      <c r="S517" s="107"/>
      <c r="T517" s="107"/>
      <c r="U517" s="107"/>
      <c r="V517" s="107"/>
      <c r="W517" s="107"/>
      <c r="X517" s="107"/>
      <c r="Y517" s="107"/>
      <c r="Z517" s="107"/>
      <c r="AA517" s="167"/>
      <c r="AB517" s="109">
        <f>_xlfn.DAYS(AA517,B517)</f>
        <v>-43944</v>
      </c>
      <c r="AC517" s="110"/>
      <c r="AD517" s="110"/>
      <c r="AE517" s="110"/>
      <c r="AF517" s="110"/>
      <c r="AG517" s="110">
        <v>100</v>
      </c>
      <c r="AH517" s="107"/>
      <c r="AJ517" s="110"/>
      <c r="AK517" s="110"/>
      <c r="AL517" s="110"/>
      <c r="AM517" s="110"/>
      <c r="AN517" s="110"/>
      <c r="AO517" s="110"/>
    </row>
    <row r="518" spans="1:41" ht="15.75" hidden="1" customHeight="1">
      <c r="A518" s="110" t="s">
        <v>796</v>
      </c>
      <c r="B518" s="229">
        <v>44027</v>
      </c>
      <c r="C518" s="110">
        <v>10000</v>
      </c>
      <c r="D518" s="236">
        <v>6</v>
      </c>
      <c r="E518" s="236"/>
      <c r="F518" s="107" t="s">
        <v>263</v>
      </c>
      <c r="G518" s="107"/>
      <c r="H518" s="107"/>
      <c r="K518" s="107"/>
      <c r="L518" s="107"/>
      <c r="M518" s="107"/>
      <c r="N518" s="107"/>
      <c r="O518" s="107"/>
      <c r="P518" s="107"/>
      <c r="Q518" s="107"/>
      <c r="R518" s="107"/>
      <c r="S518" s="107"/>
      <c r="T518" s="107"/>
      <c r="U518" s="107"/>
      <c r="V518" s="107"/>
      <c r="W518" s="107"/>
      <c r="X518" s="107"/>
      <c r="Y518" s="107"/>
      <c r="Z518" s="107"/>
      <c r="AA518" s="167">
        <v>44054</v>
      </c>
      <c r="AB518" s="109">
        <f>_xlfn.DAYS(AA518,B518)</f>
        <v>27</v>
      </c>
      <c r="AC518" s="110"/>
      <c r="AD518" s="107">
        <f>ROUND(AVERAGE(1016,1033.5,905,1023,932.5,968,962,978,956,959.5,986,937),1)</f>
        <v>971.4</v>
      </c>
      <c r="AE518" s="110">
        <f>ROUND((1262.5+1387+1111.5)/12,1)</f>
        <v>313.39999999999998</v>
      </c>
      <c r="AF518" s="110"/>
      <c r="AG518" s="107">
        <f>COUNTIFS(F:F,"Culled",A:A,LEFT(A518,LEN(A518)-3)&amp;"*")/COUNTIF(A:A,LEFT(A518,LEN(A518)-3)&amp;"*")*100</f>
        <v>0</v>
      </c>
      <c r="AH518" s="108">
        <f>(AD518-AF518)/(D518*$K$1*2)%</f>
        <v>14.718181818181819</v>
      </c>
      <c r="AI518" s="108">
        <f>(AE518+AF518)/(D518*$K$1*2)%</f>
        <v>4.7484848484848481</v>
      </c>
    </row>
    <row r="519" spans="1:41" ht="15.75" hidden="1" customHeight="1">
      <c r="A519" s="110" t="s">
        <v>797</v>
      </c>
      <c r="B519" s="229">
        <v>44027</v>
      </c>
      <c r="C519" s="110">
        <v>10000</v>
      </c>
      <c r="D519" s="236">
        <v>6</v>
      </c>
      <c r="E519" s="236"/>
      <c r="F519" s="107" t="s">
        <v>263</v>
      </c>
      <c r="G519" s="107"/>
      <c r="H519" s="107"/>
      <c r="K519" s="107"/>
      <c r="L519" s="107"/>
      <c r="M519" s="107"/>
      <c r="N519" s="107"/>
      <c r="O519" s="107"/>
      <c r="P519" s="107"/>
      <c r="Q519" s="107"/>
      <c r="R519" s="107"/>
      <c r="S519" s="107"/>
      <c r="T519" s="107"/>
      <c r="U519" s="107"/>
      <c r="V519" s="107"/>
      <c r="W519" s="107"/>
      <c r="X519" s="107"/>
      <c r="Y519" s="107"/>
      <c r="Z519" s="107"/>
      <c r="AA519" s="167">
        <v>44054</v>
      </c>
      <c r="AB519" s="109">
        <f>_xlfn.DAYS(AA519,B519)</f>
        <v>27</v>
      </c>
      <c r="AC519" s="110"/>
      <c r="AD519" s="107">
        <f>ROUND(AVERAGE(1016,1033.5,905,1023,932.5,968,962,978,956,959.5,986,937),1)</f>
        <v>971.4</v>
      </c>
      <c r="AE519" s="110">
        <f>ROUND((1262.5+1387+1111.5)/12,1)</f>
        <v>313.39999999999998</v>
      </c>
      <c r="AF519" s="110"/>
      <c r="AG519" s="107">
        <f>COUNTIFS(F:F,"Culled",A:A,LEFT(A519,LEN(A519)-3)&amp;"*")/COUNTIF(A:A,LEFT(A519,LEN(A519)-3)&amp;"*")*100</f>
        <v>0</v>
      </c>
      <c r="AH519" s="108">
        <f>(AD519-AF519)/(D519*$K$1*2)%</f>
        <v>14.718181818181819</v>
      </c>
      <c r="AI519" s="108">
        <f>(AE519+AF519)/(D519*$K$1*2)%</f>
        <v>4.7484848484848481</v>
      </c>
    </row>
    <row r="520" spans="1:41" ht="15.75" hidden="1" customHeight="1">
      <c r="A520" s="110" t="s">
        <v>798</v>
      </c>
      <c r="B520" s="229">
        <v>44027</v>
      </c>
      <c r="C520" s="110">
        <v>10000</v>
      </c>
      <c r="D520" s="236">
        <v>6</v>
      </c>
      <c r="E520" s="236"/>
      <c r="F520" s="107" t="s">
        <v>263</v>
      </c>
      <c r="G520" s="107"/>
      <c r="H520" s="107"/>
      <c r="K520" s="107"/>
      <c r="L520" s="107"/>
      <c r="M520" s="107"/>
      <c r="N520" s="107"/>
      <c r="O520" s="107"/>
      <c r="P520" s="107"/>
      <c r="Q520" s="107"/>
      <c r="R520" s="107"/>
      <c r="S520" s="107"/>
      <c r="T520" s="107"/>
      <c r="U520" s="107"/>
      <c r="V520" s="107"/>
      <c r="W520" s="107"/>
      <c r="X520" s="107"/>
      <c r="Y520" s="107"/>
      <c r="Z520" s="107"/>
      <c r="AA520" s="167">
        <v>44054</v>
      </c>
      <c r="AB520" s="109">
        <f>_xlfn.DAYS(AA520,B520)</f>
        <v>27</v>
      </c>
      <c r="AC520" s="110">
        <f>AVERAGE(3/15,3/15)*100</f>
        <v>20</v>
      </c>
      <c r="AD520" s="110">
        <v>916.5</v>
      </c>
      <c r="AE520" s="110">
        <v>314.5</v>
      </c>
      <c r="AF520" s="110"/>
      <c r="AG520" s="107">
        <f>COUNTIFS(F:F,"Culled",A:A,LEFT(A520,LEN(A520)-3)&amp;"*")/COUNTIF(A:A,LEFT(A520,LEN(A520)-3)&amp;"*")*100</f>
        <v>0</v>
      </c>
      <c r="AH520" s="108">
        <f>(AD520-AF520)/(D520*$K$1*2)%</f>
        <v>13.886363636363637</v>
      </c>
      <c r="AI520" s="108">
        <f>(AE520+AF520)/(D520*$K$1*2)%</f>
        <v>4.7651515151515156</v>
      </c>
    </row>
    <row r="521" spans="1:41" ht="15.75" hidden="1" customHeight="1">
      <c r="A521" s="110" t="s">
        <v>799</v>
      </c>
      <c r="B521" s="229">
        <v>44027</v>
      </c>
      <c r="C521" s="110">
        <v>10000</v>
      </c>
      <c r="D521" s="236">
        <v>6</v>
      </c>
      <c r="E521" s="236"/>
      <c r="F521" s="107" t="s">
        <v>263</v>
      </c>
      <c r="G521" s="107"/>
      <c r="H521" s="107"/>
      <c r="K521" s="107"/>
      <c r="L521" s="107"/>
      <c r="M521" s="107"/>
      <c r="N521" s="107"/>
      <c r="O521" s="107"/>
      <c r="P521" s="107"/>
      <c r="Q521" s="107"/>
      <c r="R521" s="107"/>
      <c r="S521" s="107"/>
      <c r="T521" s="107"/>
      <c r="U521" s="107"/>
      <c r="V521" s="107"/>
      <c r="W521" s="107"/>
      <c r="X521" s="107"/>
      <c r="Y521" s="107"/>
      <c r="Z521" s="107"/>
      <c r="AA521" s="167">
        <v>44054</v>
      </c>
      <c r="AB521" s="109">
        <f>_xlfn.DAYS(AA521,B521)</f>
        <v>27</v>
      </c>
      <c r="AC521" s="110"/>
      <c r="AD521" s="107">
        <f>ROUND(AVERAGE(1016,1033.5,905,1023,932.5,968,962,978,956,959.5,986,937),1)</f>
        <v>971.4</v>
      </c>
      <c r="AE521" s="110">
        <f>ROUND((1262.5+1387+1111.5)/12,1)</f>
        <v>313.39999999999998</v>
      </c>
      <c r="AF521" s="110"/>
      <c r="AG521" s="107">
        <f>COUNTIFS(F:F,"Culled",A:A,LEFT(A521,LEN(A521)-3)&amp;"*")/COUNTIF(A:A,LEFT(A521,LEN(A521)-3)&amp;"*")*100</f>
        <v>0</v>
      </c>
      <c r="AH521" s="108">
        <f>(AD521-AF521)/(D521*$K$1*2)%</f>
        <v>14.718181818181819</v>
      </c>
      <c r="AI521" s="108">
        <f>(AE521+AF521)/(D521*$K$1*2)%</f>
        <v>4.7484848484848481</v>
      </c>
    </row>
    <row r="522" spans="1:41" ht="15.75" hidden="1" customHeight="1">
      <c r="A522" s="110" t="s">
        <v>800</v>
      </c>
      <c r="B522" s="229">
        <v>44027</v>
      </c>
      <c r="C522" s="110">
        <v>10000</v>
      </c>
      <c r="D522" s="236">
        <v>6</v>
      </c>
      <c r="E522" s="236"/>
      <c r="F522" s="107" t="s">
        <v>263</v>
      </c>
      <c r="G522" s="107"/>
      <c r="H522" s="107"/>
      <c r="K522" s="107"/>
      <c r="L522" s="107"/>
      <c r="M522" s="107"/>
      <c r="N522" s="107"/>
      <c r="O522" s="107"/>
      <c r="P522" s="107"/>
      <c r="Q522" s="107"/>
      <c r="R522" s="107"/>
      <c r="S522" s="107"/>
      <c r="T522" s="107"/>
      <c r="U522" s="107"/>
      <c r="V522" s="107"/>
      <c r="W522" s="107"/>
      <c r="X522" s="107"/>
      <c r="Y522" s="107"/>
      <c r="Z522" s="107"/>
      <c r="AA522" s="167">
        <v>44054</v>
      </c>
      <c r="AB522" s="109">
        <f>_xlfn.DAYS(AA522,B522)</f>
        <v>27</v>
      </c>
      <c r="AC522" s="110">
        <f>AVERAGE(5/18,2/17)*100</f>
        <v>19.77124183006536</v>
      </c>
      <c r="AD522" s="110">
        <v>977.5</v>
      </c>
      <c r="AE522" s="110">
        <v>262</v>
      </c>
      <c r="AF522" s="110"/>
      <c r="AG522" s="107">
        <f>COUNTIFS(F:F,"Culled",A:A,LEFT(A522,LEN(A522)-3)&amp;"*")/COUNTIF(A:A,LEFT(A522,LEN(A522)-3)&amp;"*")*100</f>
        <v>0</v>
      </c>
      <c r="AH522" s="108">
        <f>(AD522-AF522)/(D522*$K$1*2)%</f>
        <v>14.810606060606061</v>
      </c>
      <c r="AI522" s="108">
        <f>(AE522+AF522)/(D522*$K$1*2)%</f>
        <v>3.9696969696969697</v>
      </c>
    </row>
    <row r="523" spans="1:41" ht="15.75" hidden="1" customHeight="1">
      <c r="A523" s="110" t="s">
        <v>801</v>
      </c>
      <c r="B523" s="229">
        <v>43908</v>
      </c>
      <c r="C523" s="110">
        <v>10000</v>
      </c>
      <c r="D523" s="110">
        <v>7</v>
      </c>
      <c r="E523" s="110"/>
      <c r="F523" s="107" t="s">
        <v>263</v>
      </c>
      <c r="G523" s="107"/>
      <c r="H523" s="107"/>
      <c r="K523" s="107"/>
      <c r="L523" s="107"/>
      <c r="M523" s="107"/>
      <c r="N523" s="107"/>
      <c r="O523" s="107"/>
      <c r="P523" s="107"/>
      <c r="Q523" s="107"/>
      <c r="R523" s="107"/>
      <c r="S523" s="107"/>
      <c r="T523" s="107"/>
      <c r="U523" s="107"/>
      <c r="V523" s="107"/>
      <c r="W523" s="107"/>
      <c r="X523" s="107"/>
      <c r="Y523" s="107"/>
      <c r="Z523" s="107"/>
      <c r="AA523" s="167">
        <v>43935</v>
      </c>
      <c r="AB523" s="109">
        <f>_xlfn.DAYS(AA523,B523)</f>
        <v>27</v>
      </c>
      <c r="AC523" s="110">
        <v>66.599999999999994</v>
      </c>
      <c r="AD523" s="110">
        <v>1155</v>
      </c>
      <c r="AE523" s="110">
        <v>366.5</v>
      </c>
      <c r="AF523" s="110">
        <v>90</v>
      </c>
      <c r="AG523" s="110">
        <v>0</v>
      </c>
      <c r="AH523" s="108">
        <f>(AD523-AF523)/(D523*$K$1*2)%</f>
        <v>13.831168831168831</v>
      </c>
      <c r="AI523" s="108">
        <f>(AE523+AF523)/(D523*$K$1*2)%</f>
        <v>5.9285714285714288</v>
      </c>
      <c r="AJ523" s="110"/>
    </row>
    <row r="524" spans="1:41" ht="15.75" hidden="1" customHeight="1">
      <c r="A524" s="110" t="s">
        <v>802</v>
      </c>
      <c r="B524" s="229">
        <v>43993</v>
      </c>
      <c r="C524" s="10">
        <v>10000</v>
      </c>
      <c r="D524" s="110">
        <v>9</v>
      </c>
      <c r="E524" s="110"/>
      <c r="F524" s="107" t="s">
        <v>323</v>
      </c>
      <c r="G524" s="107"/>
      <c r="H524" s="107"/>
      <c r="I524" s="107"/>
      <c r="J524" s="107"/>
      <c r="K524" s="107"/>
      <c r="L524" s="107"/>
      <c r="M524" s="107"/>
      <c r="N524" s="107"/>
      <c r="O524" s="107"/>
      <c r="P524" s="107"/>
      <c r="Q524" s="107"/>
      <c r="R524" s="107"/>
      <c r="S524" s="107"/>
      <c r="T524" s="107"/>
      <c r="U524" s="107"/>
      <c r="V524" s="107"/>
      <c r="W524" s="107"/>
      <c r="X524" s="107"/>
      <c r="Y524" s="107"/>
      <c r="Z524" s="107"/>
      <c r="AA524" s="167"/>
      <c r="AB524" s="109">
        <f>_xlfn.DAYS(AA524,B524)</f>
        <v>-43993</v>
      </c>
      <c r="AC524" s="110"/>
      <c r="AD524" s="110"/>
      <c r="AE524" s="110"/>
      <c r="AF524" s="110"/>
      <c r="AG524" s="110">
        <v>50</v>
      </c>
      <c r="AH524" s="107"/>
    </row>
    <row r="525" spans="1:41" ht="15.75" hidden="1" customHeight="1">
      <c r="A525" s="110" t="s">
        <v>803</v>
      </c>
      <c r="B525" s="229">
        <v>43908</v>
      </c>
      <c r="C525" s="110">
        <v>10000</v>
      </c>
      <c r="D525" s="110">
        <v>7</v>
      </c>
      <c r="E525" s="110"/>
      <c r="F525" s="107" t="s">
        <v>263</v>
      </c>
      <c r="G525" s="107"/>
      <c r="H525" s="107"/>
      <c r="K525" s="107"/>
      <c r="L525" s="107"/>
      <c r="M525" s="107"/>
      <c r="N525" s="107"/>
      <c r="O525" s="107"/>
      <c r="P525" s="107"/>
      <c r="Q525" s="107"/>
      <c r="R525" s="107"/>
      <c r="S525" s="107"/>
      <c r="T525" s="107"/>
      <c r="U525" s="107"/>
      <c r="V525" s="107"/>
      <c r="W525" s="107"/>
      <c r="X525" s="107"/>
      <c r="Y525" s="107"/>
      <c r="Z525" s="107"/>
      <c r="AA525" s="167">
        <v>43935</v>
      </c>
      <c r="AB525" s="109">
        <f>_xlfn.DAYS(AA525,B525)</f>
        <v>27</v>
      </c>
      <c r="AC525" s="110">
        <v>58.8</v>
      </c>
      <c r="AD525" s="110">
        <v>1016.5</v>
      </c>
      <c r="AE525" s="110">
        <v>345</v>
      </c>
      <c r="AF525" s="110">
        <v>137</v>
      </c>
      <c r="AG525" s="110">
        <v>0</v>
      </c>
      <c r="AH525" s="108">
        <f>(AD525-AF525)/(D525*$K$1*2)%</f>
        <v>11.422077922077921</v>
      </c>
      <c r="AI525" s="108">
        <f>(AE525+AF525)/(D525*$K$1*2)%</f>
        <v>6.2597402597402594</v>
      </c>
      <c r="AJ525" s="110"/>
    </row>
    <row r="526" spans="1:41" ht="15.75" hidden="1" customHeight="1">
      <c r="A526" s="110" t="s">
        <v>804</v>
      </c>
      <c r="B526" s="229">
        <v>43908</v>
      </c>
      <c r="C526" s="110">
        <v>10000</v>
      </c>
      <c r="D526" s="110">
        <v>7</v>
      </c>
      <c r="E526" s="110"/>
      <c r="F526" s="107" t="s">
        <v>263</v>
      </c>
      <c r="G526" s="107"/>
      <c r="H526" s="107"/>
      <c r="K526" s="107"/>
      <c r="L526" s="107"/>
      <c r="M526" s="107"/>
      <c r="N526" s="107"/>
      <c r="O526" s="107"/>
      <c r="P526" s="107"/>
      <c r="Q526" s="107"/>
      <c r="R526" s="107"/>
      <c r="S526" s="107"/>
      <c r="T526" s="107"/>
      <c r="U526" s="107"/>
      <c r="V526" s="107"/>
      <c r="W526" s="107"/>
      <c r="X526" s="107"/>
      <c r="Y526" s="107"/>
      <c r="Z526" s="107"/>
      <c r="AA526" s="167">
        <v>43935</v>
      </c>
      <c r="AB526" s="109">
        <f>_xlfn.DAYS(AA526,B526)</f>
        <v>27</v>
      </c>
      <c r="AC526" s="110">
        <v>40</v>
      </c>
      <c r="AD526" s="110">
        <v>1413</v>
      </c>
      <c r="AE526" s="110">
        <v>346</v>
      </c>
      <c r="AF526" s="110">
        <v>165.5</v>
      </c>
      <c r="AG526" s="110">
        <v>0</v>
      </c>
      <c r="AH526" s="108">
        <f>(AD526-AF526)/(D526*$K$1*2)%</f>
        <v>16.2012987012987</v>
      </c>
      <c r="AI526" s="108">
        <f>(AE526+AF526)/(D526*$K$1*2)%</f>
        <v>6.6428571428571432</v>
      </c>
      <c r="AJ526" s="110"/>
    </row>
    <row r="527" spans="1:41" ht="15.75" hidden="1" customHeight="1">
      <c r="A527" s="110" t="s">
        <v>805</v>
      </c>
      <c r="B527" s="229">
        <v>43908</v>
      </c>
      <c r="C527" s="110">
        <v>10000</v>
      </c>
      <c r="D527" s="110">
        <v>7</v>
      </c>
      <c r="E527" s="110"/>
      <c r="F527" s="107" t="s">
        <v>263</v>
      </c>
      <c r="G527" s="107"/>
      <c r="H527" s="107"/>
      <c r="K527" s="107"/>
      <c r="L527" s="107"/>
      <c r="M527" s="107"/>
      <c r="N527" s="107"/>
      <c r="O527" s="107"/>
      <c r="P527" s="107"/>
      <c r="Q527" s="107"/>
      <c r="R527" s="107"/>
      <c r="S527" s="107"/>
      <c r="T527" s="107"/>
      <c r="U527" s="107"/>
      <c r="V527" s="107"/>
      <c r="W527" s="107"/>
      <c r="X527" s="107"/>
      <c r="Y527" s="107"/>
      <c r="Z527" s="107"/>
      <c r="AA527" s="167">
        <v>43935</v>
      </c>
      <c r="AB527" s="109">
        <f>_xlfn.DAYS(AA527,B527)</f>
        <v>27</v>
      </c>
      <c r="AC527" s="110">
        <v>50</v>
      </c>
      <c r="AD527" s="110">
        <v>1168</v>
      </c>
      <c r="AE527" s="110">
        <v>356</v>
      </c>
      <c r="AF527" s="110">
        <v>184</v>
      </c>
      <c r="AG527" s="110">
        <v>0</v>
      </c>
      <c r="AH527" s="108">
        <f>(AD527-AF527)/(D527*$K$1*2)%</f>
        <v>12.779220779220779</v>
      </c>
      <c r="AI527" s="108">
        <f>(AE527+AF527)/(D527*$K$1*2)%</f>
        <v>7.0129870129870131</v>
      </c>
      <c r="AJ527" s="110"/>
    </row>
    <row r="528" spans="1:41" ht="15.75" hidden="1" customHeight="1">
      <c r="A528" s="110" t="s">
        <v>806</v>
      </c>
      <c r="B528" s="229">
        <v>43908</v>
      </c>
      <c r="C528" s="110">
        <v>10000</v>
      </c>
      <c r="D528" s="110">
        <v>7</v>
      </c>
      <c r="E528" s="110"/>
      <c r="F528" s="107" t="s">
        <v>263</v>
      </c>
      <c r="G528" s="107"/>
      <c r="H528" s="107"/>
      <c r="K528" s="107"/>
      <c r="L528" s="107"/>
      <c r="M528" s="107"/>
      <c r="N528" s="107"/>
      <c r="O528" s="107"/>
      <c r="P528" s="107"/>
      <c r="Q528" s="107"/>
      <c r="R528" s="107"/>
      <c r="S528" s="107"/>
      <c r="T528" s="107"/>
      <c r="U528" s="107"/>
      <c r="V528" s="107"/>
      <c r="W528" s="107"/>
      <c r="X528" s="107"/>
      <c r="Y528" s="107"/>
      <c r="Z528" s="107"/>
      <c r="AA528" s="167">
        <v>43935</v>
      </c>
      <c r="AB528" s="109">
        <f>_xlfn.DAYS(AA528,B528)</f>
        <v>27</v>
      </c>
      <c r="AC528" s="110">
        <v>48</v>
      </c>
      <c r="AD528" s="110">
        <v>1239</v>
      </c>
      <c r="AE528" s="110">
        <v>359.5</v>
      </c>
      <c r="AF528" s="110">
        <v>199.5</v>
      </c>
      <c r="AG528" s="110">
        <v>0</v>
      </c>
      <c r="AH528" s="108">
        <f>(AD528-AF528)/(D528*$K$1*2)%</f>
        <v>13.5</v>
      </c>
      <c r="AI528" s="108">
        <f>(AE528+AF528)/(D528*$K$1*2)%</f>
        <v>7.2597402597402594</v>
      </c>
      <c r="AJ528" s="110"/>
    </row>
    <row r="529" spans="1:36" ht="15.75" hidden="1" customHeight="1">
      <c r="A529" s="107" t="s">
        <v>807</v>
      </c>
      <c r="B529" s="226">
        <v>44061</v>
      </c>
      <c r="C529" s="230">
        <v>10000</v>
      </c>
      <c r="D529" s="107">
        <f>COUNTA(G529:Z529)*0.5</f>
        <v>7</v>
      </c>
      <c r="F529" s="107" t="s">
        <v>263</v>
      </c>
      <c r="G529" s="178">
        <v>44061</v>
      </c>
      <c r="H529" s="178">
        <v>44061</v>
      </c>
      <c r="I529" s="178">
        <v>44061</v>
      </c>
      <c r="J529" s="178">
        <v>44061</v>
      </c>
      <c r="K529" s="178">
        <v>44064</v>
      </c>
      <c r="L529" s="178">
        <v>44067</v>
      </c>
      <c r="M529" s="178">
        <v>44069</v>
      </c>
      <c r="N529" s="178">
        <v>44069</v>
      </c>
      <c r="O529" s="178">
        <v>44071</v>
      </c>
      <c r="P529" s="178">
        <v>44071</v>
      </c>
      <c r="Q529" s="178">
        <v>44076</v>
      </c>
      <c r="R529" s="178">
        <v>44078</v>
      </c>
      <c r="S529" s="178">
        <v>44081</v>
      </c>
      <c r="T529" s="178">
        <v>44088</v>
      </c>
      <c r="AA529" s="166">
        <v>44099</v>
      </c>
      <c r="AB529" s="109">
        <f>_xlfn.DAYS(AA529,B529)</f>
        <v>38</v>
      </c>
      <c r="AC529" s="107">
        <f>10/12*100</f>
        <v>83.333333333333343</v>
      </c>
      <c r="AD529" s="107">
        <v>564.5</v>
      </c>
      <c r="AE529" s="107">
        <v>292.5</v>
      </c>
      <c r="AG529" s="107">
        <f>COUNTIFS(F:F,"Culled",A:A,LEFT(A529,LEN(A529)-3)&amp;"*")/COUNTIF(A:A,LEFT(A529,LEN(A529)-3)&amp;"*")*100</f>
        <v>0</v>
      </c>
      <c r="AH529" s="108">
        <f>(AD529-AF529)/(D529*$K$1*2)%</f>
        <v>7.3311688311688314</v>
      </c>
      <c r="AI529" s="108">
        <f>(AE529+AF529)/(D529*$K$1*2)%</f>
        <v>3.7987012987012987</v>
      </c>
    </row>
    <row r="530" spans="1:36" ht="15.75" hidden="1" customHeight="1">
      <c r="A530" s="107" t="s">
        <v>808</v>
      </c>
      <c r="B530" s="226">
        <v>44061</v>
      </c>
      <c r="C530" s="230">
        <v>10000</v>
      </c>
      <c r="D530" s="107">
        <f>COUNTA(G530:Z530)*0.5</f>
        <v>7.5</v>
      </c>
      <c r="F530" s="107" t="s">
        <v>263</v>
      </c>
      <c r="G530" s="178">
        <v>44061</v>
      </c>
      <c r="H530" s="178">
        <v>44061</v>
      </c>
      <c r="I530" s="178">
        <v>44061</v>
      </c>
      <c r="J530" s="178">
        <v>44061</v>
      </c>
      <c r="K530" s="178">
        <v>44064</v>
      </c>
      <c r="L530" s="178">
        <v>44067</v>
      </c>
      <c r="M530" s="178">
        <v>44069</v>
      </c>
      <c r="N530" s="178">
        <v>44069</v>
      </c>
      <c r="O530" s="178">
        <v>44071</v>
      </c>
      <c r="P530" s="178">
        <v>44071</v>
      </c>
      <c r="Q530" s="178">
        <v>44076</v>
      </c>
      <c r="R530" s="178">
        <v>44078</v>
      </c>
      <c r="S530" s="178">
        <v>44081</v>
      </c>
      <c r="T530" s="178">
        <v>44085</v>
      </c>
      <c r="U530" s="178">
        <v>44088</v>
      </c>
      <c r="AA530" s="166">
        <v>44099</v>
      </c>
      <c r="AB530" s="109">
        <f>_xlfn.DAYS(AA530,B530)</f>
        <v>38</v>
      </c>
      <c r="AC530" s="107">
        <f>9/21*100</f>
        <v>42.857142857142854</v>
      </c>
      <c r="AD530" s="107">
        <v>906.5</v>
      </c>
      <c r="AE530" s="107">
        <v>316.5</v>
      </c>
      <c r="AG530" s="107">
        <f>COUNTIFS(F:F,"Culled",A:A,LEFT(A530,LEN(A530)-3)&amp;"*")/COUNTIF(A:A,LEFT(A530,LEN(A530)-3)&amp;"*")*100</f>
        <v>0</v>
      </c>
      <c r="AH530" s="108">
        <f>(AD530-AF530)/(D530*$K$1*2)%</f>
        <v>10.987878787878788</v>
      </c>
      <c r="AI530" s="108">
        <f>(AE530+AF530)/(D530*$K$1*2)%</f>
        <v>3.8363636363636364</v>
      </c>
    </row>
    <row r="531" spans="1:36" ht="15.75" hidden="1" customHeight="1">
      <c r="A531" s="110" t="s">
        <v>809</v>
      </c>
      <c r="B531" s="229">
        <v>44004</v>
      </c>
      <c r="C531" s="110">
        <v>9500</v>
      </c>
      <c r="D531" s="110">
        <v>4.5</v>
      </c>
      <c r="E531" s="110"/>
      <c r="F531" s="107" t="s">
        <v>323</v>
      </c>
      <c r="G531" s="107"/>
      <c r="H531" s="107"/>
      <c r="I531" s="107"/>
      <c r="J531" s="107"/>
      <c r="K531" s="107"/>
      <c r="L531" s="107"/>
      <c r="M531" s="107"/>
      <c r="N531" s="107"/>
      <c r="O531" s="107"/>
      <c r="P531" s="107"/>
      <c r="Q531" s="107"/>
      <c r="R531" s="107"/>
      <c r="S531" s="107"/>
      <c r="T531" s="107"/>
      <c r="U531" s="107"/>
      <c r="V531" s="107"/>
      <c r="W531" s="107"/>
      <c r="X531" s="107"/>
      <c r="Y531" s="107"/>
      <c r="Z531" s="107"/>
      <c r="AA531" s="167"/>
      <c r="AB531" s="109">
        <f>_xlfn.DAYS(AA531,B531)</f>
        <v>-44004</v>
      </c>
      <c r="AC531" s="110"/>
      <c r="AD531" s="110"/>
      <c r="AE531" s="110"/>
      <c r="AF531" s="110"/>
      <c r="AG531" s="110">
        <v>100</v>
      </c>
      <c r="AH531" s="107"/>
    </row>
    <row r="532" spans="1:36" ht="15.75" hidden="1" customHeight="1">
      <c r="A532" s="10" t="s">
        <v>810</v>
      </c>
      <c r="B532" s="229">
        <v>43944</v>
      </c>
      <c r="C532" s="10">
        <v>10000</v>
      </c>
      <c r="D532" s="110">
        <v>8.5</v>
      </c>
      <c r="E532" s="110"/>
      <c r="F532" s="107" t="s">
        <v>263</v>
      </c>
      <c r="G532" s="107"/>
      <c r="H532" s="107"/>
      <c r="K532" s="107"/>
      <c r="L532" s="107"/>
      <c r="M532" s="107"/>
      <c r="N532" s="107"/>
      <c r="O532" s="107"/>
      <c r="P532" s="107"/>
      <c r="Q532" s="107"/>
      <c r="R532" s="107"/>
      <c r="S532" s="107"/>
      <c r="T532" s="107"/>
      <c r="U532" s="107"/>
      <c r="V532" s="107"/>
      <c r="W532" s="107"/>
      <c r="X532" s="107"/>
      <c r="Y532" s="107"/>
      <c r="Z532" s="107"/>
      <c r="AA532" s="167">
        <v>43984</v>
      </c>
      <c r="AB532" s="109">
        <f>_xlfn.DAYS(AA532,B532)</f>
        <v>40</v>
      </c>
      <c r="AC532" s="110">
        <v>45</v>
      </c>
      <c r="AD532" s="110">
        <v>1013</v>
      </c>
      <c r="AE532" s="110">
        <v>693</v>
      </c>
      <c r="AF532" s="110">
        <v>187</v>
      </c>
      <c r="AG532" s="110">
        <v>66.67</v>
      </c>
      <c r="AH532" s="108">
        <f>(AD532-AF532)/(D532*$K$1*2)%</f>
        <v>8.8342245989304811</v>
      </c>
      <c r="AI532" s="108">
        <f>(AE532+AF532)/(D532*$K$1*2)%</f>
        <v>9.4117647058823533</v>
      </c>
      <c r="AJ532" s="110"/>
    </row>
    <row r="533" spans="1:36" ht="15.75" hidden="1" customHeight="1">
      <c r="A533" s="110" t="s">
        <v>811</v>
      </c>
      <c r="B533" s="229">
        <v>43916</v>
      </c>
      <c r="C533" s="110">
        <v>10000</v>
      </c>
      <c r="D533" s="110">
        <v>8.5</v>
      </c>
      <c r="E533" s="110"/>
      <c r="F533" s="107" t="s">
        <v>263</v>
      </c>
      <c r="G533" s="107"/>
      <c r="H533" s="107"/>
      <c r="K533" s="107"/>
      <c r="L533" s="107"/>
      <c r="M533" s="107"/>
      <c r="N533" s="107"/>
      <c r="O533" s="107"/>
      <c r="P533" s="107"/>
      <c r="Q533" s="107"/>
      <c r="R533" s="107"/>
      <c r="S533" s="107"/>
      <c r="T533" s="107"/>
      <c r="U533" s="107"/>
      <c r="V533" s="107"/>
      <c r="W533" s="107"/>
      <c r="X533" s="107"/>
      <c r="Y533" s="107"/>
      <c r="Z533" s="107"/>
      <c r="AA533" s="167">
        <v>43941</v>
      </c>
      <c r="AB533" s="109">
        <f>_xlfn.DAYS(AA533,B533)</f>
        <v>25</v>
      </c>
      <c r="AC533" s="110">
        <v>25</v>
      </c>
      <c r="AD533" s="110">
        <v>1128.5</v>
      </c>
      <c r="AE533" s="110">
        <v>428</v>
      </c>
      <c r="AF533" s="110">
        <v>60</v>
      </c>
      <c r="AG533" s="110">
        <v>0</v>
      </c>
      <c r="AH533" s="108">
        <f>(AD533-AF533)/(D533*$K$1*2)%</f>
        <v>11.427807486631016</v>
      </c>
      <c r="AI533" s="108">
        <f>(AE533+AF533)/(D533*$K$1*2)%</f>
        <v>5.2192513368983962</v>
      </c>
      <c r="AJ533" s="110"/>
    </row>
    <row r="534" spans="1:36" ht="15.75" hidden="1" customHeight="1">
      <c r="A534" s="110" t="s">
        <v>812</v>
      </c>
      <c r="B534" s="229">
        <v>43916</v>
      </c>
      <c r="C534" s="110">
        <v>10000</v>
      </c>
      <c r="D534" s="110">
        <v>8.5</v>
      </c>
      <c r="E534" s="110"/>
      <c r="F534" s="107" t="s">
        <v>263</v>
      </c>
      <c r="G534" s="107"/>
      <c r="H534" s="107"/>
      <c r="K534" s="107"/>
      <c r="L534" s="107"/>
      <c r="M534" s="107"/>
      <c r="N534" s="107"/>
      <c r="O534" s="107"/>
      <c r="P534" s="107"/>
      <c r="Q534" s="107"/>
      <c r="R534" s="107"/>
      <c r="S534" s="107"/>
      <c r="T534" s="107"/>
      <c r="U534" s="107"/>
      <c r="V534" s="107"/>
      <c r="W534" s="107"/>
      <c r="X534" s="107"/>
      <c r="Y534" s="107"/>
      <c r="Z534" s="107"/>
      <c r="AA534" s="167">
        <v>43941</v>
      </c>
      <c r="AB534" s="109">
        <f>_xlfn.DAYS(AA534,B534)</f>
        <v>25</v>
      </c>
      <c r="AC534" s="110">
        <v>39.29</v>
      </c>
      <c r="AD534" s="110">
        <v>1186.5</v>
      </c>
      <c r="AE534" s="110">
        <v>357.5</v>
      </c>
      <c r="AF534" s="110">
        <v>114</v>
      </c>
      <c r="AG534" s="110">
        <v>0</v>
      </c>
      <c r="AH534" s="108">
        <f>(AD534-AF534)/(D534*$K$1*2)%</f>
        <v>11.470588235294118</v>
      </c>
      <c r="AI534" s="108">
        <f>(AE534+AF534)/(D534*$K$1*2)%</f>
        <v>5.0427807486631018</v>
      </c>
      <c r="AJ534" s="110"/>
    </row>
    <row r="535" spans="1:36" ht="15.75" hidden="1" customHeight="1">
      <c r="A535" s="110" t="s">
        <v>813</v>
      </c>
      <c r="B535" s="229">
        <v>44004</v>
      </c>
      <c r="C535" s="110">
        <v>9500</v>
      </c>
      <c r="D535" s="110">
        <v>5</v>
      </c>
      <c r="E535" s="110"/>
      <c r="F535" s="107" t="s">
        <v>323</v>
      </c>
      <c r="G535" s="107"/>
      <c r="H535" s="107"/>
      <c r="I535" s="107"/>
      <c r="J535" s="107"/>
      <c r="K535" s="107"/>
      <c r="L535" s="107"/>
      <c r="M535" s="107"/>
      <c r="N535" s="107"/>
      <c r="O535" s="107"/>
      <c r="P535" s="107"/>
      <c r="Q535" s="107"/>
      <c r="R535" s="107"/>
      <c r="S535" s="107"/>
      <c r="T535" s="107"/>
      <c r="U535" s="107"/>
      <c r="V535" s="107"/>
      <c r="W535" s="107"/>
      <c r="X535" s="107"/>
      <c r="Y535" s="107"/>
      <c r="Z535" s="107"/>
      <c r="AA535" s="167"/>
      <c r="AB535" s="109">
        <f>_xlfn.DAYS(AA535,B535)</f>
        <v>-44004</v>
      </c>
      <c r="AC535" s="110"/>
      <c r="AD535" s="110"/>
      <c r="AE535" s="110"/>
      <c r="AF535" s="110"/>
      <c r="AG535" s="110">
        <v>100</v>
      </c>
      <c r="AH535" s="107"/>
    </row>
    <row r="536" spans="1:36" ht="15.75" hidden="1" customHeight="1">
      <c r="A536" s="110" t="s">
        <v>814</v>
      </c>
      <c r="B536" s="229">
        <v>43916</v>
      </c>
      <c r="C536" s="110">
        <v>10000</v>
      </c>
      <c r="D536" s="110">
        <v>8.5</v>
      </c>
      <c r="E536" s="110"/>
      <c r="F536" s="107" t="s">
        <v>263</v>
      </c>
      <c r="G536" s="107"/>
      <c r="H536" s="107"/>
      <c r="K536" s="107"/>
      <c r="L536" s="107"/>
      <c r="M536" s="107"/>
      <c r="N536" s="107"/>
      <c r="O536" s="107"/>
      <c r="P536" s="107"/>
      <c r="Q536" s="107"/>
      <c r="R536" s="107"/>
      <c r="S536" s="107"/>
      <c r="T536" s="107"/>
      <c r="U536" s="107"/>
      <c r="V536" s="107"/>
      <c r="W536" s="107"/>
      <c r="X536" s="107"/>
      <c r="Y536" s="107"/>
      <c r="Z536" s="107"/>
      <c r="AA536" s="167">
        <v>43941</v>
      </c>
      <c r="AB536" s="109">
        <f>_xlfn.DAYS(AA536,B536)</f>
        <v>25</v>
      </c>
      <c r="AC536" s="110">
        <v>50</v>
      </c>
      <c r="AD536" s="110">
        <v>1000.5</v>
      </c>
      <c r="AE536" s="110">
        <v>441</v>
      </c>
      <c r="AF536" s="110">
        <v>54.5</v>
      </c>
      <c r="AG536" s="110">
        <v>0</v>
      </c>
      <c r="AH536" s="108">
        <f>(AD536-AF536)/(D536*$K$1*2)%</f>
        <v>10.117647058823529</v>
      </c>
      <c r="AI536" s="108">
        <f>(AE536+AF536)/(D536*$K$1*2)%</f>
        <v>5.2994652406417115</v>
      </c>
      <c r="AJ536" s="110"/>
    </row>
    <row r="537" spans="1:36" ht="15.75" hidden="1" customHeight="1">
      <c r="A537" s="110" t="s">
        <v>815</v>
      </c>
      <c r="B537" s="229">
        <v>43916</v>
      </c>
      <c r="C537" s="110">
        <v>10000</v>
      </c>
      <c r="D537" s="110">
        <v>8.5</v>
      </c>
      <c r="E537" s="110"/>
      <c r="F537" s="107" t="s">
        <v>263</v>
      </c>
      <c r="G537" s="107"/>
      <c r="H537" s="107"/>
      <c r="K537" s="107"/>
      <c r="L537" s="107"/>
      <c r="M537" s="107"/>
      <c r="N537" s="107"/>
      <c r="O537" s="107"/>
      <c r="P537" s="107"/>
      <c r="Q537" s="107"/>
      <c r="R537" s="107"/>
      <c r="S537" s="107"/>
      <c r="T537" s="107"/>
      <c r="U537" s="107"/>
      <c r="V537" s="107"/>
      <c r="W537" s="107"/>
      <c r="X537" s="107"/>
      <c r="Y537" s="107"/>
      <c r="Z537" s="107"/>
      <c r="AA537" s="167">
        <v>43941</v>
      </c>
      <c r="AB537" s="109">
        <f>_xlfn.DAYS(AA537,B537)</f>
        <v>25</v>
      </c>
      <c r="AC537" s="110">
        <v>23.3</v>
      </c>
      <c r="AD537" s="110">
        <v>834.5</v>
      </c>
      <c r="AE537" s="110">
        <v>470</v>
      </c>
      <c r="AF537" s="110">
        <v>53</v>
      </c>
      <c r="AG537" s="110">
        <v>0</v>
      </c>
      <c r="AH537" s="108">
        <f>(AD537-AF537)/(D537*$K$1*2)%</f>
        <v>8.3582887700534751</v>
      </c>
      <c r="AI537" s="108">
        <f>(AE537+AF537)/(D537*$K$1*2)%</f>
        <v>5.5935828877005349</v>
      </c>
      <c r="AJ537" s="110"/>
    </row>
    <row r="538" spans="1:36" ht="15.75" hidden="1" customHeight="1">
      <c r="A538" s="110" t="s">
        <v>816</v>
      </c>
      <c r="B538" s="229">
        <v>43916</v>
      </c>
      <c r="C538" s="110">
        <v>10000</v>
      </c>
      <c r="D538" s="110">
        <v>8.5</v>
      </c>
      <c r="E538" s="110"/>
      <c r="F538" s="107" t="s">
        <v>263</v>
      </c>
      <c r="G538" s="107"/>
      <c r="H538" s="107"/>
      <c r="K538" s="107"/>
      <c r="L538" s="107"/>
      <c r="M538" s="107"/>
      <c r="N538" s="107"/>
      <c r="O538" s="107"/>
      <c r="P538" s="107"/>
      <c r="Q538" s="107"/>
      <c r="R538" s="107"/>
      <c r="S538" s="107"/>
      <c r="T538" s="107"/>
      <c r="U538" s="107"/>
      <c r="V538" s="107"/>
      <c r="W538" s="107"/>
      <c r="X538" s="107"/>
      <c r="Y538" s="107"/>
      <c r="Z538" s="107"/>
      <c r="AA538" s="167">
        <v>43941</v>
      </c>
      <c r="AB538" s="109">
        <f>_xlfn.DAYS(AA538,B538)</f>
        <v>25</v>
      </c>
      <c r="AC538" s="110">
        <v>40</v>
      </c>
      <c r="AD538" s="110">
        <v>882</v>
      </c>
      <c r="AE538" s="110">
        <v>440</v>
      </c>
      <c r="AF538" s="110">
        <v>59.5</v>
      </c>
      <c r="AG538" s="110">
        <v>0</v>
      </c>
      <c r="AH538" s="108">
        <f>(AD538-AF538)/(D538*$K$1*2)%</f>
        <v>8.7967914438502675</v>
      </c>
      <c r="AI538" s="108">
        <f>(AE538+AF538)/(D538*$K$1*2)%</f>
        <v>5.3422459893048124</v>
      </c>
      <c r="AJ538" s="110"/>
    </row>
    <row r="539" spans="1:36" ht="15.75" hidden="1" customHeight="1">
      <c r="A539" s="110" t="s">
        <v>817</v>
      </c>
      <c r="B539" s="229">
        <v>44004</v>
      </c>
      <c r="C539" s="110">
        <v>9500</v>
      </c>
      <c r="D539" s="110">
        <v>4.5</v>
      </c>
      <c r="E539" s="110"/>
      <c r="F539" s="107" t="s">
        <v>323</v>
      </c>
      <c r="G539" s="107"/>
      <c r="H539" s="107"/>
      <c r="I539" s="107"/>
      <c r="J539" s="107"/>
      <c r="K539" s="107"/>
      <c r="L539" s="107"/>
      <c r="M539" s="107"/>
      <c r="N539" s="107"/>
      <c r="O539" s="107"/>
      <c r="P539" s="107"/>
      <c r="Q539" s="107"/>
      <c r="R539" s="107"/>
      <c r="S539" s="107"/>
      <c r="T539" s="107"/>
      <c r="U539" s="107"/>
      <c r="V539" s="107"/>
      <c r="W539" s="107"/>
      <c r="X539" s="107"/>
      <c r="Y539" s="107"/>
      <c r="Z539" s="107"/>
      <c r="AA539" s="167"/>
      <c r="AB539" s="109">
        <f>_xlfn.DAYS(AA539,B539)</f>
        <v>-44004</v>
      </c>
      <c r="AC539" s="110"/>
      <c r="AD539" s="110"/>
      <c r="AE539" s="110"/>
      <c r="AF539" s="110"/>
      <c r="AG539" s="110">
        <v>100</v>
      </c>
      <c r="AH539" s="107"/>
    </row>
    <row r="540" spans="1:36" ht="15.75" hidden="1" customHeight="1">
      <c r="A540" s="110" t="s">
        <v>818</v>
      </c>
      <c r="B540" s="229">
        <v>43917</v>
      </c>
      <c r="C540" s="110">
        <v>10000</v>
      </c>
      <c r="D540" s="110">
        <v>7.5</v>
      </c>
      <c r="E540" s="110"/>
      <c r="F540" s="107" t="s">
        <v>263</v>
      </c>
      <c r="G540" s="107"/>
      <c r="H540" s="107"/>
      <c r="K540" s="107"/>
      <c r="L540" s="107"/>
      <c r="M540" s="107"/>
      <c r="N540" s="107"/>
      <c r="O540" s="107"/>
      <c r="P540" s="107"/>
      <c r="Q540" s="107"/>
      <c r="R540" s="107"/>
      <c r="S540" s="107"/>
      <c r="T540" s="107"/>
      <c r="U540" s="107"/>
      <c r="V540" s="107"/>
      <c r="W540" s="107"/>
      <c r="X540" s="107"/>
      <c r="Y540" s="107"/>
      <c r="Z540" s="107"/>
      <c r="AA540" s="167">
        <v>43942</v>
      </c>
      <c r="AB540" s="109">
        <f>_xlfn.DAYS(AA540,B540)</f>
        <v>25</v>
      </c>
      <c r="AC540" s="110">
        <v>44.4</v>
      </c>
      <c r="AD540" s="110">
        <v>994</v>
      </c>
      <c r="AE540" s="110">
        <v>297</v>
      </c>
      <c r="AF540" s="110">
        <v>106.5</v>
      </c>
      <c r="AG540" s="110">
        <v>0</v>
      </c>
      <c r="AH540" s="108">
        <f>(AD540-AF540)/(D540*$K$1*2)%</f>
        <v>10.757575757575758</v>
      </c>
      <c r="AI540" s="108">
        <f>(AE540+AF540)/(D540*$K$1*2)%</f>
        <v>4.8909090909090907</v>
      </c>
      <c r="AJ540" s="110"/>
    </row>
    <row r="541" spans="1:36" ht="15.75" hidden="1" customHeight="1">
      <c r="A541" s="110" t="s">
        <v>819</v>
      </c>
      <c r="B541" s="229">
        <v>44004</v>
      </c>
      <c r="C541" s="110">
        <v>9500</v>
      </c>
      <c r="D541" s="110">
        <v>4.5</v>
      </c>
      <c r="E541" s="110"/>
      <c r="F541" s="107" t="s">
        <v>323</v>
      </c>
      <c r="G541" s="107"/>
      <c r="H541" s="107"/>
      <c r="I541" s="107"/>
      <c r="J541" s="107"/>
      <c r="K541" s="107"/>
      <c r="L541" s="107"/>
      <c r="M541" s="107"/>
      <c r="N541" s="107"/>
      <c r="O541" s="107"/>
      <c r="P541" s="107"/>
      <c r="Q541" s="107"/>
      <c r="R541" s="107"/>
      <c r="S541" s="107"/>
      <c r="T541" s="107"/>
      <c r="U541" s="107"/>
      <c r="V541" s="107"/>
      <c r="W541" s="107"/>
      <c r="X541" s="107"/>
      <c r="Y541" s="107"/>
      <c r="Z541" s="107"/>
      <c r="AA541" s="167"/>
      <c r="AB541" s="109">
        <f>_xlfn.DAYS(AA541,B541)</f>
        <v>-44004</v>
      </c>
      <c r="AC541" s="110"/>
      <c r="AD541" s="110"/>
      <c r="AE541" s="110"/>
      <c r="AF541" s="110"/>
      <c r="AG541" s="110">
        <v>100</v>
      </c>
      <c r="AH541" s="107"/>
    </row>
    <row r="542" spans="1:36" ht="15.75" hidden="1" customHeight="1">
      <c r="A542" s="10" t="s">
        <v>820</v>
      </c>
      <c r="B542" s="229">
        <v>43998</v>
      </c>
      <c r="C542" s="10">
        <v>10000</v>
      </c>
      <c r="D542" s="10">
        <v>6.5</v>
      </c>
      <c r="E542" s="10"/>
      <c r="F542" s="107" t="s">
        <v>323</v>
      </c>
      <c r="G542" s="107"/>
      <c r="H542" s="107"/>
      <c r="I542" s="107"/>
      <c r="J542" s="107"/>
      <c r="K542" s="107"/>
      <c r="L542" s="107"/>
      <c r="M542" s="107"/>
      <c r="N542" s="107"/>
      <c r="O542" s="107"/>
      <c r="P542" s="107"/>
      <c r="Q542" s="107"/>
      <c r="R542" s="107"/>
      <c r="S542" s="107"/>
      <c r="T542" s="107"/>
      <c r="U542" s="107"/>
      <c r="V542" s="107"/>
      <c r="W542" s="107"/>
      <c r="X542" s="107"/>
      <c r="Y542" s="107"/>
      <c r="Z542" s="107"/>
      <c r="AB542" s="109">
        <f>_xlfn.DAYS(AA542,B542)</f>
        <v>-43998</v>
      </c>
      <c r="AG542" s="10">
        <v>100</v>
      </c>
      <c r="AH542" s="107"/>
    </row>
    <row r="543" spans="1:36" ht="15.75" hidden="1" customHeight="1">
      <c r="A543" s="110" t="s">
        <v>821</v>
      </c>
      <c r="B543" s="229">
        <v>43917</v>
      </c>
      <c r="C543" s="110">
        <v>10000</v>
      </c>
      <c r="D543" s="110">
        <v>7.5</v>
      </c>
      <c r="E543" s="110"/>
      <c r="F543" s="107" t="s">
        <v>263</v>
      </c>
      <c r="G543" s="107"/>
      <c r="H543" s="107"/>
      <c r="K543" s="107"/>
      <c r="L543" s="107"/>
      <c r="M543" s="107"/>
      <c r="N543" s="107"/>
      <c r="O543" s="107"/>
      <c r="P543" s="107"/>
      <c r="Q543" s="107"/>
      <c r="R543" s="107"/>
      <c r="S543" s="107"/>
      <c r="T543" s="107"/>
      <c r="U543" s="107"/>
      <c r="V543" s="107"/>
      <c r="W543" s="107"/>
      <c r="X543" s="107"/>
      <c r="Y543" s="107"/>
      <c r="Z543" s="107"/>
      <c r="AA543" s="167">
        <v>43942</v>
      </c>
      <c r="AB543" s="109">
        <f>_xlfn.DAYS(AA543,B543)</f>
        <v>25</v>
      </c>
      <c r="AC543" s="110">
        <v>38.1</v>
      </c>
      <c r="AD543" s="110">
        <v>996.5</v>
      </c>
      <c r="AE543" s="110">
        <v>288.5</v>
      </c>
      <c r="AF543" s="110">
        <v>142</v>
      </c>
      <c r="AG543" s="110">
        <v>0</v>
      </c>
      <c r="AH543" s="108">
        <f>(AD543-AF543)/(D543*$K$1*2)%</f>
        <v>10.357575757575757</v>
      </c>
      <c r="AI543" s="108">
        <f>(AE543+AF543)/(D543*$K$1*2)%</f>
        <v>5.2181818181818178</v>
      </c>
      <c r="AJ543" s="110"/>
    </row>
    <row r="544" spans="1:36" ht="15.75" hidden="1" customHeight="1">
      <c r="A544" s="110" t="s">
        <v>822</v>
      </c>
      <c r="B544" s="229">
        <v>43917</v>
      </c>
      <c r="C544" s="110">
        <v>10000</v>
      </c>
      <c r="D544" s="110">
        <v>7.5</v>
      </c>
      <c r="E544" s="110"/>
      <c r="F544" s="107" t="s">
        <v>263</v>
      </c>
      <c r="G544" s="107"/>
      <c r="H544" s="107"/>
      <c r="K544" s="107"/>
      <c r="L544" s="107"/>
      <c r="M544" s="107"/>
      <c r="N544" s="107"/>
      <c r="O544" s="107"/>
      <c r="P544" s="107"/>
      <c r="Q544" s="107"/>
      <c r="R544" s="107"/>
      <c r="S544" s="107"/>
      <c r="T544" s="107"/>
      <c r="U544" s="107"/>
      <c r="V544" s="107"/>
      <c r="W544" s="107"/>
      <c r="X544" s="107"/>
      <c r="Y544" s="107"/>
      <c r="Z544" s="107"/>
      <c r="AA544" s="167">
        <v>43942</v>
      </c>
      <c r="AB544" s="109">
        <f>_xlfn.DAYS(AA544,B544)</f>
        <v>25</v>
      </c>
      <c r="AC544" s="110">
        <v>45.5</v>
      </c>
      <c r="AD544" s="110">
        <v>908.5</v>
      </c>
      <c r="AE544" s="110">
        <v>282.5</v>
      </c>
      <c r="AF544" s="110">
        <v>137.5</v>
      </c>
      <c r="AG544" s="110">
        <v>0</v>
      </c>
      <c r="AH544" s="108">
        <f>(AD544-AF544)/(D544*$K$1*2)%</f>
        <v>9.3454545454545457</v>
      </c>
      <c r="AI544" s="108">
        <f>(AE544+AF544)/(D544*$K$1*2)%</f>
        <v>5.0909090909090908</v>
      </c>
      <c r="AJ544" s="110"/>
    </row>
    <row r="545" spans="1:36" ht="15.75" hidden="1" customHeight="1">
      <c r="A545" s="110" t="s">
        <v>823</v>
      </c>
      <c r="B545" s="229">
        <v>43917</v>
      </c>
      <c r="C545" s="110">
        <v>10000</v>
      </c>
      <c r="D545" s="110">
        <v>7.5</v>
      </c>
      <c r="E545" s="110"/>
      <c r="F545" s="107" t="s">
        <v>263</v>
      </c>
      <c r="G545" s="107"/>
      <c r="H545" s="107"/>
      <c r="K545" s="107"/>
      <c r="L545" s="107"/>
      <c r="M545" s="107"/>
      <c r="N545" s="107"/>
      <c r="O545" s="107"/>
      <c r="P545" s="107"/>
      <c r="Q545" s="107"/>
      <c r="R545" s="107"/>
      <c r="S545" s="107"/>
      <c r="T545" s="107"/>
      <c r="U545" s="107"/>
      <c r="V545" s="107"/>
      <c r="W545" s="107"/>
      <c r="X545" s="107"/>
      <c r="Y545" s="107"/>
      <c r="Z545" s="107"/>
      <c r="AA545" s="167">
        <v>43942</v>
      </c>
      <c r="AB545" s="109">
        <f>_xlfn.DAYS(AA545,B545)</f>
        <v>25</v>
      </c>
      <c r="AC545" s="110">
        <v>29.2</v>
      </c>
      <c r="AD545" s="110">
        <v>1015</v>
      </c>
      <c r="AE545" s="110">
        <v>265.5</v>
      </c>
      <c r="AF545" s="110">
        <v>114</v>
      </c>
      <c r="AG545" s="110">
        <v>0</v>
      </c>
      <c r="AH545" s="108">
        <f>(AD545-AF545)/(D545*$K$1*2)%</f>
        <v>10.921212121212122</v>
      </c>
      <c r="AI545" s="108">
        <f>(AE545+AF545)/(D545*$K$1*2)%</f>
        <v>4.5999999999999996</v>
      </c>
      <c r="AJ545" s="110"/>
    </row>
    <row r="546" spans="1:36" ht="15.75" hidden="1" customHeight="1">
      <c r="A546" s="110" t="s">
        <v>824</v>
      </c>
      <c r="B546" s="229">
        <v>43917</v>
      </c>
      <c r="C546" s="110">
        <v>10000</v>
      </c>
      <c r="D546" s="110">
        <v>7.5</v>
      </c>
      <c r="E546" s="110"/>
      <c r="F546" s="107" t="s">
        <v>263</v>
      </c>
      <c r="G546" s="107"/>
      <c r="H546" s="107"/>
      <c r="K546" s="107"/>
      <c r="L546" s="107"/>
      <c r="M546" s="107"/>
      <c r="N546" s="107"/>
      <c r="O546" s="107"/>
      <c r="P546" s="107"/>
      <c r="Q546" s="107"/>
      <c r="R546" s="107"/>
      <c r="S546" s="107"/>
      <c r="T546" s="107"/>
      <c r="U546" s="107"/>
      <c r="V546" s="107"/>
      <c r="W546" s="107"/>
      <c r="X546" s="107"/>
      <c r="Y546" s="107"/>
      <c r="Z546" s="107"/>
      <c r="AA546" s="167">
        <v>43942</v>
      </c>
      <c r="AB546" s="109">
        <f>_xlfn.DAYS(AA546,B546)</f>
        <v>25</v>
      </c>
      <c r="AC546" s="110">
        <v>53.6</v>
      </c>
      <c r="AD546" s="110">
        <v>1033</v>
      </c>
      <c r="AE546" s="110">
        <v>271</v>
      </c>
      <c r="AF546" s="110">
        <v>123.5</v>
      </c>
      <c r="AG546" s="110">
        <v>0</v>
      </c>
      <c r="AH546" s="108">
        <f>(AD546-AF546)/(D546*$K$1*2)%</f>
        <v>11.024242424242424</v>
      </c>
      <c r="AI546" s="108">
        <f>(AE546+AF546)/(D546*$K$1*2)%</f>
        <v>4.7818181818181822</v>
      </c>
      <c r="AJ546" s="110"/>
    </row>
    <row r="547" spans="1:36" ht="15.75" hidden="1" customHeight="1">
      <c r="A547" s="110" t="s">
        <v>825</v>
      </c>
      <c r="B547" s="229">
        <v>43917</v>
      </c>
      <c r="C547" s="110">
        <v>10000</v>
      </c>
      <c r="D547" s="110">
        <v>7.5</v>
      </c>
      <c r="E547" s="110"/>
      <c r="F547" s="107" t="s">
        <v>263</v>
      </c>
      <c r="G547" s="107"/>
      <c r="H547" s="107"/>
      <c r="K547" s="107"/>
      <c r="L547" s="107"/>
      <c r="M547" s="107"/>
      <c r="N547" s="107"/>
      <c r="O547" s="107"/>
      <c r="P547" s="107"/>
      <c r="Q547" s="107"/>
      <c r="R547" s="107"/>
      <c r="S547" s="107"/>
      <c r="T547" s="107"/>
      <c r="U547" s="107"/>
      <c r="V547" s="107"/>
      <c r="W547" s="107"/>
      <c r="X547" s="107"/>
      <c r="Y547" s="107"/>
      <c r="Z547" s="107"/>
      <c r="AA547" s="167">
        <v>43942</v>
      </c>
      <c r="AB547" s="109">
        <f>_xlfn.DAYS(AA547,B547)</f>
        <v>25</v>
      </c>
      <c r="AC547" s="110">
        <v>46.9</v>
      </c>
      <c r="AD547" s="110">
        <v>1231.5</v>
      </c>
      <c r="AE547" s="110">
        <v>310</v>
      </c>
      <c r="AF547" s="110">
        <v>157</v>
      </c>
      <c r="AG547" s="110">
        <v>0</v>
      </c>
      <c r="AH547" s="108">
        <f>(AD547-AF547)/(D547*$K$1*2)%</f>
        <v>13.024242424242424</v>
      </c>
      <c r="AI547" s="108">
        <f>(AE547+AF547)/(D547*$K$1*2)%</f>
        <v>5.6606060606060602</v>
      </c>
      <c r="AJ547" s="110"/>
    </row>
    <row r="548" spans="1:36" ht="15.75" hidden="1" customHeight="1">
      <c r="A548" s="10" t="s">
        <v>826</v>
      </c>
      <c r="B548" s="229">
        <v>43998</v>
      </c>
      <c r="C548" s="10">
        <v>10000</v>
      </c>
      <c r="D548" s="10">
        <v>7.5</v>
      </c>
      <c r="E548" s="10"/>
      <c r="F548" s="107" t="s">
        <v>323</v>
      </c>
      <c r="G548" s="107"/>
      <c r="H548" s="107"/>
      <c r="I548" s="107"/>
      <c r="J548" s="107"/>
      <c r="K548" s="107"/>
      <c r="L548" s="107"/>
      <c r="M548" s="107"/>
      <c r="N548" s="107"/>
      <c r="O548" s="107"/>
      <c r="P548" s="107"/>
      <c r="Q548" s="107"/>
      <c r="R548" s="107"/>
      <c r="S548" s="107"/>
      <c r="T548" s="107"/>
      <c r="U548" s="107"/>
      <c r="V548" s="107"/>
      <c r="W548" s="107"/>
      <c r="X548" s="107"/>
      <c r="Y548" s="107"/>
      <c r="Z548" s="107"/>
      <c r="AA548" s="167"/>
      <c r="AB548" s="109">
        <f>_xlfn.DAYS(AA548,B548)</f>
        <v>-43998</v>
      </c>
      <c r="AC548" s="110"/>
      <c r="AD548" s="110"/>
      <c r="AE548" s="110"/>
      <c r="AF548" s="110"/>
      <c r="AG548" s="10">
        <v>100</v>
      </c>
      <c r="AH548" s="107"/>
    </row>
    <row r="549" spans="1:36" ht="15.75" hidden="1" customHeight="1">
      <c r="A549" s="110" t="s">
        <v>827</v>
      </c>
      <c r="B549" s="229">
        <v>43917</v>
      </c>
      <c r="C549" s="110">
        <v>10000</v>
      </c>
      <c r="D549" s="110">
        <v>7.5</v>
      </c>
      <c r="E549" s="110"/>
      <c r="F549" s="107" t="s">
        <v>263</v>
      </c>
      <c r="G549" s="107"/>
      <c r="H549" s="107"/>
      <c r="K549" s="107"/>
      <c r="L549" s="107"/>
      <c r="M549" s="107"/>
      <c r="N549" s="107"/>
      <c r="O549" s="107"/>
      <c r="P549" s="107"/>
      <c r="Q549" s="107"/>
      <c r="R549" s="107"/>
      <c r="S549" s="107"/>
      <c r="T549" s="107"/>
      <c r="U549" s="107"/>
      <c r="V549" s="107"/>
      <c r="W549" s="107"/>
      <c r="X549" s="107"/>
      <c r="Y549" s="107"/>
      <c r="Z549" s="107"/>
      <c r="AA549" s="167">
        <v>43942</v>
      </c>
      <c r="AB549" s="109">
        <f>_xlfn.DAYS(AA549,B549)</f>
        <v>25</v>
      </c>
      <c r="AC549" s="110">
        <v>46.7</v>
      </c>
      <c r="AD549" s="110">
        <v>891.5</v>
      </c>
      <c r="AE549" s="110">
        <v>344</v>
      </c>
      <c r="AF549" s="110">
        <v>94.5</v>
      </c>
      <c r="AG549" s="110">
        <v>0</v>
      </c>
      <c r="AH549" s="108">
        <f>(AD549-AF549)/(D549*$K$1*2)%</f>
        <v>9.6606060606060602</v>
      </c>
      <c r="AI549" s="108">
        <f>(AE549+AF549)/(D549*$K$1*2)%</f>
        <v>5.3151515151515154</v>
      </c>
      <c r="AJ549" s="110"/>
    </row>
    <row r="550" spans="1:36" ht="15.75" hidden="1" customHeight="1">
      <c r="A550" s="110" t="s">
        <v>828</v>
      </c>
      <c r="B550" s="229">
        <v>43917</v>
      </c>
      <c r="C550" s="110">
        <v>10000</v>
      </c>
      <c r="D550" s="110">
        <v>7.5</v>
      </c>
      <c r="E550" s="110"/>
      <c r="F550" s="107" t="s">
        <v>263</v>
      </c>
      <c r="G550" s="107"/>
      <c r="H550" s="107"/>
      <c r="K550" s="107"/>
      <c r="L550" s="107"/>
      <c r="N550" s="107"/>
      <c r="O550" s="107"/>
      <c r="P550" s="107"/>
      <c r="Q550" s="107"/>
      <c r="R550" s="107"/>
      <c r="S550" s="107"/>
      <c r="T550" s="107"/>
      <c r="U550" s="107"/>
      <c r="V550" s="107"/>
      <c r="W550" s="107"/>
      <c r="X550" s="107"/>
      <c r="Y550" s="107"/>
      <c r="Z550" s="107"/>
      <c r="AA550" s="167">
        <v>43942</v>
      </c>
      <c r="AB550" s="109">
        <f>_xlfn.DAYS(AA550,B550)</f>
        <v>25</v>
      </c>
      <c r="AC550" s="110">
        <v>51.5</v>
      </c>
      <c r="AD550" s="110">
        <v>924</v>
      </c>
      <c r="AE550" s="110">
        <v>326</v>
      </c>
      <c r="AF550" s="110">
        <v>124.5</v>
      </c>
      <c r="AG550" s="110">
        <v>0</v>
      </c>
      <c r="AH550" s="108">
        <f>(AD550-AF550)/(D550*$K$1*2)%</f>
        <v>9.6909090909090914</v>
      </c>
      <c r="AI550" s="108">
        <f>(AE550+AF550)/(D550*$K$1*2)%</f>
        <v>5.4606060606060609</v>
      </c>
      <c r="AJ550" s="110"/>
    </row>
    <row r="551" spans="1:36" ht="15.75" hidden="1" customHeight="1">
      <c r="A551" s="110" t="s">
        <v>829</v>
      </c>
      <c r="B551" s="229">
        <v>43917</v>
      </c>
      <c r="C551" s="110">
        <v>10000</v>
      </c>
      <c r="D551" s="110">
        <v>7.5</v>
      </c>
      <c r="E551" s="110"/>
      <c r="F551" s="107" t="s">
        <v>263</v>
      </c>
      <c r="G551" s="107"/>
      <c r="H551" s="107"/>
      <c r="K551" s="107"/>
      <c r="L551" s="107"/>
      <c r="M551" s="107"/>
      <c r="N551" s="107"/>
      <c r="O551" s="107"/>
      <c r="P551" s="107"/>
      <c r="Q551" s="107"/>
      <c r="R551" s="107"/>
      <c r="S551" s="107"/>
      <c r="T551" s="107"/>
      <c r="U551" s="107"/>
      <c r="V551" s="107"/>
      <c r="W551" s="107"/>
      <c r="X551" s="107"/>
      <c r="Y551" s="107"/>
      <c r="Z551" s="107"/>
      <c r="AA551" s="167">
        <v>43942</v>
      </c>
      <c r="AB551" s="109">
        <f>_xlfn.DAYS(AA551,B551)</f>
        <v>25</v>
      </c>
      <c r="AC551" s="110">
        <v>45.2</v>
      </c>
      <c r="AD551" s="110">
        <v>986</v>
      </c>
      <c r="AE551" s="110">
        <v>302</v>
      </c>
      <c r="AF551" s="110">
        <v>99</v>
      </c>
      <c r="AG551" s="110">
        <v>0</v>
      </c>
      <c r="AH551" s="108">
        <f>(AD551-AF551)/(D551*$K$1*2)%</f>
        <v>10.751515151515152</v>
      </c>
      <c r="AI551" s="108">
        <f>(AE551+AF551)/(D551*$K$1*2)%</f>
        <v>4.8606060606060604</v>
      </c>
      <c r="AJ551" s="110"/>
    </row>
    <row r="552" spans="1:36" ht="15.75" hidden="1" customHeight="1">
      <c r="A552" s="110" t="s">
        <v>830</v>
      </c>
      <c r="B552" s="229">
        <v>43917</v>
      </c>
      <c r="C552" s="110">
        <v>10000</v>
      </c>
      <c r="D552" s="110">
        <v>7.5</v>
      </c>
      <c r="E552" s="110"/>
      <c r="F552" s="107" t="s">
        <v>263</v>
      </c>
      <c r="G552" s="107"/>
      <c r="H552" s="107"/>
      <c r="K552" s="107"/>
      <c r="L552" s="107"/>
      <c r="M552" s="107"/>
      <c r="N552" s="107"/>
      <c r="O552" s="107"/>
      <c r="P552" s="107"/>
      <c r="Q552" s="107"/>
      <c r="R552" s="107"/>
      <c r="S552" s="107"/>
      <c r="T552" s="107"/>
      <c r="U552" s="107"/>
      <c r="V552" s="107"/>
      <c r="W552" s="107"/>
      <c r="X552" s="107"/>
      <c r="Y552" s="107"/>
      <c r="Z552" s="107"/>
      <c r="AA552" s="167">
        <v>43942</v>
      </c>
      <c r="AB552" s="109">
        <f>_xlfn.DAYS(AA552,B552)</f>
        <v>25</v>
      </c>
      <c r="AC552" s="110">
        <v>50</v>
      </c>
      <c r="AD552" s="110">
        <v>932</v>
      </c>
      <c r="AE552" s="110">
        <v>313.5</v>
      </c>
      <c r="AF552" s="110">
        <v>119</v>
      </c>
      <c r="AG552" s="110">
        <v>0</v>
      </c>
      <c r="AH552" s="108">
        <f>(AD552-AF552)/(D552*$K$1*2)%</f>
        <v>9.8545454545454554</v>
      </c>
      <c r="AI552" s="108">
        <f>(AE552+AF552)/(D552*$K$1*2)%</f>
        <v>5.2424242424242422</v>
      </c>
      <c r="AJ552" s="110"/>
    </row>
    <row r="553" spans="1:36" ht="15.75" hidden="1" customHeight="1">
      <c r="A553" s="110" t="s">
        <v>831</v>
      </c>
      <c r="B553" s="229">
        <v>44039</v>
      </c>
      <c r="C553" s="224">
        <v>10000</v>
      </c>
      <c r="D553" s="110">
        <v>8</v>
      </c>
      <c r="E553" s="110"/>
      <c r="F553" s="107" t="s">
        <v>263</v>
      </c>
      <c r="G553" s="107"/>
      <c r="H553" s="107"/>
      <c r="K553" s="107"/>
      <c r="L553" s="107"/>
      <c r="M553" s="107"/>
      <c r="N553" s="107"/>
      <c r="O553" s="107"/>
      <c r="P553" s="107"/>
      <c r="Q553" s="107"/>
      <c r="R553" s="107"/>
      <c r="S553" s="107"/>
      <c r="T553" s="107"/>
      <c r="U553" s="107"/>
      <c r="V553" s="107"/>
      <c r="W553" s="107"/>
      <c r="X553" s="107"/>
      <c r="Y553" s="107"/>
      <c r="Z553" s="107"/>
      <c r="AA553" s="167">
        <v>44075</v>
      </c>
      <c r="AB553" s="109">
        <f>_xlfn.DAYS(AA553,B553)</f>
        <v>36</v>
      </c>
      <c r="AC553" s="110">
        <f>AVERAGE(14/22,8/15)*100</f>
        <v>58.484848484848484</v>
      </c>
      <c r="AD553" s="110">
        <v>1111.5</v>
      </c>
      <c r="AE553" s="110">
        <v>295</v>
      </c>
      <c r="AF553" s="110">
        <v>66.5</v>
      </c>
      <c r="AG553" s="107">
        <f>COUNTIFS(F:F,"Culled",A:A,LEFT(A553,LEN(A553)-3)&amp;"*")/COUNTIF(A:A,LEFT(A553,LEN(A553)-3)&amp;"*")*100</f>
        <v>87.5</v>
      </c>
      <c r="AH553" s="108">
        <f>(AD553-AF553)/(D553*$K$1*2)%</f>
        <v>11.875</v>
      </c>
      <c r="AI553" s="108">
        <f>(AE553+AF553)/(D553*$K$1*2)%</f>
        <v>4.1079545454545459</v>
      </c>
    </row>
    <row r="554" spans="1:36" ht="15.75" hidden="1" customHeight="1">
      <c r="A554" s="10" t="s">
        <v>832</v>
      </c>
      <c r="B554" s="229">
        <v>43998</v>
      </c>
      <c r="C554" s="10">
        <v>10000</v>
      </c>
      <c r="D554" s="10">
        <v>8.5</v>
      </c>
      <c r="E554" s="10"/>
      <c r="F554" s="107" t="s">
        <v>323</v>
      </c>
      <c r="G554" s="107"/>
      <c r="H554" s="107"/>
      <c r="I554" s="107"/>
      <c r="J554" s="107"/>
      <c r="K554" s="107"/>
      <c r="L554" s="107"/>
      <c r="M554" s="107"/>
      <c r="N554" s="107"/>
      <c r="O554" s="107"/>
      <c r="P554" s="107"/>
      <c r="Q554" s="107"/>
      <c r="R554" s="107"/>
      <c r="S554" s="107"/>
      <c r="T554" s="107"/>
      <c r="U554" s="107"/>
      <c r="V554" s="107"/>
      <c r="W554" s="107"/>
      <c r="X554" s="107"/>
      <c r="Y554" s="107"/>
      <c r="Z554" s="107"/>
      <c r="AB554" s="109">
        <f>_xlfn.DAYS(AA554,B554)</f>
        <v>-43998</v>
      </c>
      <c r="AG554" s="10">
        <v>100</v>
      </c>
      <c r="AH554" s="107"/>
    </row>
    <row r="555" spans="1:36" ht="15.75" hidden="1" customHeight="1">
      <c r="A555" s="10" t="s">
        <v>833</v>
      </c>
      <c r="B555" s="229">
        <v>43998</v>
      </c>
      <c r="C555" s="10">
        <v>10000</v>
      </c>
      <c r="D555" s="10">
        <v>7</v>
      </c>
      <c r="E555" s="10"/>
      <c r="F555" s="107" t="s">
        <v>323</v>
      </c>
      <c r="G555" s="107"/>
      <c r="H555" s="107"/>
      <c r="I555" s="107"/>
      <c r="J555" s="107"/>
      <c r="K555" s="107"/>
      <c r="L555" s="107"/>
      <c r="M555" s="107"/>
      <c r="N555" s="107"/>
      <c r="O555" s="107"/>
      <c r="P555" s="107"/>
      <c r="Q555" s="107"/>
      <c r="R555" s="107"/>
      <c r="S555" s="107"/>
      <c r="T555" s="107"/>
      <c r="U555" s="107"/>
      <c r="V555" s="107"/>
      <c r="W555" s="107"/>
      <c r="X555" s="107"/>
      <c r="Y555" s="107"/>
      <c r="Z555" s="107"/>
      <c r="AA555" s="167"/>
      <c r="AB555" s="109">
        <f>_xlfn.DAYS(AA555,B555)</f>
        <v>-43998</v>
      </c>
      <c r="AC555" s="110"/>
      <c r="AD555" s="110"/>
      <c r="AE555" s="110"/>
      <c r="AF555" s="110"/>
      <c r="AG555" s="10">
        <v>100</v>
      </c>
      <c r="AH555" s="107"/>
    </row>
    <row r="556" spans="1:36" ht="15.75" hidden="1" customHeight="1">
      <c r="A556" s="10" t="s">
        <v>834</v>
      </c>
      <c r="B556" s="229">
        <v>43998</v>
      </c>
      <c r="C556" s="10">
        <v>10000</v>
      </c>
      <c r="D556" s="10">
        <v>7.5</v>
      </c>
      <c r="E556" s="10"/>
      <c r="F556" s="107" t="s">
        <v>323</v>
      </c>
      <c r="G556" s="107"/>
      <c r="H556" s="107"/>
      <c r="I556" s="107"/>
      <c r="J556" s="107"/>
      <c r="K556" s="107"/>
      <c r="L556" s="107"/>
      <c r="M556" s="107"/>
      <c r="N556" s="107"/>
      <c r="O556" s="107"/>
      <c r="P556" s="107"/>
      <c r="Q556" s="107"/>
      <c r="R556" s="107"/>
      <c r="S556" s="107"/>
      <c r="T556" s="107"/>
      <c r="U556" s="107"/>
      <c r="V556" s="107"/>
      <c r="W556" s="107"/>
      <c r="X556" s="107"/>
      <c r="Y556" s="107"/>
      <c r="Z556" s="107"/>
      <c r="AA556" s="167"/>
      <c r="AB556" s="109">
        <f>_xlfn.DAYS(AA556,B556)</f>
        <v>-43998</v>
      </c>
      <c r="AC556" s="110"/>
      <c r="AD556" s="110"/>
      <c r="AE556" s="110"/>
      <c r="AF556" s="110"/>
      <c r="AG556" s="10">
        <v>100</v>
      </c>
      <c r="AH556" s="107"/>
    </row>
    <row r="557" spans="1:36" ht="15.75" hidden="1" customHeight="1">
      <c r="A557" s="107" t="s">
        <v>835</v>
      </c>
      <c r="B557" s="226">
        <v>44070</v>
      </c>
      <c r="C557" s="230">
        <v>12303</v>
      </c>
      <c r="D557" s="107">
        <f>COUNTA(G557:Z557)*0.5</f>
        <v>7</v>
      </c>
      <c r="F557" s="107" t="s">
        <v>263</v>
      </c>
      <c r="G557" s="178">
        <v>44070</v>
      </c>
      <c r="H557" s="178">
        <v>44070</v>
      </c>
      <c r="I557" s="178">
        <v>44110</v>
      </c>
      <c r="J557" s="178">
        <v>44113</v>
      </c>
      <c r="K557" s="178">
        <v>44076</v>
      </c>
      <c r="L557" s="178">
        <v>44078</v>
      </c>
      <c r="M557" s="178">
        <v>44081</v>
      </c>
      <c r="N557" s="178">
        <v>44083</v>
      </c>
      <c r="O557" s="178">
        <v>44085</v>
      </c>
      <c r="P557" s="178">
        <v>44088</v>
      </c>
      <c r="Q557" s="178">
        <v>44090</v>
      </c>
      <c r="R557" s="178" t="s">
        <v>375</v>
      </c>
      <c r="S557" s="178" t="s">
        <v>376</v>
      </c>
      <c r="T557" s="178">
        <v>44099</v>
      </c>
      <c r="AA557" s="166">
        <v>44104</v>
      </c>
      <c r="AB557" s="109">
        <f>_xlfn.DAYS(AA557,B557)</f>
        <v>34</v>
      </c>
      <c r="AC557" s="107">
        <f>12/21*100</f>
        <v>57.142857142857139</v>
      </c>
      <c r="AD557" s="107">
        <v>907.5</v>
      </c>
      <c r="AE557" s="107">
        <v>309.5</v>
      </c>
      <c r="AG557" s="107">
        <f>COUNTIFS(F:F,"Culled",A:A,LEFT(A557,LEN(A557)-3)&amp;"*")/COUNTIF(A:A,LEFT(A557,LEN(A557)-3)&amp;"*")*100</f>
        <v>42.857142857142854</v>
      </c>
      <c r="AH557" s="108">
        <f>(AD557-AF557)/(D557*$K$1*2)%</f>
        <v>11.785714285714286</v>
      </c>
      <c r="AI557" s="108">
        <f>(AE557+AF557)/(D557*$K$1*2)%</f>
        <v>4.0194805194805197</v>
      </c>
    </row>
    <row r="558" spans="1:36" ht="15.75" hidden="1" customHeight="1">
      <c r="A558" s="110" t="s">
        <v>836</v>
      </c>
      <c r="B558" s="229">
        <v>44014</v>
      </c>
      <c r="C558" s="110">
        <v>18000</v>
      </c>
      <c r="D558" s="110">
        <v>4.5</v>
      </c>
      <c r="E558" s="110"/>
      <c r="F558" s="107" t="s">
        <v>323</v>
      </c>
      <c r="G558" s="107"/>
      <c r="H558" s="107"/>
      <c r="I558" s="107"/>
      <c r="J558" s="107"/>
      <c r="K558" s="107"/>
      <c r="L558" s="107"/>
      <c r="M558" s="107"/>
      <c r="N558" s="107"/>
      <c r="O558" s="107"/>
      <c r="P558" s="107"/>
      <c r="Q558" s="107"/>
      <c r="R558" s="107"/>
      <c r="S558" s="107"/>
      <c r="T558" s="107"/>
      <c r="U558" s="107"/>
      <c r="V558" s="107"/>
      <c r="W558" s="107"/>
      <c r="X558" s="107"/>
      <c r="Y558" s="107"/>
      <c r="Z558" s="107"/>
      <c r="AA558" s="167"/>
      <c r="AB558" s="109">
        <f>_xlfn.DAYS(AA558,B558)</f>
        <v>-44014</v>
      </c>
      <c r="AC558" s="110"/>
      <c r="AD558" s="110"/>
      <c r="AE558" s="110"/>
      <c r="AF558" s="110"/>
      <c r="AG558" s="110">
        <v>75</v>
      </c>
      <c r="AH558" s="107"/>
    </row>
    <row r="559" spans="1:36" ht="15.75" hidden="1" customHeight="1">
      <c r="A559" s="110" t="s">
        <v>837</v>
      </c>
      <c r="B559" s="229">
        <v>44014</v>
      </c>
      <c r="C559" s="110">
        <v>18000</v>
      </c>
      <c r="D559" s="110">
        <v>5.5</v>
      </c>
      <c r="E559" s="110"/>
      <c r="F559" s="107" t="s">
        <v>323</v>
      </c>
      <c r="G559" s="107"/>
      <c r="H559" s="107"/>
      <c r="I559" s="107"/>
      <c r="J559" s="107"/>
      <c r="K559" s="107"/>
      <c r="L559" s="107"/>
      <c r="M559" s="107"/>
      <c r="N559" s="107"/>
      <c r="O559" s="107"/>
      <c r="P559" s="107"/>
      <c r="Q559" s="107"/>
      <c r="R559" s="107"/>
      <c r="S559" s="107"/>
      <c r="T559" s="107"/>
      <c r="U559" s="107"/>
      <c r="V559" s="107"/>
      <c r="W559" s="107"/>
      <c r="X559" s="107"/>
      <c r="Y559" s="107"/>
      <c r="Z559" s="107"/>
      <c r="AA559" s="167"/>
      <c r="AB559" s="109">
        <f>_xlfn.DAYS(AA559,B559)</f>
        <v>-44014</v>
      </c>
      <c r="AC559" s="110"/>
      <c r="AD559" s="110"/>
      <c r="AE559" s="110"/>
      <c r="AF559" s="110"/>
      <c r="AG559" s="110">
        <v>75</v>
      </c>
      <c r="AH559" s="107"/>
    </row>
    <row r="560" spans="1:36" ht="15.75" hidden="1" customHeight="1">
      <c r="A560" s="107" t="s">
        <v>838</v>
      </c>
      <c r="B560" s="226">
        <v>44070</v>
      </c>
      <c r="C560" s="230">
        <v>12303</v>
      </c>
      <c r="D560" s="107">
        <f>COUNTA(G560:Z560)*0.5</f>
        <v>7</v>
      </c>
      <c r="F560" s="107" t="s">
        <v>263</v>
      </c>
      <c r="G560" s="178">
        <v>44070</v>
      </c>
      <c r="H560" s="178">
        <v>44070</v>
      </c>
      <c r="I560" s="178">
        <v>44110</v>
      </c>
      <c r="J560" s="178">
        <v>44113</v>
      </c>
      <c r="K560" s="178">
        <v>44076</v>
      </c>
      <c r="L560" s="178">
        <v>44078</v>
      </c>
      <c r="M560" s="178">
        <v>44081</v>
      </c>
      <c r="N560" s="178">
        <v>44083</v>
      </c>
      <c r="O560" s="178">
        <v>44085</v>
      </c>
      <c r="P560" s="178">
        <v>44088</v>
      </c>
      <c r="Q560" s="178">
        <v>44090</v>
      </c>
      <c r="R560" s="178" t="s">
        <v>375</v>
      </c>
      <c r="S560" s="178" t="s">
        <v>376</v>
      </c>
      <c r="T560" s="178">
        <v>44099</v>
      </c>
      <c r="AA560" s="166">
        <v>44104</v>
      </c>
      <c r="AB560" s="109">
        <f>_xlfn.DAYS(AA560,B560)</f>
        <v>34</v>
      </c>
      <c r="AC560" s="107">
        <f>AVERAGE(8/21,7/23)*100</f>
        <v>34.265010351966872</v>
      </c>
      <c r="AD560" s="107">
        <v>1025</v>
      </c>
      <c r="AE560" s="107">
        <v>424</v>
      </c>
      <c r="AG560" s="107">
        <f>COUNTIFS(F:F,"Culled",A:A,LEFT(A560,LEN(A560)-3)&amp;"*")/COUNTIF(A:A,LEFT(A560,LEN(A560)-3)&amp;"*")*100</f>
        <v>42.857142857142854</v>
      </c>
      <c r="AH560" s="108">
        <f>(AD560-AF560)/(D560*$K$1*2)%</f>
        <v>13.311688311688311</v>
      </c>
      <c r="AI560" s="108">
        <f>(AE560+AF560)/(D560*$K$1*2)%</f>
        <v>5.5064935064935066</v>
      </c>
    </row>
    <row r="561" spans="1:35" ht="15.75" hidden="1" customHeight="1">
      <c r="A561" s="107" t="s">
        <v>839</v>
      </c>
      <c r="B561" s="226">
        <v>44070</v>
      </c>
      <c r="C561" s="230">
        <v>12303</v>
      </c>
      <c r="D561" s="107">
        <f>COUNTA(G561:Z561)*0.5</f>
        <v>7</v>
      </c>
      <c r="F561" s="107" t="s">
        <v>263</v>
      </c>
      <c r="G561" s="178">
        <v>44070</v>
      </c>
      <c r="H561" s="178">
        <v>44070</v>
      </c>
      <c r="I561" s="178">
        <v>44110</v>
      </c>
      <c r="J561" s="178">
        <v>44113</v>
      </c>
      <c r="K561" s="178">
        <v>44076</v>
      </c>
      <c r="L561" s="178">
        <v>44078</v>
      </c>
      <c r="M561" s="178">
        <v>44081</v>
      </c>
      <c r="N561" s="178">
        <v>44083</v>
      </c>
      <c r="O561" s="178">
        <v>44085</v>
      </c>
      <c r="P561" s="178">
        <v>44088</v>
      </c>
      <c r="Q561" s="178">
        <v>44090</v>
      </c>
      <c r="R561" s="178" t="s">
        <v>375</v>
      </c>
      <c r="S561" s="178" t="s">
        <v>376</v>
      </c>
      <c r="T561" s="178">
        <v>44099</v>
      </c>
      <c r="AA561" s="166">
        <v>44104</v>
      </c>
      <c r="AB561" s="109">
        <f>_xlfn.DAYS(AA561,B561)</f>
        <v>34</v>
      </c>
      <c r="AC561" s="107">
        <f>AVERAGE(6/27,8/24)*100</f>
        <v>27.777777777777779</v>
      </c>
      <c r="AD561" s="107">
        <v>1071.5</v>
      </c>
      <c r="AE561" s="107">
        <v>282</v>
      </c>
      <c r="AG561" s="107">
        <f>COUNTIFS(F:F,"Culled",A:A,LEFT(A561,LEN(A561)-3)&amp;"*")/COUNTIF(A:A,LEFT(A561,LEN(A561)-3)&amp;"*")*100</f>
        <v>42.857142857142854</v>
      </c>
      <c r="AH561" s="108">
        <f>(AD561-AF561)/(D561*$K$1*2)%</f>
        <v>13.915584415584416</v>
      </c>
      <c r="AI561" s="108">
        <f>(AE561+AF561)/(D561*$K$1*2)%</f>
        <v>3.6623376623376624</v>
      </c>
    </row>
    <row r="562" spans="1:35" ht="15.75" hidden="1" customHeight="1">
      <c r="A562" s="107" t="s">
        <v>840</v>
      </c>
      <c r="B562" s="226">
        <v>44070</v>
      </c>
      <c r="C562" s="231">
        <v>4158.2544413041878</v>
      </c>
      <c r="D562" s="107">
        <f>COUNTA(G562:Z562)*0.5</f>
        <v>3</v>
      </c>
      <c r="F562" s="107" t="s">
        <v>263</v>
      </c>
      <c r="G562" s="178">
        <v>44070</v>
      </c>
      <c r="H562" s="178">
        <v>44070</v>
      </c>
      <c r="I562" s="178">
        <v>44110</v>
      </c>
      <c r="J562" s="178">
        <v>44113</v>
      </c>
      <c r="K562" s="178">
        <v>44076</v>
      </c>
      <c r="L562" s="178">
        <v>44081</v>
      </c>
      <c r="AA562" s="166">
        <v>44099</v>
      </c>
      <c r="AB562" s="109">
        <f>_xlfn.DAYS(AA562,B562)</f>
        <v>29</v>
      </c>
      <c r="AC562" s="107">
        <f>9/15*100</f>
        <v>60</v>
      </c>
      <c r="AD562" s="107">
        <v>214</v>
      </c>
      <c r="AE562" s="107">
        <v>160</v>
      </c>
      <c r="AG562" s="107">
        <f>COUNTIFS(F:F,"Culled",A:A,LEFT(A562,LEN(A562)-3)&amp;"*")/COUNTIF(A:A,LEFT(A562,LEN(A562)-3)&amp;"*")*100</f>
        <v>42.857142857142854</v>
      </c>
      <c r="AH562" s="108">
        <f>(AD562-AF562)/(D562*$K$1*2)%</f>
        <v>6.4848484848484844</v>
      </c>
      <c r="AI562" s="108">
        <f>(AE562+AF562)/(D562*$K$1*2)%</f>
        <v>4.8484848484848486</v>
      </c>
    </row>
    <row r="563" spans="1:35" ht="15.75" hidden="1" customHeight="1">
      <c r="A563" s="10" t="s">
        <v>841</v>
      </c>
      <c r="B563" s="229">
        <v>44011</v>
      </c>
      <c r="C563" s="110">
        <v>10000</v>
      </c>
      <c r="D563" s="236">
        <v>7</v>
      </c>
      <c r="E563" s="236"/>
      <c r="F563" s="107" t="s">
        <v>263</v>
      </c>
      <c r="G563" s="107"/>
      <c r="H563" s="107"/>
      <c r="K563" s="107"/>
      <c r="L563" s="107"/>
      <c r="M563" s="107"/>
      <c r="N563" s="107"/>
      <c r="O563" s="107"/>
      <c r="P563" s="107"/>
      <c r="Q563" s="107"/>
      <c r="R563" s="107"/>
      <c r="S563" s="107"/>
      <c r="T563" s="107"/>
      <c r="U563" s="107"/>
      <c r="V563" s="107"/>
      <c r="W563" s="107"/>
      <c r="X563" s="107"/>
      <c r="Y563" s="107"/>
      <c r="Z563" s="107"/>
      <c r="AA563" s="167">
        <v>44046</v>
      </c>
      <c r="AB563" s="109">
        <f>_xlfn.DAYS(AA563,B563)</f>
        <v>35</v>
      </c>
      <c r="AC563" s="110">
        <f>AVERAGE(4/24,10/35)*100</f>
        <v>22.619047619047617</v>
      </c>
      <c r="AD563" s="110">
        <v>1294.5</v>
      </c>
      <c r="AE563" s="110">
        <v>405</v>
      </c>
      <c r="AF563" s="110">
        <v>219</v>
      </c>
      <c r="AG563" s="107">
        <f>COUNTIFS(F:F,"Culled",A:A,LEFT(A563,LEN(A563)-3)&amp;"*")/COUNTIF(A:A,LEFT(A563,LEN(A563)-3)&amp;"*")*100</f>
        <v>0</v>
      </c>
      <c r="AH563" s="108">
        <f>(AD563-AF563)/(D563*$K$1*2)%</f>
        <v>13.967532467532468</v>
      </c>
      <c r="AI563" s="108">
        <f>(AE563+AF563)/(D563*$K$1*2)%</f>
        <v>8.103896103896103</v>
      </c>
    </row>
    <row r="564" spans="1:35" ht="15.75" hidden="1" customHeight="1">
      <c r="A564" s="10" t="s">
        <v>842</v>
      </c>
      <c r="B564" s="229">
        <v>44011</v>
      </c>
      <c r="C564" s="110">
        <v>10000</v>
      </c>
      <c r="D564" s="236">
        <v>7</v>
      </c>
      <c r="E564" s="236"/>
      <c r="F564" s="107" t="s">
        <v>263</v>
      </c>
      <c r="G564" s="107"/>
      <c r="H564" s="107"/>
      <c r="K564" s="107"/>
      <c r="L564" s="107"/>
      <c r="M564" s="107"/>
      <c r="N564" s="107"/>
      <c r="O564" s="107"/>
      <c r="P564" s="107"/>
      <c r="Q564" s="107"/>
      <c r="R564" s="107"/>
      <c r="S564" s="107"/>
      <c r="T564" s="107"/>
      <c r="U564" s="107"/>
      <c r="V564" s="107"/>
      <c r="W564" s="107"/>
      <c r="X564" s="107"/>
      <c r="Y564" s="107"/>
      <c r="Z564" s="107"/>
      <c r="AA564" s="167">
        <v>44046</v>
      </c>
      <c r="AB564" s="109">
        <f>_xlfn.DAYS(AA564,B564)</f>
        <v>35</v>
      </c>
      <c r="AC564" s="110">
        <f>AVERAGE(9/58,6/26)*100</f>
        <v>19.297082228116714</v>
      </c>
      <c r="AD564" s="110">
        <v>1293</v>
      </c>
      <c r="AE564" s="110">
        <v>433.5</v>
      </c>
      <c r="AF564" s="110">
        <v>116.5</v>
      </c>
      <c r="AG564" s="107">
        <f>COUNTIFS(F:F,"Culled",A:A,LEFT(A564,LEN(A564)-3)&amp;"*")/COUNTIF(A:A,LEFT(A564,LEN(A564)-3)&amp;"*")*100</f>
        <v>0</v>
      </c>
      <c r="AH564" s="108">
        <f>(AD564-AF564)/(D564*$K$1*2)%</f>
        <v>15.279220779220779</v>
      </c>
      <c r="AI564" s="108">
        <f>(AE564+AF564)/(D564*$K$1*2)%</f>
        <v>7.1428571428571432</v>
      </c>
    </row>
    <row r="565" spans="1:35" ht="15.75" hidden="1" customHeight="1">
      <c r="A565" s="10" t="s">
        <v>843</v>
      </c>
      <c r="B565" s="229">
        <v>44011</v>
      </c>
      <c r="C565" s="110">
        <v>10000</v>
      </c>
      <c r="D565" s="236">
        <v>6</v>
      </c>
      <c r="E565" s="236"/>
      <c r="F565" s="107" t="s">
        <v>263</v>
      </c>
      <c r="G565" s="107"/>
      <c r="H565" s="107"/>
      <c r="K565" s="107"/>
      <c r="L565" s="107"/>
      <c r="M565" s="107"/>
      <c r="N565" s="107"/>
      <c r="O565" s="107"/>
      <c r="P565" s="107"/>
      <c r="Q565" s="107"/>
      <c r="R565" s="107"/>
      <c r="S565" s="107"/>
      <c r="T565" s="107"/>
      <c r="U565" s="107"/>
      <c r="V565" s="107"/>
      <c r="W565" s="107"/>
      <c r="X565" s="107"/>
      <c r="Y565" s="107"/>
      <c r="Z565" s="107"/>
      <c r="AA565" s="167">
        <v>44046</v>
      </c>
      <c r="AB565" s="109">
        <f>_xlfn.DAYS(AA565,B565)</f>
        <v>35</v>
      </c>
      <c r="AC565" s="110">
        <f>5/28*100</f>
        <v>17.857142857142858</v>
      </c>
      <c r="AD565" s="110">
        <v>1168</v>
      </c>
      <c r="AE565" s="110">
        <v>373</v>
      </c>
      <c r="AF565" s="110">
        <v>133</v>
      </c>
      <c r="AG565" s="107">
        <f>COUNTIFS(F:F,"Culled",A:A,LEFT(A565,LEN(A565)-3)&amp;"*")/COUNTIF(A:A,LEFT(A565,LEN(A565)-3)&amp;"*")*100</f>
        <v>0</v>
      </c>
      <c r="AH565" s="108">
        <f>(AD565-AF565)/(D565*$K$1*2)%</f>
        <v>15.681818181818182</v>
      </c>
      <c r="AI565" s="108">
        <f>(AE565+AF565)/(D565*$K$1*2)%</f>
        <v>7.666666666666667</v>
      </c>
    </row>
    <row r="566" spans="1:35" ht="15.75" hidden="1" customHeight="1">
      <c r="A566" s="10" t="s">
        <v>844</v>
      </c>
      <c r="B566" s="229">
        <v>44011</v>
      </c>
      <c r="C566" s="110">
        <v>10000</v>
      </c>
      <c r="D566" s="236">
        <v>6</v>
      </c>
      <c r="E566" s="236"/>
      <c r="F566" s="107" t="s">
        <v>263</v>
      </c>
      <c r="G566" s="107"/>
      <c r="H566" s="107"/>
      <c r="K566" s="107"/>
      <c r="L566" s="107"/>
      <c r="M566" s="107"/>
      <c r="N566" s="107"/>
      <c r="O566" s="107"/>
      <c r="P566" s="107"/>
      <c r="Q566" s="107"/>
      <c r="R566" s="107"/>
      <c r="S566" s="107"/>
      <c r="T566" s="107"/>
      <c r="U566" s="107"/>
      <c r="V566" s="107"/>
      <c r="W566" s="107"/>
      <c r="X566" s="107"/>
      <c r="Y566" s="107"/>
      <c r="Z566" s="107"/>
      <c r="AA566" s="167">
        <v>44046</v>
      </c>
      <c r="AB566" s="109">
        <f>_xlfn.DAYS(AA566,B566)</f>
        <v>35</v>
      </c>
      <c r="AC566" s="110">
        <f>AVERAGE(3/24,6/22)*100</f>
        <v>19.886363636363637</v>
      </c>
      <c r="AD566" s="110">
        <v>1039</v>
      </c>
      <c r="AE566" s="110">
        <v>300</v>
      </c>
      <c r="AF566" s="110">
        <v>54</v>
      </c>
      <c r="AG566" s="107">
        <f>COUNTIFS(F:F,"Culled",A:A,LEFT(A566,LEN(A566)-3)&amp;"*")/COUNTIF(A:A,LEFT(A566,LEN(A566)-3)&amp;"*")*100</f>
        <v>0</v>
      </c>
      <c r="AH566" s="108">
        <f>(AD566-AF566)/(D566*$K$1*2)%</f>
        <v>14.924242424242424</v>
      </c>
      <c r="AI566" s="108">
        <f>(AE566+AF566)/(D566*$K$1*2)%</f>
        <v>5.3636363636363633</v>
      </c>
    </row>
    <row r="567" spans="1:35" ht="15.75" hidden="1" customHeight="1">
      <c r="A567" s="110" t="s">
        <v>845</v>
      </c>
      <c r="B567" s="229">
        <v>44041</v>
      </c>
      <c r="C567" s="224">
        <v>10000</v>
      </c>
      <c r="D567" s="110">
        <v>7</v>
      </c>
      <c r="E567" s="110"/>
      <c r="F567" s="107" t="s">
        <v>263</v>
      </c>
      <c r="G567" s="107"/>
      <c r="H567" s="107"/>
      <c r="K567" s="225"/>
      <c r="L567" s="107"/>
      <c r="M567" s="107"/>
      <c r="O567" s="107"/>
      <c r="P567" s="107"/>
      <c r="Q567" s="107"/>
      <c r="R567" s="107"/>
      <c r="S567" s="107"/>
      <c r="T567" s="107"/>
      <c r="U567" s="107"/>
      <c r="V567" s="107"/>
      <c r="W567" s="107"/>
      <c r="X567" s="107"/>
      <c r="Y567" s="107"/>
      <c r="Z567" s="107"/>
      <c r="AA567" s="167">
        <v>44075</v>
      </c>
      <c r="AB567" s="109">
        <f>_xlfn.DAYS(AA567,B567)</f>
        <v>34</v>
      </c>
      <c r="AC567" s="110"/>
      <c r="AD567" s="110">
        <v>959</v>
      </c>
      <c r="AE567" s="110">
        <v>328.5</v>
      </c>
      <c r="AF567" s="110"/>
      <c r="AG567" s="107">
        <f>COUNTIFS(F:F,"Culled",A:A,LEFT(A567,LEN(A567)-3)&amp;"*")/COUNTIF(A:A,LEFT(A567,LEN(A567)-3)&amp;"*")*100</f>
        <v>18.181818181818183</v>
      </c>
      <c r="AH567" s="108">
        <f>(AD567-AF567)/(D567*$K$1*2)%</f>
        <v>12.454545454545455</v>
      </c>
      <c r="AI567" s="108">
        <f>(AE567+AF567)/(D567*$K$1*2)%</f>
        <v>4.2662337662337659</v>
      </c>
    </row>
    <row r="568" spans="1:35" ht="15.75" hidden="1" customHeight="1">
      <c r="A568" s="110" t="s">
        <v>846</v>
      </c>
      <c r="B568" s="229">
        <v>44041</v>
      </c>
      <c r="C568" s="224">
        <v>10000</v>
      </c>
      <c r="D568" s="110">
        <v>8</v>
      </c>
      <c r="E568" s="110"/>
      <c r="F568" s="107" t="s">
        <v>263</v>
      </c>
      <c r="G568" s="107"/>
      <c r="H568" s="107"/>
      <c r="K568" s="225"/>
      <c r="L568" s="107"/>
      <c r="M568" s="107"/>
      <c r="O568" s="107"/>
      <c r="P568" s="107"/>
      <c r="Q568" s="107"/>
      <c r="R568" s="107"/>
      <c r="S568" s="107"/>
      <c r="T568" s="107"/>
      <c r="U568" s="107"/>
      <c r="V568" s="107"/>
      <c r="W568" s="107"/>
      <c r="X568" s="107"/>
      <c r="Y568" s="107"/>
      <c r="Z568" s="107"/>
      <c r="AA568" s="167">
        <v>44075</v>
      </c>
      <c r="AB568" s="109">
        <f>_xlfn.DAYS(AA568,B568)</f>
        <v>34</v>
      </c>
      <c r="AC568" s="110"/>
      <c r="AD568" s="110">
        <v>1338</v>
      </c>
      <c r="AE568" s="110">
        <v>281</v>
      </c>
      <c r="AF568" s="110"/>
      <c r="AG568" s="107">
        <f>COUNTIFS(F:F,"Culled",A:A,LEFT(A568,LEN(A568)-3)&amp;"*")/COUNTIF(A:A,LEFT(A568,LEN(A568)-3)&amp;"*")*100</f>
        <v>18.181818181818183</v>
      </c>
      <c r="AH568" s="108">
        <f>(AD568-AF568)/(D568*$K$1*2)%</f>
        <v>15.204545454545455</v>
      </c>
      <c r="AI568" s="108">
        <f>(AE568+AF568)/(D568*$K$1*2)%</f>
        <v>3.1931818181818183</v>
      </c>
    </row>
    <row r="569" spans="1:35" ht="15.75" hidden="1" customHeight="1">
      <c r="A569" s="110" t="s">
        <v>847</v>
      </c>
      <c r="B569" s="229">
        <v>44041</v>
      </c>
      <c r="C569" s="224">
        <v>10000</v>
      </c>
      <c r="D569" s="110">
        <v>8</v>
      </c>
      <c r="E569" s="110"/>
      <c r="F569" s="107" t="s">
        <v>263</v>
      </c>
      <c r="G569" s="107"/>
      <c r="H569" s="107"/>
      <c r="K569" s="225"/>
      <c r="L569" s="107"/>
      <c r="M569" s="107"/>
      <c r="O569" s="107"/>
      <c r="P569" s="107"/>
      <c r="Q569" s="107"/>
      <c r="R569" s="107"/>
      <c r="S569" s="107"/>
      <c r="T569" s="107"/>
      <c r="U569" s="107"/>
      <c r="V569" s="107"/>
      <c r="W569" s="107"/>
      <c r="X569" s="107"/>
      <c r="Y569" s="107"/>
      <c r="Z569" s="107"/>
      <c r="AA569" s="167">
        <v>44075</v>
      </c>
      <c r="AB569" s="109">
        <f>_xlfn.DAYS(AA569,B569)</f>
        <v>34</v>
      </c>
      <c r="AC569" s="110">
        <f>AVERAGE(6/12,5/25)*100</f>
        <v>35</v>
      </c>
      <c r="AD569" s="110">
        <v>1209</v>
      </c>
      <c r="AE569" s="110">
        <v>256.5</v>
      </c>
      <c r="AF569" s="110">
        <v>59.5</v>
      </c>
      <c r="AG569" s="107">
        <f>COUNTIFS(F:F,"Culled",A:A,LEFT(A569,LEN(A569)-3)&amp;"*")/COUNTIF(A:A,LEFT(A569,LEN(A569)-3)&amp;"*")*100</f>
        <v>18.181818181818183</v>
      </c>
      <c r="AH569" s="108">
        <f>(AD569-AF569)/(D569*$K$1*2)%</f>
        <v>13.0625</v>
      </c>
      <c r="AI569" s="108">
        <f>(AE569+AF569)/(D569*$K$1*2)%</f>
        <v>3.5909090909090908</v>
      </c>
    </row>
    <row r="570" spans="1:35" ht="15.75" hidden="1" customHeight="1">
      <c r="A570" s="110" t="s">
        <v>848</v>
      </c>
      <c r="B570" s="229">
        <v>44041</v>
      </c>
      <c r="C570" s="224">
        <v>10000</v>
      </c>
      <c r="D570" s="110">
        <v>7.5</v>
      </c>
      <c r="E570" s="110"/>
      <c r="F570" s="107" t="s">
        <v>263</v>
      </c>
      <c r="G570" s="107"/>
      <c r="H570" s="107"/>
      <c r="K570" s="225"/>
      <c r="L570" s="107"/>
      <c r="M570" s="107"/>
      <c r="O570" s="107"/>
      <c r="P570" s="107"/>
      <c r="Q570" s="107"/>
      <c r="R570" s="107"/>
      <c r="S570" s="107"/>
      <c r="T570" s="107"/>
      <c r="U570" s="107"/>
      <c r="V570" s="107"/>
      <c r="W570" s="107"/>
      <c r="X570" s="107"/>
      <c r="Y570" s="107"/>
      <c r="Z570" s="107"/>
      <c r="AA570" s="167">
        <v>44075</v>
      </c>
      <c r="AB570" s="109">
        <f>_xlfn.DAYS(AA570,B570)</f>
        <v>34</v>
      </c>
      <c r="AC570" s="110"/>
      <c r="AD570" s="110">
        <v>1100</v>
      </c>
      <c r="AE570" s="110">
        <v>271</v>
      </c>
      <c r="AF570" s="110"/>
      <c r="AG570" s="107">
        <f>COUNTIFS(F:F,"Culled",A:A,LEFT(A570,LEN(A570)-3)&amp;"*")/COUNTIF(A:A,LEFT(A570,LEN(A570)-3)&amp;"*")*100</f>
        <v>18.181818181818183</v>
      </c>
      <c r="AH570" s="108">
        <f>(AD570-AF570)/(D570*$K$1*2)%</f>
        <v>13.333333333333334</v>
      </c>
      <c r="AI570" s="108">
        <f>(AE570+AF570)/(D570*$K$1*2)%</f>
        <v>3.2848484848484847</v>
      </c>
    </row>
    <row r="571" spans="1:35" ht="15.75" hidden="1" customHeight="1">
      <c r="A571" s="110" t="s">
        <v>849</v>
      </c>
      <c r="B571" s="229">
        <v>44041</v>
      </c>
      <c r="C571" s="224">
        <v>10000</v>
      </c>
      <c r="D571" s="110">
        <v>8</v>
      </c>
      <c r="E571" s="110"/>
      <c r="F571" s="107" t="s">
        <v>263</v>
      </c>
      <c r="G571" s="107"/>
      <c r="H571" s="107"/>
      <c r="K571" s="225"/>
      <c r="L571" s="107"/>
      <c r="M571" s="107"/>
      <c r="O571" s="107"/>
      <c r="P571" s="107"/>
      <c r="Q571" s="107"/>
      <c r="R571" s="107"/>
      <c r="S571" s="107"/>
      <c r="T571" s="107"/>
      <c r="U571" s="107"/>
      <c r="V571" s="107"/>
      <c r="W571" s="107"/>
      <c r="X571" s="107"/>
      <c r="Y571" s="107"/>
      <c r="Z571" s="107"/>
      <c r="AA571" s="166">
        <v>44022</v>
      </c>
      <c r="AB571" s="109">
        <f>_xlfn.DAYS(AA571,B571)</f>
        <v>-19</v>
      </c>
      <c r="AC571" s="110"/>
      <c r="AD571" s="110">
        <v>1224</v>
      </c>
      <c r="AE571" s="110">
        <v>273.5</v>
      </c>
      <c r="AF571" s="110"/>
      <c r="AG571" s="107">
        <f>COUNTIFS(F:F,"Culled",A:A,LEFT(A571,LEN(A571)-3)&amp;"*")/COUNTIF(A:A,LEFT(A571,LEN(A571)-3)&amp;"*")*100</f>
        <v>18.181818181818183</v>
      </c>
      <c r="AH571" s="108">
        <f>(AD571-AF571)/(D571*$K$1*2)%</f>
        <v>13.909090909090908</v>
      </c>
      <c r="AI571" s="108">
        <f>(AE571+AF571)/(D571*$K$1*2)%</f>
        <v>3.1079545454545454</v>
      </c>
    </row>
    <row r="572" spans="1:35" ht="15.75" hidden="1" customHeight="1">
      <c r="A572" s="110" t="s">
        <v>850</v>
      </c>
      <c r="B572" s="229">
        <v>44041</v>
      </c>
      <c r="C572" s="224">
        <v>10000</v>
      </c>
      <c r="D572" s="110">
        <v>8</v>
      </c>
      <c r="E572" s="110"/>
      <c r="F572" s="107" t="s">
        <v>263</v>
      </c>
      <c r="G572" s="107"/>
      <c r="H572" s="107"/>
      <c r="K572" s="225"/>
      <c r="L572" s="107"/>
      <c r="M572" s="107"/>
      <c r="O572" s="107"/>
      <c r="P572" s="107"/>
      <c r="Q572" s="107"/>
      <c r="R572" s="107"/>
      <c r="S572" s="107"/>
      <c r="T572" s="107"/>
      <c r="U572" s="107"/>
      <c r="V572" s="107"/>
      <c r="W572" s="107"/>
      <c r="X572" s="107"/>
      <c r="Y572" s="107"/>
      <c r="Z572" s="107"/>
      <c r="AA572" s="166">
        <v>44022</v>
      </c>
      <c r="AB572" s="109">
        <f>_xlfn.DAYS(AA572,B572)</f>
        <v>-19</v>
      </c>
      <c r="AC572" s="110">
        <f>AVERAGE(10/15,7/14)*100</f>
        <v>58.333333333333329</v>
      </c>
      <c r="AD572" s="110">
        <v>1108</v>
      </c>
      <c r="AE572" s="110">
        <v>253</v>
      </c>
      <c r="AF572" s="110">
        <v>51</v>
      </c>
      <c r="AG572" s="107">
        <f>COUNTIFS(F:F,"Culled",A:A,LEFT(A572,LEN(A572)-3)&amp;"*")/COUNTIF(A:A,LEFT(A572,LEN(A572)-3)&amp;"*")*100</f>
        <v>18.181818181818183</v>
      </c>
      <c r="AH572" s="108">
        <f>(AD572-AF572)/(D572*$K$1*2)%</f>
        <v>12.011363636363637</v>
      </c>
      <c r="AI572" s="108">
        <f>(AE572+AF572)/(D572*$K$1*2)%</f>
        <v>3.4545454545454546</v>
      </c>
    </row>
    <row r="573" spans="1:35" ht="15.75" hidden="1" customHeight="1">
      <c r="A573" s="110" t="s">
        <v>851</v>
      </c>
      <c r="B573" s="229">
        <v>44041</v>
      </c>
      <c r="C573" s="224">
        <v>10000</v>
      </c>
      <c r="D573" s="110">
        <v>8</v>
      </c>
      <c r="E573" s="110"/>
      <c r="F573" s="107" t="s">
        <v>263</v>
      </c>
      <c r="G573" s="107"/>
      <c r="H573" s="107"/>
      <c r="K573" s="225"/>
      <c r="L573" s="107"/>
      <c r="M573" s="107"/>
      <c r="O573" s="107"/>
      <c r="P573" s="107"/>
      <c r="Q573" s="107"/>
      <c r="R573" s="107"/>
      <c r="S573" s="107"/>
      <c r="T573" s="107"/>
      <c r="U573" s="107"/>
      <c r="V573" s="107"/>
      <c r="W573" s="107"/>
      <c r="X573" s="107"/>
      <c r="Y573" s="107"/>
      <c r="Z573" s="107"/>
      <c r="AA573" s="166">
        <v>44022</v>
      </c>
      <c r="AB573" s="109">
        <f>_xlfn.DAYS(AA573,B573)</f>
        <v>-19</v>
      </c>
      <c r="AC573" s="110">
        <f>AVERAGE(14/25,8/15)*100</f>
        <v>54.666666666666664</v>
      </c>
      <c r="AD573" s="110">
        <v>1368</v>
      </c>
      <c r="AE573" s="110">
        <v>232.5</v>
      </c>
      <c r="AF573" s="110">
        <v>91.5</v>
      </c>
      <c r="AG573" s="107">
        <f>COUNTIFS(F:F,"Culled",A:A,LEFT(A573,LEN(A573)-3)&amp;"*")/COUNTIF(A:A,LEFT(A573,LEN(A573)-3)&amp;"*")*100</f>
        <v>18.181818181818183</v>
      </c>
      <c r="AH573" s="108">
        <f>(AD573-AF573)/(D573*$K$1*2)%</f>
        <v>14.505681818181818</v>
      </c>
      <c r="AI573" s="108">
        <f>(AE573+AF573)/(D573*$K$1*2)%</f>
        <v>3.6818181818181817</v>
      </c>
    </row>
    <row r="574" spans="1:35" ht="15.75" hidden="1" customHeight="1">
      <c r="A574" s="110" t="s">
        <v>852</v>
      </c>
      <c r="B574" s="229">
        <v>44041</v>
      </c>
      <c r="C574" s="224">
        <v>10000</v>
      </c>
      <c r="D574" s="110">
        <v>8</v>
      </c>
      <c r="E574" s="110"/>
      <c r="F574" s="107" t="s">
        <v>263</v>
      </c>
      <c r="G574" s="107"/>
      <c r="H574" s="107"/>
      <c r="K574" s="225"/>
      <c r="L574" s="107"/>
      <c r="M574" s="107"/>
      <c r="O574" s="107"/>
      <c r="P574" s="107"/>
      <c r="Q574" s="107"/>
      <c r="R574" s="107"/>
      <c r="S574" s="107"/>
      <c r="T574" s="107"/>
      <c r="U574" s="107"/>
      <c r="V574" s="107"/>
      <c r="W574" s="107"/>
      <c r="X574" s="107"/>
      <c r="Y574" s="107"/>
      <c r="Z574" s="107"/>
      <c r="AA574" s="166">
        <v>44022</v>
      </c>
      <c r="AB574" s="109">
        <f>_xlfn.DAYS(AA574,B574)</f>
        <v>-19</v>
      </c>
      <c r="AC574" s="110">
        <f>AVERAGE(7/17,5/16)*100</f>
        <v>36.213235294117645</v>
      </c>
      <c r="AD574" s="110">
        <v>1381.5</v>
      </c>
      <c r="AE574" s="110">
        <v>265</v>
      </c>
      <c r="AF574" s="110">
        <v>82.5</v>
      </c>
      <c r="AG574" s="107">
        <f>COUNTIFS(F:F,"Culled",A:A,LEFT(A574,LEN(A574)-3)&amp;"*")/COUNTIF(A:A,LEFT(A574,LEN(A574)-3)&amp;"*")*100</f>
        <v>18.181818181818183</v>
      </c>
      <c r="AH574" s="108">
        <f>(AD574-AF574)/(D574*$K$1*2)%</f>
        <v>14.761363636363637</v>
      </c>
      <c r="AI574" s="108">
        <f>(AE574+AF574)/(D574*$K$1*2)%</f>
        <v>3.9488636363636362</v>
      </c>
    </row>
    <row r="575" spans="1:35" ht="15.75" hidden="1" customHeight="1">
      <c r="A575" s="107" t="s">
        <v>853</v>
      </c>
      <c r="B575" s="226">
        <v>44105</v>
      </c>
      <c r="C575" s="111">
        <v>10723.53</v>
      </c>
      <c r="D575" s="107">
        <f>COUNTA(G575:Z575)*0.5</f>
        <v>3</v>
      </c>
      <c r="F575" s="107" t="s">
        <v>263</v>
      </c>
      <c r="G575" s="178">
        <v>44105</v>
      </c>
      <c r="H575" s="178">
        <v>44105</v>
      </c>
      <c r="I575" s="178">
        <v>44110</v>
      </c>
      <c r="J575" s="178">
        <v>44113</v>
      </c>
      <c r="K575" s="178">
        <v>44116</v>
      </c>
      <c r="L575" s="178">
        <v>44118</v>
      </c>
      <c r="AA575" s="166">
        <v>44131</v>
      </c>
      <c r="AG575" s="107">
        <f>COUNTIFS(F:F,"Culled",A:A,LEFT(A575,LEN(A575)-3)&amp;"*")/COUNTIF(A:A,LEFT(A575,LEN(A575)-3)&amp;"*")*100</f>
        <v>0</v>
      </c>
      <c r="AH575" s="108">
        <f>(AD575-AF575)/(D575*$K$1*2)%</f>
        <v>0</v>
      </c>
      <c r="AI575" s="108">
        <f>(AE575+AF575)/(D575*$K$1*2)%</f>
        <v>0</v>
      </c>
    </row>
    <row r="576" spans="1:35" ht="15.75" hidden="1" customHeight="1">
      <c r="A576" s="107" t="s">
        <v>854</v>
      </c>
      <c r="B576" s="226">
        <v>44105</v>
      </c>
      <c r="C576" s="111">
        <v>10723.53</v>
      </c>
      <c r="D576" s="107">
        <f>COUNTA(G576:Z576)*0.5</f>
        <v>3.5</v>
      </c>
      <c r="F576" s="107" t="s">
        <v>263</v>
      </c>
      <c r="G576" s="178">
        <v>44105</v>
      </c>
      <c r="H576" s="178">
        <v>44105</v>
      </c>
      <c r="I576" s="178">
        <v>44110</v>
      </c>
      <c r="J576" s="178">
        <v>44113</v>
      </c>
      <c r="K576" s="178">
        <v>44116</v>
      </c>
      <c r="L576" s="178">
        <v>44118</v>
      </c>
      <c r="M576" s="178">
        <v>44120</v>
      </c>
      <c r="AA576" s="166">
        <v>44131</v>
      </c>
      <c r="AC576" s="107">
        <f>7/8*100</f>
        <v>87.5</v>
      </c>
      <c r="AD576" s="107">
        <v>396.5</v>
      </c>
      <c r="AE576" s="107">
        <v>85.5</v>
      </c>
      <c r="AG576" s="107">
        <f>COUNTIFS(F:F,"Culled",A:A,LEFT(A576,LEN(A576)-3)&amp;"*")/COUNTIF(A:A,LEFT(A576,LEN(A576)-3)&amp;"*")*100</f>
        <v>0</v>
      </c>
      <c r="AH576" s="108">
        <f>(AD576-AF576)/(D576*$K$1*2)%</f>
        <v>10.2987012987013</v>
      </c>
      <c r="AI576" s="108">
        <f>(AE576+AF576)/(D576*$K$1*2)%</f>
        <v>2.220779220779221</v>
      </c>
    </row>
    <row r="577" spans="1:35" ht="15.75" hidden="1" customHeight="1">
      <c r="A577" s="107" t="s">
        <v>855</v>
      </c>
      <c r="B577" s="226">
        <v>44105</v>
      </c>
      <c r="C577" s="111">
        <v>10723.53</v>
      </c>
      <c r="D577" s="107">
        <f>COUNTA(G577:Z577)*0.5</f>
        <v>4</v>
      </c>
      <c r="F577" s="107" t="s">
        <v>263</v>
      </c>
      <c r="G577" s="178">
        <v>44105</v>
      </c>
      <c r="H577" s="178">
        <v>44105</v>
      </c>
      <c r="I577" s="178">
        <v>44110</v>
      </c>
      <c r="J577" s="178">
        <v>44113</v>
      </c>
      <c r="K577" s="178">
        <v>44116</v>
      </c>
      <c r="L577" s="178">
        <v>44118</v>
      </c>
      <c r="M577" s="178">
        <v>44120</v>
      </c>
      <c r="N577" s="178">
        <v>44123</v>
      </c>
      <c r="AA577" s="166">
        <v>44131</v>
      </c>
      <c r="AC577" s="107">
        <f>10/13*100</f>
        <v>76.923076923076934</v>
      </c>
      <c r="AD577" s="107">
        <v>460</v>
      </c>
      <c r="AE577" s="107">
        <v>116.5</v>
      </c>
      <c r="AG577" s="107">
        <f>COUNTIFS(F:F,"Culled",A:A,LEFT(A577,LEN(A577)-3)&amp;"*")/COUNTIF(A:A,LEFT(A577,LEN(A577)-3)&amp;"*")*100</f>
        <v>0</v>
      </c>
      <c r="AH577" s="108">
        <f>(AD577-AF577)/(D577*$K$1*2)%</f>
        <v>10.454545454545455</v>
      </c>
      <c r="AI577" s="108">
        <f>(AE577+AF577)/(D577*$K$1*2)%</f>
        <v>2.6477272727272729</v>
      </c>
    </row>
    <row r="578" spans="1:35" ht="15.75" hidden="1" customHeight="1">
      <c r="A578" s="107" t="s">
        <v>856</v>
      </c>
      <c r="B578" s="226">
        <v>44106</v>
      </c>
      <c r="C578" s="111">
        <v>10279.48</v>
      </c>
      <c r="D578" s="107">
        <f>COUNTA(G578:Z578)*0.5</f>
        <v>4.5</v>
      </c>
      <c r="F578" s="107" t="s">
        <v>263</v>
      </c>
      <c r="G578" s="178">
        <v>44106</v>
      </c>
      <c r="H578" s="178">
        <v>44106</v>
      </c>
      <c r="I578" s="178">
        <v>44110</v>
      </c>
      <c r="J578" s="178">
        <v>44113</v>
      </c>
      <c r="K578" s="178">
        <v>44116</v>
      </c>
      <c r="L578" s="178">
        <v>44118</v>
      </c>
      <c r="M578" s="178">
        <v>44120</v>
      </c>
      <c r="N578" s="178">
        <v>44123</v>
      </c>
      <c r="O578" s="178">
        <v>44125</v>
      </c>
      <c r="AA578" s="166">
        <v>44134</v>
      </c>
      <c r="AC578" s="107">
        <f>10/12*100</f>
        <v>83.333333333333343</v>
      </c>
      <c r="AD578" s="107">
        <v>634</v>
      </c>
      <c r="AE578" s="107">
        <v>230.5</v>
      </c>
      <c r="AH578" s="108">
        <f>(AD578-AF578)/(D578*$K$1*2)%</f>
        <v>12.808080808080808</v>
      </c>
      <c r="AI578" s="108">
        <f>(AE578+AF578)/(D578*$K$1*2)%</f>
        <v>4.6565656565656566</v>
      </c>
    </row>
    <row r="579" spans="1:35" ht="15.75" hidden="1" customHeight="1">
      <c r="A579" s="107" t="s">
        <v>857</v>
      </c>
      <c r="B579" s="226">
        <v>44106</v>
      </c>
      <c r="C579" s="111">
        <v>10279.48</v>
      </c>
      <c r="D579" s="107">
        <f>COUNTA(G579:Z579)*0.5</f>
        <v>4.5</v>
      </c>
      <c r="F579" s="107" t="s">
        <v>263</v>
      </c>
      <c r="G579" s="178">
        <v>44106</v>
      </c>
      <c r="H579" s="178">
        <v>44106</v>
      </c>
      <c r="I579" s="178">
        <v>44110</v>
      </c>
      <c r="J579" s="178">
        <v>44113</v>
      </c>
      <c r="K579" s="178">
        <v>44116</v>
      </c>
      <c r="L579" s="178">
        <v>44118</v>
      </c>
      <c r="M579" s="178">
        <v>44120</v>
      </c>
      <c r="N579" s="178">
        <v>44123</v>
      </c>
      <c r="O579" s="178">
        <v>44125</v>
      </c>
      <c r="AA579" s="166">
        <v>44134</v>
      </c>
      <c r="AC579" s="107">
        <f>12/23*100</f>
        <v>52.173913043478258</v>
      </c>
      <c r="AD579" s="107">
        <v>637.5</v>
      </c>
      <c r="AE579" s="107">
        <v>240.5</v>
      </c>
      <c r="AH579" s="108">
        <f>(AD579-AF579)/(D579*$K$1*2)%</f>
        <v>12.878787878787879</v>
      </c>
      <c r="AI579" s="108">
        <f>(AE579+AF579)/(D579*$K$1*2)%</f>
        <v>4.858585858585859</v>
      </c>
    </row>
    <row r="580" spans="1:35" ht="15.75" hidden="1" customHeight="1">
      <c r="A580" s="107" t="s">
        <v>858</v>
      </c>
      <c r="B580" s="226">
        <v>44106</v>
      </c>
      <c r="C580" s="111">
        <v>10279.48</v>
      </c>
      <c r="D580" s="107">
        <f>COUNTA(G580:Z580)*0.5</f>
        <v>4.5</v>
      </c>
      <c r="F580" s="107" t="s">
        <v>263</v>
      </c>
      <c r="G580" s="178">
        <v>44106</v>
      </c>
      <c r="H580" s="178">
        <v>44106</v>
      </c>
      <c r="I580" s="178">
        <v>44110</v>
      </c>
      <c r="J580" s="178">
        <v>44113</v>
      </c>
      <c r="K580" s="178">
        <v>44116</v>
      </c>
      <c r="L580" s="178">
        <v>44118</v>
      </c>
      <c r="M580" s="178">
        <v>44120</v>
      </c>
      <c r="N580" s="178">
        <v>44123</v>
      </c>
      <c r="O580" s="178">
        <v>44125</v>
      </c>
      <c r="AA580" s="166">
        <v>44134</v>
      </c>
      <c r="AH580" s="108">
        <f>(AD580-AF580)/(D580*$K$1*2)%</f>
        <v>0</v>
      </c>
      <c r="AI580" s="108">
        <f>(AE580+AF580)/(D580*$K$1*2)%</f>
        <v>0</v>
      </c>
    </row>
    <row r="581" spans="1:35" ht="15.75" hidden="1" customHeight="1">
      <c r="A581" s="107" t="s">
        <v>859</v>
      </c>
      <c r="B581" s="226">
        <v>44106</v>
      </c>
      <c r="C581" s="111">
        <v>10279.48</v>
      </c>
      <c r="D581" s="107">
        <f>COUNTA(G581:Z581)*0.5</f>
        <v>4.5</v>
      </c>
      <c r="F581" s="107" t="s">
        <v>263</v>
      </c>
      <c r="G581" s="178">
        <v>44106</v>
      </c>
      <c r="H581" s="178">
        <v>44106</v>
      </c>
      <c r="I581" s="178">
        <v>44110</v>
      </c>
      <c r="J581" s="178">
        <v>44113</v>
      </c>
      <c r="K581" s="178">
        <v>44116</v>
      </c>
      <c r="L581" s="178">
        <v>44118</v>
      </c>
      <c r="M581" s="178">
        <v>44120</v>
      </c>
      <c r="N581" s="178">
        <v>44123</v>
      </c>
      <c r="O581" s="178">
        <v>44125</v>
      </c>
      <c r="AA581" s="166">
        <v>44134</v>
      </c>
      <c r="AC581" s="107">
        <f>12/20*100</f>
        <v>60</v>
      </c>
      <c r="AD581" s="107">
        <v>599.5</v>
      </c>
      <c r="AE581" s="107">
        <v>205.5</v>
      </c>
      <c r="AH581" s="108">
        <f>(AD581-AF581)/(D581*$K$1*2)%</f>
        <v>12.111111111111111</v>
      </c>
      <c r="AI581" s="108">
        <f>(AE581+AF581)/(D581*$K$1*2)%</f>
        <v>4.1515151515151514</v>
      </c>
    </row>
    <row r="582" spans="1:35" ht="15.75" hidden="1" customHeight="1">
      <c r="A582" s="107" t="s">
        <v>860</v>
      </c>
      <c r="B582" s="226">
        <v>44106</v>
      </c>
      <c r="C582" s="111">
        <v>10279.48</v>
      </c>
      <c r="D582" s="107">
        <f>COUNTA(G582:Z582)*0.5</f>
        <v>4.5</v>
      </c>
      <c r="F582" s="107" t="s">
        <v>263</v>
      </c>
      <c r="G582" s="178">
        <v>44106</v>
      </c>
      <c r="H582" s="178">
        <v>44106</v>
      </c>
      <c r="I582" s="178">
        <v>44110</v>
      </c>
      <c r="J582" s="178">
        <v>44113</v>
      </c>
      <c r="K582" s="178">
        <v>44116</v>
      </c>
      <c r="L582" s="178">
        <v>44118</v>
      </c>
      <c r="M582" s="178">
        <v>44120</v>
      </c>
      <c r="N582" s="178">
        <v>44123</v>
      </c>
      <c r="O582" s="178">
        <v>44125</v>
      </c>
      <c r="AA582" s="166">
        <v>44134</v>
      </c>
      <c r="AH582" s="108">
        <f>(AD582-AF582)/(D582*$K$1*2)%</f>
        <v>0</v>
      </c>
      <c r="AI582" s="108">
        <f>(AE582+AF582)/(D582*$K$1*2)%</f>
        <v>0</v>
      </c>
    </row>
    <row r="583" spans="1:35" ht="15.75" hidden="1" customHeight="1">
      <c r="A583" s="110" t="s">
        <v>861</v>
      </c>
      <c r="B583" s="229">
        <v>44014</v>
      </c>
      <c r="C583" s="110">
        <v>18000</v>
      </c>
      <c r="D583" s="110">
        <v>5.5</v>
      </c>
      <c r="E583" s="110"/>
      <c r="F583" s="107" t="s">
        <v>323</v>
      </c>
      <c r="G583" s="107"/>
      <c r="H583" s="107"/>
      <c r="I583" s="107"/>
      <c r="J583" s="107"/>
      <c r="K583" s="107"/>
      <c r="L583" s="107"/>
      <c r="M583" s="178">
        <v>44120</v>
      </c>
      <c r="N583" s="178">
        <v>44123</v>
      </c>
      <c r="O583" s="107"/>
      <c r="P583" s="107"/>
      <c r="Q583" s="107"/>
      <c r="R583" s="107"/>
      <c r="S583" s="107"/>
      <c r="T583" s="107"/>
      <c r="U583" s="107"/>
      <c r="V583" s="107"/>
      <c r="W583" s="107"/>
      <c r="X583" s="107"/>
      <c r="Y583" s="107"/>
      <c r="Z583" s="107"/>
      <c r="AA583" s="167"/>
      <c r="AB583" s="109">
        <f>_xlfn.DAYS(AA583,B583)</f>
        <v>-44014</v>
      </c>
      <c r="AC583" s="110"/>
      <c r="AD583" s="110"/>
      <c r="AE583" s="110"/>
      <c r="AF583" s="110"/>
      <c r="AG583" s="110">
        <v>75</v>
      </c>
      <c r="AH583" s="107"/>
    </row>
    <row r="584" spans="1:35" ht="15.75" hidden="1" customHeight="1">
      <c r="A584" s="110" t="s">
        <v>862</v>
      </c>
      <c r="B584" s="229">
        <v>44041</v>
      </c>
      <c r="C584" s="224">
        <v>10000</v>
      </c>
      <c r="D584" s="110">
        <v>8</v>
      </c>
      <c r="E584" s="110"/>
      <c r="F584" s="107" t="s">
        <v>263</v>
      </c>
      <c r="G584" s="107"/>
      <c r="H584" s="107"/>
      <c r="K584" s="225"/>
      <c r="L584" s="107"/>
      <c r="M584" s="178">
        <v>44120</v>
      </c>
      <c r="N584" s="178">
        <v>44123</v>
      </c>
      <c r="O584" s="107"/>
      <c r="P584" s="107"/>
      <c r="Q584" s="107"/>
      <c r="R584" s="107"/>
      <c r="S584" s="107"/>
      <c r="T584" s="107"/>
      <c r="U584" s="107"/>
      <c r="V584" s="107"/>
      <c r="W584" s="107"/>
      <c r="X584" s="107"/>
      <c r="Y584" s="107"/>
      <c r="Z584" s="107"/>
      <c r="AA584" s="166">
        <v>44022</v>
      </c>
      <c r="AB584" s="109">
        <f>_xlfn.DAYS(AA584,B584)</f>
        <v>-19</v>
      </c>
      <c r="AC584" s="110">
        <f>AVERAGE(3/11,9/19)*100</f>
        <v>37.320574162679421</v>
      </c>
      <c r="AD584" s="110">
        <v>1090</v>
      </c>
      <c r="AE584" s="110">
        <v>288.5</v>
      </c>
      <c r="AF584" s="110">
        <v>57.5</v>
      </c>
      <c r="AG584" s="107">
        <f>COUNTIFS(F:F,"Culled",A:A,LEFT(A584,LEN(A584)-3)&amp;"*")/COUNTIF(A:A,LEFT(A584,LEN(A584)-3)&amp;"*")*100</f>
        <v>18.181818181818183</v>
      </c>
      <c r="AH584" s="108">
        <f>(AD584-AF584)/(D584*$K$1*2)%</f>
        <v>11.732954545454545</v>
      </c>
      <c r="AI584" s="108">
        <f>(AE584+AF584)/(D584*$K$1*2)%</f>
        <v>3.9318181818181817</v>
      </c>
    </row>
    <row r="585" spans="1:35" ht="15.75" hidden="1" customHeight="1">
      <c r="A585" s="110" t="s">
        <v>863</v>
      </c>
      <c r="B585" s="229">
        <v>44025</v>
      </c>
      <c r="C585" s="110">
        <v>10000</v>
      </c>
      <c r="D585" s="110">
        <v>3</v>
      </c>
      <c r="E585" s="110"/>
      <c r="F585" s="107" t="s">
        <v>323</v>
      </c>
      <c r="G585" s="107"/>
      <c r="H585" s="107"/>
      <c r="I585" s="107"/>
      <c r="J585" s="107"/>
      <c r="K585" s="107"/>
      <c r="L585" s="107"/>
      <c r="M585" s="178">
        <v>44120</v>
      </c>
      <c r="N585" s="178">
        <v>44123</v>
      </c>
      <c r="O585" s="107"/>
      <c r="P585" s="107"/>
      <c r="Q585" s="107"/>
      <c r="R585" s="107"/>
      <c r="S585" s="107"/>
      <c r="T585" s="107"/>
      <c r="U585" s="107"/>
      <c r="V585" s="107"/>
      <c r="W585" s="107"/>
      <c r="X585" s="107"/>
      <c r="Y585" s="107"/>
      <c r="Z585" s="107"/>
      <c r="AA585" s="167"/>
      <c r="AB585" s="109">
        <f>_xlfn.DAYS(AA585,B585)</f>
        <v>-44025</v>
      </c>
      <c r="AC585" s="110"/>
      <c r="AD585" s="110"/>
      <c r="AE585" s="110"/>
      <c r="AF585" s="110"/>
      <c r="AG585" s="110">
        <v>100</v>
      </c>
      <c r="AH585" s="107"/>
    </row>
    <row r="586" spans="1:35" ht="15.75" hidden="1" customHeight="1">
      <c r="A586" s="110" t="s">
        <v>864</v>
      </c>
      <c r="B586" s="229">
        <v>44025</v>
      </c>
      <c r="C586" s="110">
        <v>10000</v>
      </c>
      <c r="D586" s="110">
        <v>3</v>
      </c>
      <c r="E586" s="110"/>
      <c r="F586" s="107" t="s">
        <v>323</v>
      </c>
      <c r="G586" s="107"/>
      <c r="H586" s="107"/>
      <c r="I586" s="107"/>
      <c r="J586" s="107"/>
      <c r="K586" s="107"/>
      <c r="L586" s="107"/>
      <c r="M586" s="178">
        <v>44120</v>
      </c>
      <c r="N586" s="178">
        <v>44123</v>
      </c>
      <c r="O586" s="107"/>
      <c r="P586" s="107"/>
      <c r="Q586" s="107"/>
      <c r="R586" s="107"/>
      <c r="S586" s="107"/>
      <c r="T586" s="107"/>
      <c r="U586" s="107"/>
      <c r="V586" s="107"/>
      <c r="W586" s="107"/>
      <c r="X586" s="107"/>
      <c r="Y586" s="107"/>
      <c r="Z586" s="107"/>
      <c r="AA586" s="167"/>
      <c r="AB586" s="109">
        <f>_xlfn.DAYS(AA586,B586)</f>
        <v>-44025</v>
      </c>
      <c r="AC586" s="110"/>
      <c r="AD586" s="110"/>
      <c r="AE586" s="110"/>
      <c r="AF586" s="110"/>
      <c r="AG586" s="110">
        <v>100</v>
      </c>
      <c r="AH586" s="107"/>
    </row>
    <row r="587" spans="1:35" ht="15.75" hidden="1" customHeight="1">
      <c r="A587" s="110" t="s">
        <v>865</v>
      </c>
      <c r="B587" s="229">
        <v>44025</v>
      </c>
      <c r="C587" s="110">
        <v>10000</v>
      </c>
      <c r="D587" s="110">
        <v>3</v>
      </c>
      <c r="E587" s="110"/>
      <c r="F587" s="107" t="s">
        <v>323</v>
      </c>
      <c r="G587" s="107"/>
      <c r="H587" s="107"/>
      <c r="I587" s="107"/>
      <c r="J587" s="107"/>
      <c r="K587" s="107"/>
      <c r="L587" s="107"/>
      <c r="M587" s="178">
        <v>44120</v>
      </c>
      <c r="N587" s="178">
        <v>44123</v>
      </c>
      <c r="O587" s="107"/>
      <c r="P587" s="107"/>
      <c r="Q587" s="107"/>
      <c r="R587" s="107"/>
      <c r="S587" s="107"/>
      <c r="T587" s="107"/>
      <c r="U587" s="107"/>
      <c r="V587" s="107"/>
      <c r="W587" s="107"/>
      <c r="X587" s="107"/>
      <c r="Y587" s="107"/>
      <c r="Z587" s="107"/>
      <c r="AA587" s="167"/>
      <c r="AB587" s="109">
        <f>_xlfn.DAYS(AA587,B587)</f>
        <v>-44025</v>
      </c>
      <c r="AC587" s="110"/>
      <c r="AD587" s="110"/>
      <c r="AE587" s="110"/>
      <c r="AF587" s="110"/>
      <c r="AG587" s="110">
        <v>100</v>
      </c>
      <c r="AH587" s="107"/>
    </row>
    <row r="588" spans="1:35" ht="15.75" hidden="1" customHeight="1">
      <c r="A588" s="110" t="s">
        <v>866</v>
      </c>
      <c r="B588" s="229">
        <v>44025</v>
      </c>
      <c r="C588" s="110">
        <v>10000</v>
      </c>
      <c r="D588" s="110">
        <v>3</v>
      </c>
      <c r="E588" s="110"/>
      <c r="F588" s="107" t="s">
        <v>323</v>
      </c>
      <c r="G588" s="107"/>
      <c r="H588" s="107"/>
      <c r="I588" s="107"/>
      <c r="J588" s="107"/>
      <c r="K588" s="107"/>
      <c r="L588" s="107"/>
      <c r="M588" s="178">
        <v>44120</v>
      </c>
      <c r="N588" s="178">
        <v>44123</v>
      </c>
      <c r="O588" s="107"/>
      <c r="P588" s="107"/>
      <c r="Q588" s="107"/>
      <c r="R588" s="107"/>
      <c r="S588" s="107"/>
      <c r="T588" s="107"/>
      <c r="U588" s="107"/>
      <c r="V588" s="107"/>
      <c r="W588" s="107"/>
      <c r="X588" s="107"/>
      <c r="Y588" s="107"/>
      <c r="Z588" s="107"/>
      <c r="AA588" s="167"/>
      <c r="AB588" s="109">
        <f>_xlfn.DAYS(AA588,B588)</f>
        <v>-44025</v>
      </c>
      <c r="AC588" s="110"/>
      <c r="AD588" s="110"/>
      <c r="AE588" s="110"/>
      <c r="AF588" s="110"/>
      <c r="AG588" s="110">
        <v>100</v>
      </c>
      <c r="AH588" s="107"/>
    </row>
    <row r="589" spans="1:35" ht="15.75" hidden="1" customHeight="1">
      <c r="A589" s="110" t="s">
        <v>867</v>
      </c>
      <c r="B589" s="229">
        <v>44025</v>
      </c>
      <c r="C589" s="110">
        <v>10000</v>
      </c>
      <c r="D589" s="110">
        <v>3</v>
      </c>
      <c r="E589" s="110"/>
      <c r="F589" s="107" t="s">
        <v>323</v>
      </c>
      <c r="G589" s="107"/>
      <c r="H589" s="107"/>
      <c r="I589" s="107"/>
      <c r="J589" s="107"/>
      <c r="K589" s="107"/>
      <c r="L589" s="107"/>
      <c r="M589" s="178">
        <v>44120</v>
      </c>
      <c r="N589" s="178">
        <v>44123</v>
      </c>
      <c r="O589" s="107"/>
      <c r="P589" s="107"/>
      <c r="Q589" s="107"/>
      <c r="R589" s="107"/>
      <c r="S589" s="107"/>
      <c r="T589" s="107"/>
      <c r="U589" s="107"/>
      <c r="V589" s="107"/>
      <c r="W589" s="107"/>
      <c r="X589" s="107"/>
      <c r="Y589" s="107"/>
      <c r="Z589" s="107"/>
      <c r="AA589" s="167"/>
      <c r="AB589" s="109">
        <f>_xlfn.DAYS(AA589,B589)</f>
        <v>-44025</v>
      </c>
      <c r="AC589" s="110"/>
      <c r="AD589" s="110"/>
      <c r="AE589" s="110"/>
      <c r="AF589" s="110"/>
      <c r="AG589" s="110">
        <v>100</v>
      </c>
      <c r="AH589" s="107"/>
    </row>
    <row r="590" spans="1:35" ht="15.75" hidden="1" customHeight="1">
      <c r="A590" s="110" t="s">
        <v>868</v>
      </c>
      <c r="B590" s="229">
        <v>44025</v>
      </c>
      <c r="C590" s="110">
        <v>10000</v>
      </c>
      <c r="D590" s="110">
        <v>3</v>
      </c>
      <c r="E590" s="110"/>
      <c r="F590" s="107" t="s">
        <v>323</v>
      </c>
      <c r="G590" s="107"/>
      <c r="H590" s="107"/>
      <c r="I590" s="107"/>
      <c r="J590" s="107"/>
      <c r="K590" s="107"/>
      <c r="L590" s="107"/>
      <c r="M590" s="178">
        <v>44120</v>
      </c>
      <c r="N590" s="178">
        <v>44123</v>
      </c>
      <c r="O590" s="107"/>
      <c r="P590" s="107"/>
      <c r="Q590" s="107"/>
      <c r="R590" s="107"/>
      <c r="S590" s="107"/>
      <c r="T590" s="107"/>
      <c r="U590" s="107"/>
      <c r="V590" s="107"/>
      <c r="W590" s="107"/>
      <c r="X590" s="107"/>
      <c r="Y590" s="107"/>
      <c r="Z590" s="107"/>
      <c r="AA590" s="167"/>
      <c r="AB590" s="109">
        <f>_xlfn.DAYS(AA590,B590)</f>
        <v>-44025</v>
      </c>
      <c r="AC590" s="110"/>
      <c r="AD590" s="110"/>
      <c r="AE590" s="110"/>
      <c r="AF590" s="110"/>
      <c r="AG590" s="110">
        <v>100</v>
      </c>
      <c r="AH590" s="107"/>
    </row>
    <row r="591" spans="1:35" ht="15.75" hidden="1" customHeight="1">
      <c r="A591" s="110" t="s">
        <v>869</v>
      </c>
      <c r="B591" s="229">
        <v>44025</v>
      </c>
      <c r="C591" s="110">
        <v>10000</v>
      </c>
      <c r="D591" s="110">
        <v>3</v>
      </c>
      <c r="E591" s="110"/>
      <c r="F591" s="107" t="s">
        <v>323</v>
      </c>
      <c r="G591" s="107"/>
      <c r="H591" s="107"/>
      <c r="I591" s="107"/>
      <c r="J591" s="107"/>
      <c r="K591" s="107"/>
      <c r="L591" s="107"/>
      <c r="M591" s="178">
        <v>44120</v>
      </c>
      <c r="N591" s="178">
        <v>44123</v>
      </c>
      <c r="O591" s="107"/>
      <c r="P591" s="107"/>
      <c r="Q591" s="107"/>
      <c r="R591" s="107"/>
      <c r="S591" s="107"/>
      <c r="T591" s="107"/>
      <c r="U591" s="107"/>
      <c r="V591" s="107"/>
      <c r="W591" s="107"/>
      <c r="X591" s="107"/>
      <c r="Y591" s="107"/>
      <c r="Z591" s="107"/>
      <c r="AA591" s="167"/>
      <c r="AB591" s="109">
        <f>_xlfn.DAYS(AA591,B591)</f>
        <v>-44025</v>
      </c>
      <c r="AC591" s="110"/>
      <c r="AD591" s="110"/>
      <c r="AE591" s="110"/>
      <c r="AF591" s="110"/>
      <c r="AG591" s="110">
        <v>100</v>
      </c>
      <c r="AH591" s="107"/>
    </row>
    <row r="592" spans="1:35" ht="15.75" hidden="1" customHeight="1">
      <c r="A592" s="110" t="s">
        <v>870</v>
      </c>
      <c r="B592" s="229">
        <v>44025</v>
      </c>
      <c r="C592" s="110">
        <v>10000</v>
      </c>
      <c r="D592" s="110">
        <v>3</v>
      </c>
      <c r="E592" s="110"/>
      <c r="F592" s="107" t="s">
        <v>323</v>
      </c>
      <c r="G592" s="107"/>
      <c r="H592" s="107"/>
      <c r="I592" s="107"/>
      <c r="J592" s="107"/>
      <c r="K592" s="107"/>
      <c r="L592" s="107"/>
      <c r="M592" s="178">
        <v>44120</v>
      </c>
      <c r="N592" s="178">
        <v>44123</v>
      </c>
      <c r="O592" s="107"/>
      <c r="P592" s="107"/>
      <c r="Q592" s="107"/>
      <c r="R592" s="107"/>
      <c r="S592" s="107"/>
      <c r="T592" s="107"/>
      <c r="U592" s="107"/>
      <c r="V592" s="107"/>
      <c r="W592" s="107"/>
      <c r="X592" s="107"/>
      <c r="Y592" s="107"/>
      <c r="Z592" s="107"/>
      <c r="AA592" s="167"/>
      <c r="AB592" s="109">
        <f>_xlfn.DAYS(AA592,B592)</f>
        <v>-44025</v>
      </c>
      <c r="AC592" s="110"/>
      <c r="AD592" s="110"/>
      <c r="AE592" s="110"/>
      <c r="AF592" s="110"/>
      <c r="AG592" s="110">
        <v>100</v>
      </c>
      <c r="AH592" s="107"/>
    </row>
    <row r="593" spans="1:35" ht="15.75" hidden="1" customHeight="1">
      <c r="A593" s="110" t="s">
        <v>871</v>
      </c>
      <c r="B593" s="229">
        <v>44025</v>
      </c>
      <c r="C593" s="110">
        <v>10000</v>
      </c>
      <c r="D593" s="110">
        <v>3</v>
      </c>
      <c r="E593" s="110"/>
      <c r="F593" s="107" t="s">
        <v>323</v>
      </c>
      <c r="G593" s="107"/>
      <c r="H593" s="107"/>
      <c r="I593" s="107"/>
      <c r="J593" s="107"/>
      <c r="K593" s="107"/>
      <c r="L593" s="107"/>
      <c r="M593" s="178">
        <v>44120</v>
      </c>
      <c r="N593" s="178">
        <v>44123</v>
      </c>
      <c r="O593" s="107"/>
      <c r="P593" s="107"/>
      <c r="Q593" s="107"/>
      <c r="R593" s="107"/>
      <c r="S593" s="107"/>
      <c r="T593" s="107"/>
      <c r="U593" s="107"/>
      <c r="V593" s="107"/>
      <c r="W593" s="107"/>
      <c r="X593" s="107"/>
      <c r="Y593" s="107"/>
      <c r="Z593" s="107"/>
      <c r="AA593" s="167"/>
      <c r="AB593" s="109">
        <f>_xlfn.DAYS(AA593,B593)</f>
        <v>-44025</v>
      </c>
      <c r="AC593" s="110"/>
      <c r="AD593" s="110"/>
      <c r="AE593" s="110"/>
      <c r="AF593" s="110"/>
      <c r="AG593" s="110">
        <v>100</v>
      </c>
      <c r="AH593" s="107"/>
    </row>
    <row r="594" spans="1:35" ht="15.75" hidden="1" customHeight="1">
      <c r="A594" s="107" t="s">
        <v>872</v>
      </c>
      <c r="B594" s="226">
        <v>44074</v>
      </c>
      <c r="C594" s="231">
        <v>10779.897476389127</v>
      </c>
      <c r="D594" s="107">
        <f>COUNTA(G594:Z594)*0.5</f>
        <v>5.5</v>
      </c>
      <c r="F594" s="107" t="s">
        <v>263</v>
      </c>
      <c r="G594" s="178">
        <v>44074</v>
      </c>
      <c r="H594" s="178">
        <v>44074</v>
      </c>
      <c r="I594" s="178">
        <v>44110</v>
      </c>
      <c r="J594" s="178">
        <v>44113</v>
      </c>
      <c r="K594" s="178">
        <v>44081</v>
      </c>
      <c r="L594" s="178">
        <v>44083</v>
      </c>
      <c r="M594" s="178">
        <v>44120</v>
      </c>
      <c r="N594" s="178">
        <v>44123</v>
      </c>
      <c r="O594" s="178">
        <v>44090</v>
      </c>
      <c r="P594" s="178" t="s">
        <v>375</v>
      </c>
      <c r="Q594" s="178" t="s">
        <v>376</v>
      </c>
      <c r="AA594" s="166">
        <v>44104</v>
      </c>
      <c r="AB594" s="109">
        <f>_xlfn.DAYS(AA594,B594)</f>
        <v>30</v>
      </c>
      <c r="AC594" s="107">
        <f>AVERAGE(13/19,17/25)*100</f>
        <v>68.21052631578948</v>
      </c>
      <c r="AD594" s="107">
        <v>519</v>
      </c>
      <c r="AE594" s="107">
        <v>246</v>
      </c>
      <c r="AG594" s="107">
        <f>COUNTIFS(F:F,"Culled",A:A,LEFT(A594,LEN(A594)-3)&amp;"*")/COUNTIF(A:A,LEFT(A594,LEN(A594)-3)&amp;"*")*100</f>
        <v>0</v>
      </c>
      <c r="AH594" s="108">
        <f>(AD594-AF594)/(D594*$K$1*2)%</f>
        <v>8.5785123966942152</v>
      </c>
      <c r="AI594" s="108">
        <f>(AE594+AF594)/(D594*$K$1*2)%</f>
        <v>4.0661157024793386</v>
      </c>
    </row>
    <row r="595" spans="1:35" ht="15.75" hidden="1" customHeight="1">
      <c r="A595" s="107" t="s">
        <v>873</v>
      </c>
      <c r="B595" s="226">
        <v>44106</v>
      </c>
      <c r="C595" s="111">
        <v>10279.48</v>
      </c>
      <c r="D595" s="107">
        <f>COUNTA(G595:Z595)*0.5</f>
        <v>4.5</v>
      </c>
      <c r="F595" s="107" t="s">
        <v>263</v>
      </c>
      <c r="G595" s="178">
        <v>44106</v>
      </c>
      <c r="H595" s="178">
        <v>44106</v>
      </c>
      <c r="I595" s="178">
        <v>44110</v>
      </c>
      <c r="J595" s="178">
        <v>44113</v>
      </c>
      <c r="K595" s="178">
        <v>44116</v>
      </c>
      <c r="L595" s="178">
        <v>44118</v>
      </c>
      <c r="M595" s="178">
        <v>44120</v>
      </c>
      <c r="N595" s="178">
        <v>44123</v>
      </c>
      <c r="O595" s="178">
        <v>44125</v>
      </c>
      <c r="AA595" s="166">
        <v>44134</v>
      </c>
      <c r="AH595" s="108">
        <f>(AD595-AF595)/(D595*$K$1*2)%</f>
        <v>0</v>
      </c>
      <c r="AI595" s="108">
        <f>(AE595+AF595)/(D595*$K$1*2)%</f>
        <v>0</v>
      </c>
    </row>
    <row r="596" spans="1:35" ht="15.75" hidden="1" customHeight="1">
      <c r="A596" s="110" t="s">
        <v>874</v>
      </c>
      <c r="B596" s="229">
        <v>44025</v>
      </c>
      <c r="C596" s="110">
        <v>10000</v>
      </c>
      <c r="D596" s="110">
        <v>3</v>
      </c>
      <c r="E596" s="110"/>
      <c r="F596" s="107" t="s">
        <v>323</v>
      </c>
      <c r="G596" s="107"/>
      <c r="H596" s="107"/>
      <c r="I596" s="107"/>
      <c r="J596" s="107"/>
      <c r="K596" s="107"/>
      <c r="L596" s="107"/>
      <c r="M596" s="178">
        <v>44120</v>
      </c>
      <c r="N596" s="178">
        <v>44123</v>
      </c>
      <c r="O596" s="107"/>
      <c r="P596" s="107"/>
      <c r="Q596" s="107"/>
      <c r="R596" s="107"/>
      <c r="S596" s="107"/>
      <c r="T596" s="107"/>
      <c r="U596" s="107"/>
      <c r="V596" s="107"/>
      <c r="W596" s="107"/>
      <c r="X596" s="107"/>
      <c r="Y596" s="107"/>
      <c r="Z596" s="107"/>
      <c r="AA596" s="167"/>
      <c r="AB596" s="109">
        <f>_xlfn.DAYS(AA596,B596)</f>
        <v>-44025</v>
      </c>
      <c r="AC596" s="110"/>
      <c r="AD596" s="110"/>
      <c r="AE596" s="110"/>
      <c r="AF596" s="110"/>
      <c r="AG596" s="110">
        <v>100</v>
      </c>
      <c r="AH596" s="107"/>
    </row>
    <row r="597" spans="1:35" ht="15.75" hidden="1" customHeight="1">
      <c r="A597" s="107" t="s">
        <v>875</v>
      </c>
      <c r="B597" s="226">
        <v>44106</v>
      </c>
      <c r="C597" s="111">
        <v>10279.48</v>
      </c>
      <c r="D597" s="107">
        <f>COUNTA(G597:Z597)*0.5</f>
        <v>4.5</v>
      </c>
      <c r="F597" s="107" t="s">
        <v>263</v>
      </c>
      <c r="G597" s="178">
        <v>44106</v>
      </c>
      <c r="H597" s="178">
        <v>44106</v>
      </c>
      <c r="I597" s="178">
        <v>44110</v>
      </c>
      <c r="J597" s="178">
        <v>44113</v>
      </c>
      <c r="K597" s="178">
        <v>44116</v>
      </c>
      <c r="L597" s="178">
        <v>44118</v>
      </c>
      <c r="M597" s="178">
        <v>44120</v>
      </c>
      <c r="N597" s="178">
        <v>44123</v>
      </c>
      <c r="O597" s="178">
        <v>44125</v>
      </c>
      <c r="AA597" s="166">
        <v>44134</v>
      </c>
      <c r="AH597" s="108">
        <f>(AD597-AF597)/(D597*$K$1*2)%</f>
        <v>0</v>
      </c>
      <c r="AI597" s="108">
        <f>(AE597+AF597)/(D597*$K$1*2)%</f>
        <v>0</v>
      </c>
    </row>
    <row r="598" spans="1:35" ht="15.75" hidden="1" customHeight="1">
      <c r="A598" s="107" t="s">
        <v>876</v>
      </c>
      <c r="B598" s="226">
        <v>44074</v>
      </c>
      <c r="C598" s="231">
        <v>10779.897476389127</v>
      </c>
      <c r="D598" s="107">
        <f>COUNTA(G598:Z598)*0.5</f>
        <v>4.5</v>
      </c>
      <c r="F598" s="107" t="s">
        <v>263</v>
      </c>
      <c r="G598" s="178">
        <v>44074</v>
      </c>
      <c r="H598" s="178">
        <v>44074</v>
      </c>
      <c r="I598" s="178">
        <v>44110</v>
      </c>
      <c r="J598" s="178">
        <v>44113</v>
      </c>
      <c r="K598" s="178">
        <v>44081</v>
      </c>
      <c r="L598" s="178">
        <v>44083</v>
      </c>
      <c r="M598" s="178">
        <v>44120</v>
      </c>
      <c r="N598" s="178">
        <v>44123</v>
      </c>
      <c r="O598" s="178">
        <v>44090</v>
      </c>
      <c r="AA598" s="166">
        <v>44099</v>
      </c>
      <c r="AC598" s="107">
        <f>16/19*100</f>
        <v>84.210526315789465</v>
      </c>
      <c r="AD598" s="107">
        <v>595</v>
      </c>
      <c r="AE598" s="107">
        <v>131</v>
      </c>
      <c r="AG598" s="107">
        <f>COUNTIFS(F:F,"Culled",A:A,LEFT(A598,LEN(A598)-3)&amp;"*")/COUNTIF(A:A,LEFT(A598,LEN(A598)-3)&amp;"*")*100</f>
        <v>0</v>
      </c>
      <c r="AH598" s="108">
        <f>(AD598-AF598)/(D598*$K$1*2)%</f>
        <v>12.020202020202021</v>
      </c>
      <c r="AI598" s="108">
        <f>(AE598+AF598)/(D598*$K$1*2)%</f>
        <v>2.6464646464646466</v>
      </c>
    </row>
    <row r="599" spans="1:35" ht="15.75" hidden="1" customHeight="1">
      <c r="A599" s="107" t="s">
        <v>877</v>
      </c>
      <c r="B599" s="226">
        <v>44074</v>
      </c>
      <c r="C599" s="231">
        <v>10779.897476389127</v>
      </c>
      <c r="D599" s="107">
        <f>COUNTA(G599:Z599)*0.5</f>
        <v>5.5</v>
      </c>
      <c r="F599" s="107" t="s">
        <v>263</v>
      </c>
      <c r="G599" s="178">
        <v>44074</v>
      </c>
      <c r="H599" s="178">
        <v>44074</v>
      </c>
      <c r="I599" s="178">
        <v>44110</v>
      </c>
      <c r="J599" s="178">
        <v>44113</v>
      </c>
      <c r="K599" s="178">
        <v>44081</v>
      </c>
      <c r="L599" s="178">
        <v>44083</v>
      </c>
      <c r="M599" s="178">
        <v>44120</v>
      </c>
      <c r="N599" s="178">
        <v>44123</v>
      </c>
      <c r="O599" s="178">
        <v>44090</v>
      </c>
      <c r="P599" s="178" t="s">
        <v>375</v>
      </c>
      <c r="Q599" s="178" t="s">
        <v>376</v>
      </c>
      <c r="AA599" s="166">
        <v>44104</v>
      </c>
      <c r="AB599" s="109">
        <f>_xlfn.DAYS(AA599,B599)</f>
        <v>30</v>
      </c>
      <c r="AC599" s="107">
        <f>AVERAGE(11/23,11/23)*100</f>
        <v>47.826086956521742</v>
      </c>
      <c r="AD599" s="107">
        <v>625.5</v>
      </c>
      <c r="AE599" s="107">
        <v>181</v>
      </c>
      <c r="AG599" s="107">
        <f>COUNTIFS(F:F,"Culled",A:A,LEFT(A599,LEN(A599)-3)&amp;"*")/COUNTIF(A:A,LEFT(A599,LEN(A599)-3)&amp;"*")*100</f>
        <v>0</v>
      </c>
      <c r="AH599" s="108">
        <f>(AD599-AF599)/(D599*$K$1*2)%</f>
        <v>10.338842975206612</v>
      </c>
      <c r="AI599" s="108">
        <f>(AE599+AF599)/(D599*$K$1*2)%</f>
        <v>2.9917355371900825</v>
      </c>
    </row>
    <row r="600" spans="1:35" ht="15.75" hidden="1" customHeight="1">
      <c r="A600" s="107" t="s">
        <v>878</v>
      </c>
      <c r="B600" s="226">
        <v>44106</v>
      </c>
      <c r="C600" s="111">
        <v>10279.48</v>
      </c>
      <c r="D600" s="107">
        <f>COUNTA(G600:Z600)*0.5</f>
        <v>4.5</v>
      </c>
      <c r="F600" s="107" t="s">
        <v>263</v>
      </c>
      <c r="G600" s="178">
        <v>44106</v>
      </c>
      <c r="H600" s="178">
        <v>44106</v>
      </c>
      <c r="I600" s="178">
        <v>44110</v>
      </c>
      <c r="J600" s="178">
        <v>44113</v>
      </c>
      <c r="K600" s="178">
        <v>44116</v>
      </c>
      <c r="L600" s="178">
        <v>44118</v>
      </c>
      <c r="M600" s="178">
        <v>44120</v>
      </c>
      <c r="N600" s="178">
        <v>44123</v>
      </c>
      <c r="O600" s="178">
        <v>44125</v>
      </c>
      <c r="AA600" s="166">
        <v>44134</v>
      </c>
      <c r="AH600" s="108">
        <f>(AD600-AF600)/(D600*$K$1*2)%</f>
        <v>0</v>
      </c>
      <c r="AI600" s="108">
        <f>(AE600+AF600)/(D600*$K$1*2)%</f>
        <v>0</v>
      </c>
    </row>
    <row r="601" spans="1:35" ht="15.75" hidden="1" customHeight="1">
      <c r="A601" s="110" t="s">
        <v>879</v>
      </c>
      <c r="B601" s="229">
        <v>44025</v>
      </c>
      <c r="C601" s="110">
        <v>10000</v>
      </c>
      <c r="D601" s="110">
        <v>3</v>
      </c>
      <c r="E601" s="110"/>
      <c r="F601" s="107" t="s">
        <v>323</v>
      </c>
      <c r="G601" s="107"/>
      <c r="H601" s="107"/>
      <c r="I601" s="107"/>
      <c r="J601" s="107"/>
      <c r="K601" s="107"/>
      <c r="L601" s="107"/>
      <c r="M601" s="107"/>
      <c r="N601" s="107"/>
      <c r="O601" s="107"/>
      <c r="P601" s="107"/>
      <c r="Q601" s="107"/>
      <c r="R601" s="107"/>
      <c r="S601" s="107"/>
      <c r="T601" s="107"/>
      <c r="U601" s="107"/>
      <c r="V601" s="107"/>
      <c r="W601" s="107"/>
      <c r="X601" s="107"/>
      <c r="Y601" s="107"/>
      <c r="Z601" s="107"/>
      <c r="AA601" s="167"/>
      <c r="AB601" s="109">
        <f>_xlfn.DAYS(AA601,B601)</f>
        <v>-44025</v>
      </c>
      <c r="AC601" s="110"/>
      <c r="AD601" s="110"/>
      <c r="AE601" s="110"/>
      <c r="AF601" s="110"/>
      <c r="AG601" s="110">
        <v>100</v>
      </c>
      <c r="AH601" s="107"/>
    </row>
    <row r="602" spans="1:35" ht="15.75" hidden="1" customHeight="1">
      <c r="A602" s="107" t="s">
        <v>880</v>
      </c>
      <c r="B602" s="226">
        <v>44074</v>
      </c>
      <c r="C602" s="231">
        <v>10779.897476389127</v>
      </c>
      <c r="D602" s="107">
        <f>COUNTA(G602:Z602)*0.5</f>
        <v>5</v>
      </c>
      <c r="F602" s="107" t="s">
        <v>263</v>
      </c>
      <c r="G602" s="178">
        <v>44074</v>
      </c>
      <c r="H602" s="178">
        <v>44074</v>
      </c>
      <c r="I602" s="178">
        <v>44078</v>
      </c>
      <c r="J602" s="178">
        <v>44078</v>
      </c>
      <c r="K602" s="178">
        <v>44081</v>
      </c>
      <c r="L602" s="178">
        <v>44083</v>
      </c>
      <c r="M602" s="178">
        <v>44085</v>
      </c>
      <c r="N602" s="178">
        <v>44088</v>
      </c>
      <c r="O602" s="178">
        <v>44090</v>
      </c>
      <c r="P602" s="178" t="s">
        <v>375</v>
      </c>
      <c r="AA602" s="166">
        <v>44099</v>
      </c>
      <c r="AC602" s="107">
        <f>8/14*100</f>
        <v>57.142857142857139</v>
      </c>
      <c r="AD602" s="107">
        <v>408.5</v>
      </c>
      <c r="AE602" s="107">
        <v>167</v>
      </c>
      <c r="AG602" s="107">
        <f>COUNTIFS(F:F,"Culled",A:A,LEFT(A602,LEN(A602)-3)&amp;"*")/COUNTIF(A:A,LEFT(A602,LEN(A602)-3)&amp;"*")*100</f>
        <v>0</v>
      </c>
      <c r="AH602" s="108">
        <f>(AD602-AF602)/(D602*$K$1*2)%</f>
        <v>7.4272727272727277</v>
      </c>
      <c r="AI602" s="108">
        <f>(AE602+AF602)/(D602*$K$1*2)%</f>
        <v>3.0363636363636362</v>
      </c>
    </row>
    <row r="603" spans="1:35" ht="15.75" hidden="1" customHeight="1">
      <c r="A603" s="107" t="s">
        <v>881</v>
      </c>
      <c r="B603" s="226">
        <v>44074</v>
      </c>
      <c r="C603" s="231">
        <v>10779.897476389127</v>
      </c>
      <c r="D603" s="107">
        <f>COUNTA(G603:Z603)*0.5</f>
        <v>5</v>
      </c>
      <c r="F603" s="107" t="s">
        <v>263</v>
      </c>
      <c r="G603" s="178">
        <v>44074</v>
      </c>
      <c r="H603" s="178">
        <v>44074</v>
      </c>
      <c r="I603" s="178">
        <v>44078</v>
      </c>
      <c r="J603" s="178">
        <v>44078</v>
      </c>
      <c r="K603" s="178">
        <v>44081</v>
      </c>
      <c r="L603" s="178">
        <v>44083</v>
      </c>
      <c r="M603" s="178">
        <v>44085</v>
      </c>
      <c r="N603" s="178">
        <v>44088</v>
      </c>
      <c r="O603" s="178">
        <v>44090</v>
      </c>
      <c r="P603" s="178" t="s">
        <v>375</v>
      </c>
      <c r="AA603" s="166">
        <v>44099</v>
      </c>
      <c r="AC603" s="107">
        <f>12/20*100</f>
        <v>60</v>
      </c>
      <c r="AD603" s="107">
        <v>385.5</v>
      </c>
      <c r="AE603" s="107">
        <v>153.5</v>
      </c>
      <c r="AG603" s="107">
        <f>COUNTIFS(F:F,"Culled",A:A,LEFT(A603,LEN(A603)-3)&amp;"*")/COUNTIF(A:A,LEFT(A603,LEN(A603)-3)&amp;"*")*100</f>
        <v>0</v>
      </c>
      <c r="AH603" s="108">
        <f>(AD603-AF603)/(D603*$K$1*2)%</f>
        <v>7.0090909090909088</v>
      </c>
      <c r="AI603" s="108">
        <f>(AE603+AF603)/(D603*$K$1*2)%</f>
        <v>2.790909090909091</v>
      </c>
    </row>
    <row r="604" spans="1:35" ht="15.75" hidden="1" customHeight="1">
      <c r="A604" s="107" t="s">
        <v>882</v>
      </c>
      <c r="B604" s="226">
        <v>44074</v>
      </c>
      <c r="C604" s="231">
        <v>10779.897476389127</v>
      </c>
      <c r="D604" s="107">
        <f>COUNTA(G604:Z604)*0.5</f>
        <v>5</v>
      </c>
      <c r="F604" s="107" t="s">
        <v>263</v>
      </c>
      <c r="G604" s="178">
        <v>44074</v>
      </c>
      <c r="H604" s="178">
        <v>44074</v>
      </c>
      <c r="I604" s="178">
        <v>44078</v>
      </c>
      <c r="J604" s="178">
        <v>44078</v>
      </c>
      <c r="K604" s="178">
        <v>44081</v>
      </c>
      <c r="L604" s="178">
        <v>44083</v>
      </c>
      <c r="M604" s="178">
        <v>44085</v>
      </c>
      <c r="N604" s="178">
        <v>44088</v>
      </c>
      <c r="O604" s="178">
        <v>44090</v>
      </c>
      <c r="P604" s="178" t="s">
        <v>375</v>
      </c>
      <c r="AA604" s="166">
        <v>44099</v>
      </c>
      <c r="AC604" s="107">
        <f>10/16*100</f>
        <v>62.5</v>
      </c>
      <c r="AD604" s="107">
        <f>527</f>
        <v>527</v>
      </c>
      <c r="AE604" s="107">
        <v>182.5</v>
      </c>
      <c r="AG604" s="107">
        <f>COUNTIFS(F:F,"Culled",A:A,LEFT(A604,LEN(A604)-3)&amp;"*")/COUNTIF(A:A,LEFT(A604,LEN(A604)-3)&amp;"*")*100</f>
        <v>0</v>
      </c>
      <c r="AH604" s="108">
        <f>(AD604-AF604)/(D604*$K$1*2)%</f>
        <v>9.581818181818182</v>
      </c>
      <c r="AI604" s="108">
        <f>(AE604+AF604)/(D604*$K$1*2)%</f>
        <v>3.3181818181818183</v>
      </c>
    </row>
    <row r="605" spans="1:35" ht="15.75" hidden="1" customHeight="1">
      <c r="A605" s="110" t="s">
        <v>883</v>
      </c>
      <c r="B605" s="229">
        <v>44025</v>
      </c>
      <c r="C605" s="110">
        <v>10000</v>
      </c>
      <c r="D605" s="110">
        <v>3</v>
      </c>
      <c r="E605" s="110"/>
      <c r="F605" s="107" t="s">
        <v>323</v>
      </c>
      <c r="G605" s="107"/>
      <c r="H605" s="107"/>
      <c r="I605" s="107"/>
      <c r="J605" s="107"/>
      <c r="K605" s="107"/>
      <c r="L605" s="107"/>
      <c r="M605" s="107"/>
      <c r="N605" s="107"/>
      <c r="O605" s="107"/>
      <c r="P605" s="107"/>
      <c r="Q605" s="107"/>
      <c r="R605" s="107"/>
      <c r="S605" s="107"/>
      <c r="T605" s="107"/>
      <c r="U605" s="107"/>
      <c r="V605" s="107"/>
      <c r="W605" s="107"/>
      <c r="X605" s="107"/>
      <c r="Y605" s="107"/>
      <c r="Z605" s="107"/>
      <c r="AA605" s="167"/>
      <c r="AB605" s="109">
        <f>_xlfn.DAYS(AA605,B605)</f>
        <v>-44025</v>
      </c>
      <c r="AC605" s="110"/>
      <c r="AD605" s="110"/>
      <c r="AE605" s="110"/>
      <c r="AF605" s="110"/>
      <c r="AG605" s="110">
        <v>100</v>
      </c>
      <c r="AH605" s="107"/>
    </row>
    <row r="606" spans="1:35" ht="15.75" hidden="1" customHeight="1">
      <c r="A606" s="107" t="s">
        <v>884</v>
      </c>
      <c r="B606" s="238">
        <v>44047</v>
      </c>
      <c r="C606" s="224">
        <v>10000</v>
      </c>
      <c r="D606" s="107">
        <f>COUNTA(G606:Z606)*0.5</f>
        <v>8</v>
      </c>
      <c r="F606" s="107" t="s">
        <v>263</v>
      </c>
      <c r="G606" s="239">
        <v>44047</v>
      </c>
      <c r="H606" s="239">
        <v>44047</v>
      </c>
      <c r="I606" s="239">
        <v>44047</v>
      </c>
      <c r="J606" s="225">
        <v>44083</v>
      </c>
      <c r="K606" s="225">
        <v>44085</v>
      </c>
      <c r="L606" s="239">
        <v>44057</v>
      </c>
      <c r="M606" s="239">
        <v>44061</v>
      </c>
      <c r="N606" s="178" t="s">
        <v>375</v>
      </c>
      <c r="O606" s="239">
        <v>44064</v>
      </c>
      <c r="P606" s="239">
        <v>44064</v>
      </c>
      <c r="Q606" s="239">
        <v>44064</v>
      </c>
      <c r="R606" s="239">
        <v>44067</v>
      </c>
      <c r="S606" s="239">
        <v>44069</v>
      </c>
      <c r="T606" s="239">
        <v>44069</v>
      </c>
      <c r="U606" s="239">
        <v>44071</v>
      </c>
      <c r="V606" s="239">
        <v>44071</v>
      </c>
      <c r="W606" s="179"/>
      <c r="X606" s="179"/>
      <c r="Y606" s="179"/>
      <c r="AA606" s="166">
        <v>44022</v>
      </c>
      <c r="AB606" s="109">
        <f>_xlfn.DAYS(AA606,B606)</f>
        <v>-25</v>
      </c>
      <c r="AC606" s="107">
        <f>AVERAGE(11/20,17/26)*100</f>
        <v>60.192307692307701</v>
      </c>
      <c r="AD606" s="107">
        <v>1025</v>
      </c>
      <c r="AE606" s="107">
        <v>247</v>
      </c>
      <c r="AF606" s="107">
        <v>81</v>
      </c>
      <c r="AG606" s="107">
        <f>COUNTIFS(F:F,"Culled",A:A,LEFT(A606,LEN(A606)-3)&amp;"*")/COUNTIF(A:A,LEFT(A606,LEN(A606)-3)&amp;"*")*100</f>
        <v>0</v>
      </c>
      <c r="AH606" s="108">
        <f>(AD606-AF606)/(D606*$K$1*2)%</f>
        <v>10.727272727272727</v>
      </c>
      <c r="AI606" s="108">
        <f>(AE606+AF606)/(D606*$K$1*2)%</f>
        <v>3.7272727272727271</v>
      </c>
    </row>
    <row r="607" spans="1:35" ht="15.75" hidden="1" customHeight="1">
      <c r="A607" s="110" t="s">
        <v>885</v>
      </c>
      <c r="B607" s="229">
        <v>44025</v>
      </c>
      <c r="C607" s="110">
        <v>10000</v>
      </c>
      <c r="D607" s="110">
        <v>3</v>
      </c>
      <c r="E607" s="110"/>
      <c r="F607" s="107" t="s">
        <v>323</v>
      </c>
      <c r="G607" s="107"/>
      <c r="H607" s="107"/>
      <c r="I607" s="107"/>
      <c r="J607" s="107"/>
      <c r="K607" s="107"/>
      <c r="L607" s="107"/>
      <c r="M607" s="107"/>
      <c r="N607" s="107"/>
      <c r="O607" s="107"/>
      <c r="P607" s="107"/>
      <c r="Q607" s="107"/>
      <c r="R607" s="107"/>
      <c r="S607" s="107"/>
      <c r="T607" s="107"/>
      <c r="U607" s="107"/>
      <c r="V607" s="107"/>
      <c r="W607" s="107"/>
      <c r="X607" s="107"/>
      <c r="Y607" s="107"/>
      <c r="Z607" s="107"/>
      <c r="AA607" s="167"/>
      <c r="AB607" s="109">
        <f>_xlfn.DAYS(AA607,B607)</f>
        <v>-44025</v>
      </c>
      <c r="AC607" s="110"/>
      <c r="AD607" s="110"/>
      <c r="AE607" s="110"/>
      <c r="AF607" s="110"/>
      <c r="AG607" s="110">
        <v>100</v>
      </c>
      <c r="AH607" s="107"/>
    </row>
    <row r="608" spans="1:35" ht="15.75" hidden="1" customHeight="1">
      <c r="A608" s="107" t="s">
        <v>886</v>
      </c>
      <c r="B608" s="238">
        <v>44047</v>
      </c>
      <c r="C608" s="224">
        <v>10000</v>
      </c>
      <c r="D608" s="107">
        <f>COUNTA(G608:Z608)*0.5</f>
        <v>8</v>
      </c>
      <c r="F608" s="107" t="s">
        <v>263</v>
      </c>
      <c r="G608" s="239">
        <v>44047</v>
      </c>
      <c r="H608" s="239">
        <v>44047</v>
      </c>
      <c r="I608" s="239">
        <v>44047</v>
      </c>
      <c r="J608" s="225">
        <v>44083</v>
      </c>
      <c r="K608" s="225">
        <v>44085</v>
      </c>
      <c r="L608" s="239">
        <v>44057</v>
      </c>
      <c r="M608" s="239">
        <v>44061</v>
      </c>
      <c r="N608" s="178" t="s">
        <v>375</v>
      </c>
      <c r="O608" s="239">
        <v>44064</v>
      </c>
      <c r="P608" s="239">
        <v>44064</v>
      </c>
      <c r="Q608" s="239">
        <v>44064</v>
      </c>
      <c r="R608" s="239">
        <v>44067</v>
      </c>
      <c r="S608" s="239">
        <v>44069</v>
      </c>
      <c r="T608" s="239">
        <v>44069</v>
      </c>
      <c r="U608" s="239">
        <v>44071</v>
      </c>
      <c r="V608" s="239">
        <v>44071</v>
      </c>
      <c r="W608" s="179"/>
      <c r="X608" s="179"/>
      <c r="Y608" s="179"/>
      <c r="AA608" s="166">
        <v>44022</v>
      </c>
      <c r="AB608" s="109">
        <f>_xlfn.DAYS(AA608,B608)</f>
        <v>-25</v>
      </c>
      <c r="AC608" s="107">
        <f>AVERAGE(10/18,14/24)*100</f>
        <v>56.944444444444443</v>
      </c>
      <c r="AD608" s="107">
        <v>958.5</v>
      </c>
      <c r="AE608" s="107">
        <v>287</v>
      </c>
      <c r="AF608" s="107">
        <v>57.5</v>
      </c>
      <c r="AG608" s="107">
        <f>COUNTIFS(F:F,"Culled",A:A,LEFT(A608,LEN(A608)-3)&amp;"*")/COUNTIF(A:A,LEFT(A608,LEN(A608)-3)&amp;"*")*100</f>
        <v>0</v>
      </c>
      <c r="AH608" s="108">
        <f>(AD608-AF608)/(D608*$K$1*2)%</f>
        <v>10.238636363636363</v>
      </c>
      <c r="AI608" s="108">
        <f>(AE608+AF608)/(D608*$K$1*2)%</f>
        <v>3.9147727272727271</v>
      </c>
    </row>
    <row r="609" spans="1:36" ht="15.75" hidden="1" customHeight="1">
      <c r="A609" s="107" t="s">
        <v>887</v>
      </c>
      <c r="B609" s="238">
        <v>44047</v>
      </c>
      <c r="C609" s="224">
        <v>10000</v>
      </c>
      <c r="D609" s="107">
        <f>COUNTA(G609:Z609)*0.5</f>
        <v>8</v>
      </c>
      <c r="F609" s="107" t="s">
        <v>263</v>
      </c>
      <c r="G609" s="239">
        <v>44047</v>
      </c>
      <c r="H609" s="239">
        <v>44047</v>
      </c>
      <c r="I609" s="239">
        <v>44047</v>
      </c>
      <c r="J609" s="225">
        <v>44083</v>
      </c>
      <c r="K609" s="225">
        <v>44085</v>
      </c>
      <c r="L609" s="239">
        <v>44057</v>
      </c>
      <c r="M609" s="239">
        <v>44061</v>
      </c>
      <c r="N609" s="178" t="s">
        <v>375</v>
      </c>
      <c r="O609" s="239">
        <v>44064</v>
      </c>
      <c r="P609" s="239">
        <v>44064</v>
      </c>
      <c r="Q609" s="239">
        <v>44064</v>
      </c>
      <c r="R609" s="239">
        <v>44067</v>
      </c>
      <c r="S609" s="239">
        <v>44069</v>
      </c>
      <c r="T609" s="239">
        <v>44069</v>
      </c>
      <c r="U609" s="239">
        <v>44071</v>
      </c>
      <c r="V609" s="239">
        <v>44071</v>
      </c>
      <c r="W609" s="179"/>
      <c r="X609" s="179"/>
      <c r="Y609" s="179"/>
      <c r="AA609" s="166">
        <v>44022</v>
      </c>
      <c r="AB609" s="109">
        <f>_xlfn.DAYS(AA609,B609)</f>
        <v>-25</v>
      </c>
      <c r="AC609" s="107">
        <f>AVERAGE(9/10,11/12)*100</f>
        <v>90.833333333333329</v>
      </c>
      <c r="AD609" s="107">
        <v>893</v>
      </c>
      <c r="AE609" s="107">
        <v>262</v>
      </c>
      <c r="AF609" s="107">
        <v>54</v>
      </c>
      <c r="AG609" s="107">
        <f>COUNTIFS(F:F,"Culled",A:A,LEFT(A609,LEN(A609)-3)&amp;"*")/COUNTIF(A:A,LEFT(A609,LEN(A609)-3)&amp;"*")*100</f>
        <v>0</v>
      </c>
      <c r="AH609" s="108">
        <f>(AD609-AF609)/(D609*$K$1*2)%</f>
        <v>9.5340909090909083</v>
      </c>
      <c r="AI609" s="108">
        <f>(AE609+AF609)/(D609*$K$1*2)%</f>
        <v>3.5909090909090908</v>
      </c>
    </row>
    <row r="610" spans="1:36" ht="15.75" hidden="1" customHeight="1">
      <c r="A610" s="10" t="s">
        <v>888</v>
      </c>
      <c r="B610" s="229">
        <v>43987</v>
      </c>
      <c r="C610" s="10">
        <v>10000</v>
      </c>
      <c r="D610" s="10">
        <v>7.5</v>
      </c>
      <c r="E610" s="10"/>
      <c r="F610" s="107" t="s">
        <v>263</v>
      </c>
      <c r="G610" s="107"/>
      <c r="H610" s="107"/>
      <c r="I610" s="107"/>
      <c r="J610" s="107"/>
      <c r="K610" s="107"/>
      <c r="L610" s="107"/>
      <c r="M610" s="107"/>
      <c r="N610" s="107"/>
      <c r="O610" s="107"/>
      <c r="P610" s="107"/>
      <c r="Q610" s="107"/>
      <c r="R610" s="107"/>
      <c r="S610" s="107"/>
      <c r="T610" s="107"/>
      <c r="U610" s="107"/>
      <c r="V610" s="107"/>
      <c r="W610" s="107"/>
      <c r="X610" s="107"/>
      <c r="Y610" s="107"/>
      <c r="Z610" s="107"/>
      <c r="AA610" s="166">
        <v>44022</v>
      </c>
      <c r="AB610" s="109">
        <f>_xlfn.DAYS(AA610,B610)</f>
        <v>35</v>
      </c>
      <c r="AC610" s="110">
        <f>AVERAGE(5/22,6/18)</f>
        <v>0.28030303030303028</v>
      </c>
      <c r="AD610" s="110">
        <v>1045.5</v>
      </c>
      <c r="AE610" s="110">
        <v>422.5</v>
      </c>
      <c r="AF610" s="110">
        <v>8.5</v>
      </c>
      <c r="AG610" s="110">
        <v>20</v>
      </c>
      <c r="AH610" s="108">
        <f>(AD610-AF610)/(D610*$K$1*2)%</f>
        <v>12.56969696969697</v>
      </c>
      <c r="AI610" s="108">
        <f>(AE610+AF610)/(D610*$K$1*2)%</f>
        <v>5.2242424242424246</v>
      </c>
      <c r="AJ610" s="110"/>
    </row>
    <row r="611" spans="1:36" ht="15.75" hidden="1" customHeight="1">
      <c r="A611" s="10" t="s">
        <v>889</v>
      </c>
      <c r="B611" s="229">
        <v>43987</v>
      </c>
      <c r="C611" s="10">
        <v>10000</v>
      </c>
      <c r="D611" s="10">
        <v>6</v>
      </c>
      <c r="E611" s="10"/>
      <c r="F611" s="107" t="s">
        <v>263</v>
      </c>
      <c r="G611" s="107"/>
      <c r="H611" s="107"/>
      <c r="I611" s="107"/>
      <c r="J611" s="107"/>
      <c r="K611" s="107"/>
      <c r="L611" s="107"/>
      <c r="M611" s="107"/>
      <c r="N611" s="107"/>
      <c r="O611" s="107"/>
      <c r="P611" s="107"/>
      <c r="Q611" s="107"/>
      <c r="R611" s="107"/>
      <c r="S611" s="107"/>
      <c r="T611" s="107"/>
      <c r="U611" s="107"/>
      <c r="V611" s="107"/>
      <c r="W611" s="107"/>
      <c r="X611" s="107"/>
      <c r="Y611" s="107"/>
      <c r="Z611" s="107"/>
      <c r="AA611" s="166">
        <v>44022</v>
      </c>
      <c r="AB611" s="109">
        <f>_xlfn.DAYS(AA611,B611)</f>
        <v>35</v>
      </c>
      <c r="AC611" s="110">
        <f>AVERAGE(9/19,7/20)</f>
        <v>0.4118421052631579</v>
      </c>
      <c r="AD611" s="110">
        <v>981</v>
      </c>
      <c r="AE611" s="110">
        <v>385</v>
      </c>
      <c r="AF611" s="110">
        <v>0</v>
      </c>
      <c r="AG611" s="110">
        <v>20</v>
      </c>
      <c r="AH611" s="108">
        <f>(AD611-AF611)/(D611*$K$1*2)%</f>
        <v>14.863636363636363</v>
      </c>
      <c r="AI611" s="108">
        <f>(AE611+AF611)/(D611*$K$1*2)%</f>
        <v>5.833333333333333</v>
      </c>
      <c r="AJ611" s="110"/>
    </row>
    <row r="612" spans="1:36" ht="15.75" hidden="1" customHeight="1">
      <c r="A612" s="10" t="s">
        <v>890</v>
      </c>
      <c r="B612" s="229">
        <v>43987</v>
      </c>
      <c r="C612" s="10">
        <v>10000</v>
      </c>
      <c r="D612" s="10">
        <v>6.5</v>
      </c>
      <c r="E612" s="10"/>
      <c r="F612" s="107" t="s">
        <v>263</v>
      </c>
      <c r="G612" s="107"/>
      <c r="H612" s="107"/>
      <c r="I612" s="107"/>
      <c r="J612" s="107"/>
      <c r="K612" s="107"/>
      <c r="L612" s="107"/>
      <c r="M612" s="107"/>
      <c r="N612" s="107"/>
      <c r="O612" s="107"/>
      <c r="P612" s="107"/>
      <c r="Q612" s="107"/>
      <c r="R612" s="107"/>
      <c r="S612" s="107"/>
      <c r="T612" s="107"/>
      <c r="U612" s="107"/>
      <c r="V612" s="107"/>
      <c r="W612" s="107"/>
      <c r="X612" s="107"/>
      <c r="Y612" s="107"/>
      <c r="Z612" s="107"/>
      <c r="AA612" s="166">
        <v>44022</v>
      </c>
      <c r="AB612" s="109">
        <f>_xlfn.DAYS(AA612,B612)</f>
        <v>35</v>
      </c>
      <c r="AC612" s="110">
        <f>AVERAGE(7/13,15/28)</f>
        <v>0.53708791208791207</v>
      </c>
      <c r="AD612" s="110">
        <v>859</v>
      </c>
      <c r="AE612" s="110">
        <v>350</v>
      </c>
      <c r="AF612" s="110">
        <v>0</v>
      </c>
      <c r="AG612" s="110">
        <v>20</v>
      </c>
      <c r="AH612" s="108">
        <f>(AD612-AF612)/(D612*$K$1*2)%</f>
        <v>12.013986013986013</v>
      </c>
      <c r="AI612" s="108">
        <f>(AE612+AF612)/(D612*$K$1*2)%</f>
        <v>4.895104895104895</v>
      </c>
      <c r="AJ612" s="110"/>
    </row>
    <row r="613" spans="1:36" ht="15.75" hidden="1" customHeight="1">
      <c r="A613" s="10" t="s">
        <v>891</v>
      </c>
      <c r="B613" s="229">
        <v>43987</v>
      </c>
      <c r="C613" s="10">
        <v>10000</v>
      </c>
      <c r="D613" s="10">
        <v>6</v>
      </c>
      <c r="E613" s="10"/>
      <c r="F613" s="107" t="s">
        <v>263</v>
      </c>
      <c r="G613" s="107"/>
      <c r="H613" s="107"/>
      <c r="I613" s="107"/>
      <c r="J613" s="107"/>
      <c r="K613" s="107"/>
      <c r="L613" s="107"/>
      <c r="M613" s="107"/>
      <c r="N613" s="107"/>
      <c r="O613" s="107"/>
      <c r="P613" s="107"/>
      <c r="Q613" s="107"/>
      <c r="R613" s="107"/>
      <c r="S613" s="107"/>
      <c r="T613" s="107"/>
      <c r="U613" s="107"/>
      <c r="V613" s="107"/>
      <c r="W613" s="107"/>
      <c r="X613" s="107"/>
      <c r="Y613" s="107"/>
      <c r="Z613" s="107"/>
      <c r="AA613" s="166">
        <v>44022</v>
      </c>
      <c r="AB613" s="109">
        <f>_xlfn.DAYS(AA613,B613)</f>
        <v>35</v>
      </c>
      <c r="AC613" s="110">
        <f>AVERAGE(8/14,19/37)</f>
        <v>0.54247104247104239</v>
      </c>
      <c r="AD613" s="110">
        <v>950</v>
      </c>
      <c r="AE613" s="110">
        <v>357</v>
      </c>
      <c r="AF613" s="110">
        <v>0</v>
      </c>
      <c r="AG613" s="110">
        <v>20</v>
      </c>
      <c r="AH613" s="108">
        <f>(AD613-AF613)/(D613*$K$1*2)%</f>
        <v>14.393939393939394</v>
      </c>
      <c r="AI613" s="108">
        <f>(AE613+AF613)/(D613*$K$1*2)%</f>
        <v>5.4090909090909092</v>
      </c>
      <c r="AJ613" s="110"/>
    </row>
    <row r="614" spans="1:36" ht="15.75" hidden="1" customHeight="1">
      <c r="A614" s="110" t="s">
        <v>892</v>
      </c>
      <c r="B614" s="229">
        <v>43903</v>
      </c>
      <c r="C614" s="110">
        <v>10000</v>
      </c>
      <c r="D614" s="110">
        <v>9.5</v>
      </c>
      <c r="E614" s="110"/>
      <c r="F614" s="107" t="s">
        <v>263</v>
      </c>
      <c r="G614" s="107"/>
      <c r="H614" s="107"/>
      <c r="I614" s="107"/>
      <c r="J614" s="107"/>
      <c r="K614" s="107"/>
      <c r="L614" s="107"/>
      <c r="M614" s="107"/>
      <c r="N614" s="107"/>
      <c r="O614" s="107"/>
      <c r="P614" s="107"/>
      <c r="Q614" s="107"/>
      <c r="R614" s="107"/>
      <c r="S614" s="107"/>
      <c r="T614" s="107"/>
      <c r="U614" s="107"/>
      <c r="V614" s="107"/>
      <c r="W614" s="107"/>
      <c r="X614" s="107"/>
      <c r="Y614" s="107"/>
      <c r="Z614" s="107"/>
      <c r="AA614" s="166">
        <v>44022</v>
      </c>
      <c r="AB614" s="109">
        <f>_xlfn.DAYS(AA614,B614)</f>
        <v>119</v>
      </c>
      <c r="AC614" s="110">
        <v>35</v>
      </c>
      <c r="AD614" s="110">
        <v>1400.5</v>
      </c>
      <c r="AE614" s="110">
        <v>306.5</v>
      </c>
      <c r="AF614" s="110">
        <v>71.5</v>
      </c>
      <c r="AG614" s="10">
        <v>0</v>
      </c>
      <c r="AH614" s="108">
        <f>(AD614-AF614)/(D614*$K$1*2)%</f>
        <v>12.717703349282298</v>
      </c>
      <c r="AI614" s="108">
        <f>(AE614+AF614)/(D614*$K$1*2)%</f>
        <v>3.6172248803827749</v>
      </c>
      <c r="AJ614" s="110"/>
    </row>
    <row r="615" spans="1:36" ht="15.75" hidden="1" customHeight="1">
      <c r="A615" s="110" t="s">
        <v>893</v>
      </c>
      <c r="B615" s="229">
        <v>43903</v>
      </c>
      <c r="C615" s="110">
        <v>10000</v>
      </c>
      <c r="D615" s="110">
        <v>10</v>
      </c>
      <c r="E615" s="110"/>
      <c r="F615" s="107" t="s">
        <v>263</v>
      </c>
      <c r="G615" s="107"/>
      <c r="H615" s="107"/>
      <c r="I615" s="107"/>
      <c r="J615" s="107"/>
      <c r="K615" s="107"/>
      <c r="L615" s="107"/>
      <c r="M615" s="107"/>
      <c r="N615" s="107"/>
      <c r="O615" s="107"/>
      <c r="P615" s="107"/>
      <c r="Q615" s="107"/>
      <c r="R615" s="107"/>
      <c r="S615" s="107"/>
      <c r="T615" s="107"/>
      <c r="U615" s="107"/>
      <c r="V615" s="107"/>
      <c r="W615" s="107"/>
      <c r="X615" s="107"/>
      <c r="Y615" s="107"/>
      <c r="Z615" s="107"/>
      <c r="AA615" s="166">
        <v>44022</v>
      </c>
      <c r="AB615" s="109">
        <f>_xlfn.DAYS(AA615,B615)</f>
        <v>119</v>
      </c>
      <c r="AC615" s="110">
        <v>35</v>
      </c>
      <c r="AD615" s="110">
        <v>1416</v>
      </c>
      <c r="AE615" s="110">
        <v>529</v>
      </c>
      <c r="AF615" s="110">
        <v>67</v>
      </c>
      <c r="AG615" s="110">
        <v>0</v>
      </c>
      <c r="AH615" s="108">
        <f>(AD615-AF615)/(D615*$K$1*2)%</f>
        <v>12.263636363636364</v>
      </c>
      <c r="AI615" s="108">
        <f>(AE615+AF615)/(D615*$K$1*2)%</f>
        <v>5.418181818181818</v>
      </c>
      <c r="AJ615" s="110"/>
    </row>
    <row r="616" spans="1:36" ht="15.75" hidden="1" customHeight="1">
      <c r="A616" s="110" t="s">
        <v>894</v>
      </c>
      <c r="B616" s="229">
        <v>44029</v>
      </c>
      <c r="C616" s="110">
        <v>10000</v>
      </c>
      <c r="D616" s="110">
        <v>7</v>
      </c>
      <c r="E616" s="110"/>
      <c r="F616" s="107" t="s">
        <v>323</v>
      </c>
      <c r="G616" s="107"/>
      <c r="H616" s="107"/>
      <c r="I616" s="107"/>
      <c r="J616" s="107"/>
      <c r="K616" s="107"/>
      <c r="L616" s="107"/>
      <c r="M616" s="107"/>
      <c r="N616" s="107"/>
      <c r="O616" s="107"/>
      <c r="P616" s="107"/>
      <c r="Q616" s="107"/>
      <c r="R616" s="107"/>
      <c r="S616" s="107"/>
      <c r="T616" s="107"/>
      <c r="U616" s="107"/>
      <c r="V616" s="107"/>
      <c r="W616" s="107"/>
      <c r="X616" s="107"/>
      <c r="Y616" s="107"/>
      <c r="Z616" s="107"/>
      <c r="AA616" s="167"/>
      <c r="AB616" s="109">
        <f>_xlfn.DAYS(AA616,B616)</f>
        <v>-44029</v>
      </c>
      <c r="AC616" s="110"/>
      <c r="AD616" s="110"/>
      <c r="AE616" s="110"/>
      <c r="AF616" s="110"/>
      <c r="AG616" s="107">
        <f>COUNTIFS(F:F,"Culled",A:A,LEFT(A616,LEN(A616)-3)&amp;"*")/COUNTIF(A:A,LEFT(A616,LEN(A616)-3)&amp;"*")</f>
        <v>0.375</v>
      </c>
      <c r="AH616" s="107"/>
    </row>
    <row r="617" spans="1:36" ht="15.75" hidden="1" customHeight="1">
      <c r="A617" s="110" t="s">
        <v>895</v>
      </c>
      <c r="B617" s="229">
        <v>44029</v>
      </c>
      <c r="C617" s="110">
        <v>10000</v>
      </c>
      <c r="D617" s="110">
        <v>7</v>
      </c>
      <c r="E617" s="110"/>
      <c r="F617" s="107" t="s">
        <v>323</v>
      </c>
      <c r="G617" s="107"/>
      <c r="H617" s="107"/>
      <c r="I617" s="107"/>
      <c r="J617" s="107"/>
      <c r="K617" s="107"/>
      <c r="L617" s="107"/>
      <c r="M617" s="107"/>
      <c r="N617" s="107"/>
      <c r="O617" s="107"/>
      <c r="P617" s="107"/>
      <c r="Q617" s="107"/>
      <c r="R617" s="107"/>
      <c r="S617" s="107"/>
      <c r="T617" s="107"/>
      <c r="U617" s="107"/>
      <c r="V617" s="107"/>
      <c r="W617" s="107"/>
      <c r="X617" s="107"/>
      <c r="Y617" s="107"/>
      <c r="Z617" s="107"/>
      <c r="AA617" s="167"/>
      <c r="AB617" s="109">
        <f>_xlfn.DAYS(AA617,B617)</f>
        <v>-44029</v>
      </c>
      <c r="AC617" s="110"/>
      <c r="AD617" s="110"/>
      <c r="AE617" s="110"/>
      <c r="AF617" s="110"/>
      <c r="AG617" s="107">
        <f>COUNTIFS(F:F,"Culled",A:A,LEFT(A617,LEN(A617)-3)&amp;"*")/COUNTIF(A:A,LEFT(A617,LEN(A617)-3)&amp;"*")</f>
        <v>0.375</v>
      </c>
      <c r="AH617" s="107"/>
    </row>
    <row r="618" spans="1:36" ht="15.75" hidden="1" customHeight="1">
      <c r="A618" s="110" t="s">
        <v>896</v>
      </c>
      <c r="B618" s="229">
        <v>44034</v>
      </c>
      <c r="C618" s="110">
        <v>10000</v>
      </c>
      <c r="D618" s="110">
        <v>6</v>
      </c>
      <c r="E618" s="110"/>
      <c r="F618" s="107" t="s">
        <v>323</v>
      </c>
      <c r="G618" s="107"/>
      <c r="H618" s="107"/>
      <c r="I618" s="107"/>
      <c r="J618" s="107"/>
      <c r="K618" s="107"/>
      <c r="L618" s="107"/>
      <c r="M618" s="107"/>
      <c r="N618" s="107"/>
      <c r="O618" s="107"/>
      <c r="P618" s="107"/>
      <c r="Q618" s="107"/>
      <c r="R618" s="107"/>
      <c r="S618" s="107"/>
      <c r="T618" s="107"/>
      <c r="U618" s="107"/>
      <c r="V618" s="107"/>
      <c r="W618" s="107"/>
      <c r="X618" s="107"/>
      <c r="Y618" s="107"/>
      <c r="Z618" s="107"/>
      <c r="AA618" s="167"/>
      <c r="AB618" s="109">
        <f>_xlfn.DAYS(AA618,B618)</f>
        <v>-44034</v>
      </c>
      <c r="AC618" s="110"/>
      <c r="AD618" s="110"/>
      <c r="AE618" s="110"/>
      <c r="AF618" s="110"/>
      <c r="AG618" s="107">
        <f>COUNTIFS(F:F,"Culled",A:A,LEFT(A618,LEN(A618)-3)&amp;"*")/COUNTIF(A:A,LEFT(A618,LEN(A618)-3)&amp;"*")*100</f>
        <v>100</v>
      </c>
      <c r="AH618" s="107"/>
    </row>
    <row r="619" spans="1:36" ht="15.75" hidden="1" customHeight="1">
      <c r="A619" s="10" t="s">
        <v>572</v>
      </c>
      <c r="B619" s="229">
        <v>44034</v>
      </c>
      <c r="C619" s="10">
        <v>10000</v>
      </c>
      <c r="D619" s="10">
        <v>6</v>
      </c>
      <c r="E619" s="10"/>
      <c r="F619" s="107" t="s">
        <v>323</v>
      </c>
      <c r="G619" s="107"/>
      <c r="H619" s="107"/>
      <c r="I619" s="107"/>
      <c r="J619" s="107"/>
      <c r="K619" s="107"/>
      <c r="L619" s="107"/>
      <c r="M619" s="107"/>
      <c r="N619" s="107"/>
      <c r="O619" s="107"/>
      <c r="P619" s="107"/>
      <c r="Q619" s="107"/>
      <c r="R619" s="107"/>
      <c r="S619" s="107"/>
      <c r="T619" s="107"/>
      <c r="U619" s="107"/>
      <c r="V619" s="107"/>
      <c r="W619" s="107"/>
      <c r="X619" s="107"/>
      <c r="Y619" s="107"/>
      <c r="Z619" s="107"/>
      <c r="AG619" s="107">
        <f>COUNTIFS(F:F,"Culled",A:A,LEFT(A619,LEN(A619)-3)&amp;"*")/COUNTIF(A:A,LEFT(A619,LEN(A619)-3)&amp;"*")*100</f>
        <v>100</v>
      </c>
      <c r="AH619" s="107"/>
    </row>
    <row r="620" spans="1:36" ht="15.75" hidden="1" customHeight="1">
      <c r="A620" s="110" t="s">
        <v>897</v>
      </c>
      <c r="B620" s="229">
        <v>44034</v>
      </c>
      <c r="C620" s="110">
        <v>10000</v>
      </c>
      <c r="D620" s="110">
        <v>6</v>
      </c>
      <c r="E620" s="110"/>
      <c r="F620" s="107" t="s">
        <v>323</v>
      </c>
      <c r="G620" s="107"/>
      <c r="H620" s="107"/>
      <c r="I620" s="107"/>
      <c r="J620" s="107"/>
      <c r="K620" s="107"/>
      <c r="L620" s="107"/>
      <c r="M620" s="107"/>
      <c r="N620" s="107"/>
      <c r="O620" s="107"/>
      <c r="P620" s="107"/>
      <c r="Q620" s="107"/>
      <c r="R620" s="107"/>
      <c r="S620" s="107"/>
      <c r="T620" s="107"/>
      <c r="U620" s="107"/>
      <c r="V620" s="107"/>
      <c r="W620" s="107"/>
      <c r="X620" s="107"/>
      <c r="Y620" s="107"/>
      <c r="Z620" s="107"/>
      <c r="AA620" s="167"/>
      <c r="AB620" s="109">
        <f>_xlfn.DAYS(AA620,B620)</f>
        <v>-44034</v>
      </c>
      <c r="AC620" s="110"/>
      <c r="AD620" s="110"/>
      <c r="AE620" s="110"/>
      <c r="AF620" s="110"/>
      <c r="AG620" s="107">
        <f>COUNTIFS(F:F,"Culled",A:A,LEFT(A620,LEN(A620)-3)&amp;"*")/COUNTIF(A:A,LEFT(A620,LEN(A620)-3)&amp;"*")*100</f>
        <v>100</v>
      </c>
      <c r="AH620" s="107"/>
    </row>
    <row r="621" spans="1:36" ht="15.75" hidden="1" customHeight="1">
      <c r="A621" s="110" t="s">
        <v>898</v>
      </c>
      <c r="B621" s="229">
        <v>44032</v>
      </c>
      <c r="C621" s="110">
        <v>10000</v>
      </c>
      <c r="D621" s="236">
        <v>9</v>
      </c>
      <c r="E621" s="236"/>
      <c r="F621" s="107" t="s">
        <v>323</v>
      </c>
      <c r="G621" s="107"/>
      <c r="H621" s="107"/>
      <c r="I621" s="107"/>
      <c r="J621" s="107"/>
      <c r="K621" s="107"/>
      <c r="L621" s="107"/>
      <c r="M621" s="107"/>
      <c r="N621" s="107"/>
      <c r="O621" s="107"/>
      <c r="P621" s="107"/>
      <c r="Q621" s="107"/>
      <c r="R621" s="107"/>
      <c r="S621" s="107"/>
      <c r="T621" s="107"/>
      <c r="U621" s="107"/>
      <c r="V621" s="107"/>
      <c r="W621" s="107"/>
      <c r="X621" s="107"/>
      <c r="Y621" s="107"/>
      <c r="Z621" s="107"/>
      <c r="AA621" s="167"/>
      <c r="AB621" s="109">
        <f>_xlfn.DAYS(AA621,B621)</f>
        <v>-44032</v>
      </c>
      <c r="AC621" s="110"/>
      <c r="AD621" s="110"/>
      <c r="AE621" s="110"/>
      <c r="AF621" s="110"/>
      <c r="AG621" s="107">
        <f>COUNTIFS(F:F,"Culled",A:A,LEFT(A621,LEN(A621)-3)&amp;"*")/COUNTIF(A:A,LEFT(A621,LEN(A621)-3)&amp;"*")*100</f>
        <v>100</v>
      </c>
      <c r="AH621" s="107"/>
    </row>
    <row r="622" spans="1:36" ht="15.75" hidden="1" customHeight="1">
      <c r="A622" s="110" t="s">
        <v>899</v>
      </c>
      <c r="B622" s="229">
        <v>44032</v>
      </c>
      <c r="C622" s="110">
        <v>10000</v>
      </c>
      <c r="D622" s="236">
        <v>9</v>
      </c>
      <c r="E622" s="236"/>
      <c r="F622" s="107" t="s">
        <v>323</v>
      </c>
      <c r="G622" s="107"/>
      <c r="H622" s="107"/>
      <c r="I622" s="107"/>
      <c r="J622" s="107"/>
      <c r="K622" s="107"/>
      <c r="L622" s="107"/>
      <c r="M622" s="107"/>
      <c r="N622" s="107"/>
      <c r="O622" s="107"/>
      <c r="P622" s="107"/>
      <c r="Q622" s="107"/>
      <c r="R622" s="107"/>
      <c r="S622" s="107"/>
      <c r="T622" s="107"/>
      <c r="U622" s="107"/>
      <c r="V622" s="107"/>
      <c r="W622" s="107"/>
      <c r="X622" s="107"/>
      <c r="Y622" s="107"/>
      <c r="Z622" s="107"/>
      <c r="AA622" s="167"/>
      <c r="AB622" s="109">
        <f>_xlfn.DAYS(AA622,B622)</f>
        <v>-44032</v>
      </c>
      <c r="AC622" s="110"/>
      <c r="AD622" s="110"/>
      <c r="AE622" s="110"/>
      <c r="AF622" s="110"/>
      <c r="AG622" s="107">
        <f>COUNTIFS(F:F,"Culled",A:A,LEFT(A622,LEN(A622)-3)&amp;"*")/COUNTIF(A:A,LEFT(A622,LEN(A622)-3)&amp;"*")*100</f>
        <v>100</v>
      </c>
      <c r="AH622" s="107"/>
    </row>
    <row r="623" spans="1:36" ht="15.75" hidden="1" customHeight="1">
      <c r="A623" s="110" t="s">
        <v>900</v>
      </c>
      <c r="B623" s="229">
        <v>44032</v>
      </c>
      <c r="C623" s="110">
        <v>10000</v>
      </c>
      <c r="D623" s="236">
        <v>9</v>
      </c>
      <c r="E623" s="236"/>
      <c r="F623" s="107" t="s">
        <v>323</v>
      </c>
      <c r="G623" s="107"/>
      <c r="H623" s="107"/>
      <c r="I623" s="107"/>
      <c r="J623" s="107"/>
      <c r="K623" s="107"/>
      <c r="L623" s="107"/>
      <c r="M623" s="107"/>
      <c r="N623" s="107"/>
      <c r="O623" s="107"/>
      <c r="P623" s="107"/>
      <c r="Q623" s="107"/>
      <c r="R623" s="107"/>
      <c r="S623" s="107"/>
      <c r="T623" s="107"/>
      <c r="U623" s="107"/>
      <c r="V623" s="107"/>
      <c r="W623" s="107"/>
      <c r="X623" s="107"/>
      <c r="Y623" s="107"/>
      <c r="Z623" s="107"/>
      <c r="AA623" s="167"/>
      <c r="AB623" s="109">
        <f>_xlfn.DAYS(AA623,B623)</f>
        <v>-44032</v>
      </c>
      <c r="AC623" s="110"/>
      <c r="AD623" s="110"/>
      <c r="AE623" s="110"/>
      <c r="AF623" s="110"/>
      <c r="AG623" s="107">
        <f>COUNTIFS(F:F,"Culled",A:A,LEFT(A623,LEN(A623)-3)&amp;"*")/COUNTIF(A:A,LEFT(A623,LEN(A623)-3)&amp;"*")*100</f>
        <v>100</v>
      </c>
      <c r="AH623" s="107"/>
    </row>
    <row r="624" spans="1:36" ht="15.75" hidden="1" customHeight="1">
      <c r="A624" s="110" t="s">
        <v>901</v>
      </c>
      <c r="B624" s="229">
        <v>44034</v>
      </c>
      <c r="C624" s="110">
        <v>10000</v>
      </c>
      <c r="D624" s="236">
        <v>4.5</v>
      </c>
      <c r="E624" s="236"/>
      <c r="F624" s="107" t="s">
        <v>323</v>
      </c>
      <c r="G624" s="107"/>
      <c r="H624" s="107"/>
      <c r="I624" s="107"/>
      <c r="J624" s="107"/>
      <c r="K624" s="107"/>
      <c r="L624" s="107"/>
      <c r="M624" s="107"/>
      <c r="N624" s="107"/>
      <c r="O624" s="107"/>
      <c r="P624" s="107"/>
      <c r="Q624" s="107"/>
      <c r="R624" s="107"/>
      <c r="S624" s="107"/>
      <c r="T624" s="107"/>
      <c r="U624" s="107"/>
      <c r="V624" s="107"/>
      <c r="W624" s="107"/>
      <c r="X624" s="107"/>
      <c r="Y624" s="107"/>
      <c r="Z624" s="107"/>
      <c r="AA624" s="167"/>
      <c r="AB624" s="109">
        <f>_xlfn.DAYS(AA624,B624)</f>
        <v>-44034</v>
      </c>
      <c r="AC624" s="110"/>
      <c r="AD624" s="110"/>
      <c r="AE624" s="110"/>
      <c r="AF624" s="110"/>
      <c r="AG624" s="107">
        <f>COUNTIFS(F:F,"Culled",A:A,LEFT(A624,LEN(A624)-3)&amp;"*")/COUNTIF(A:A,LEFT(A624,LEN(A624)-3)&amp;"*")*100</f>
        <v>100</v>
      </c>
      <c r="AH624" s="107"/>
    </row>
    <row r="625" spans="1:36" ht="15.75" hidden="1" customHeight="1">
      <c r="A625" s="110" t="s">
        <v>902</v>
      </c>
      <c r="B625" s="229">
        <v>44034</v>
      </c>
      <c r="C625" s="110">
        <v>10000</v>
      </c>
      <c r="D625" s="236">
        <v>5</v>
      </c>
      <c r="E625" s="236"/>
      <c r="F625" s="107" t="s">
        <v>323</v>
      </c>
      <c r="G625" s="107"/>
      <c r="H625" s="107"/>
      <c r="I625" s="107"/>
      <c r="J625" s="107"/>
      <c r="K625" s="107"/>
      <c r="L625" s="107"/>
      <c r="M625" s="107"/>
      <c r="N625" s="107"/>
      <c r="O625" s="107"/>
      <c r="P625" s="107"/>
      <c r="Q625" s="107"/>
      <c r="R625" s="107"/>
      <c r="S625" s="107"/>
      <c r="T625" s="107"/>
      <c r="U625" s="107"/>
      <c r="V625" s="107"/>
      <c r="W625" s="107"/>
      <c r="X625" s="107"/>
      <c r="Y625" s="107"/>
      <c r="Z625" s="107"/>
      <c r="AA625" s="167"/>
      <c r="AB625" s="109">
        <f>_xlfn.DAYS(AA625,B625)</f>
        <v>-44034</v>
      </c>
      <c r="AC625" s="110"/>
      <c r="AD625" s="110"/>
      <c r="AE625" s="110"/>
      <c r="AF625" s="110"/>
      <c r="AG625" s="107">
        <f>COUNTIFS(F:F,"Culled",A:A,LEFT(A625,LEN(A625)-3)&amp;"*")/COUNTIF(A:A,LEFT(A625,LEN(A625)-3)&amp;"*")*100</f>
        <v>100</v>
      </c>
      <c r="AH625" s="107"/>
    </row>
    <row r="626" spans="1:36" ht="15.75" hidden="1" customHeight="1">
      <c r="A626" s="110" t="s">
        <v>903</v>
      </c>
      <c r="B626" s="229">
        <v>44034</v>
      </c>
      <c r="C626" s="110">
        <v>10000</v>
      </c>
      <c r="D626" s="236">
        <v>4.5</v>
      </c>
      <c r="E626" s="236"/>
      <c r="F626" s="107" t="s">
        <v>323</v>
      </c>
      <c r="G626" s="107"/>
      <c r="H626" s="107"/>
      <c r="I626" s="107"/>
      <c r="J626" s="107"/>
      <c r="K626" s="107"/>
      <c r="L626" s="107"/>
      <c r="M626" s="107"/>
      <c r="N626" s="107"/>
      <c r="O626" s="107"/>
      <c r="P626" s="107"/>
      <c r="Q626" s="107"/>
      <c r="R626" s="107"/>
      <c r="S626" s="107"/>
      <c r="T626" s="107"/>
      <c r="U626" s="107"/>
      <c r="V626" s="107"/>
      <c r="W626" s="107"/>
      <c r="X626" s="107"/>
      <c r="Y626" s="107"/>
      <c r="Z626" s="107"/>
      <c r="AA626" s="167"/>
      <c r="AB626" s="109">
        <f>_xlfn.DAYS(AA626,B626)</f>
        <v>-44034</v>
      </c>
      <c r="AC626" s="110"/>
      <c r="AD626" s="110"/>
      <c r="AE626" s="110"/>
      <c r="AF626" s="110"/>
      <c r="AG626" s="107">
        <f>COUNTIFS(F:F,"Culled",A:A,LEFT(A626,LEN(A626)-3)&amp;"*")/COUNTIF(A:A,LEFT(A626,LEN(A626)-3)&amp;"*")*100</f>
        <v>100</v>
      </c>
      <c r="AH626" s="107"/>
    </row>
    <row r="627" spans="1:36" ht="15.75" hidden="1" customHeight="1">
      <c r="A627" s="110" t="s">
        <v>904</v>
      </c>
      <c r="B627" s="229">
        <v>43903</v>
      </c>
      <c r="C627" s="110">
        <v>10000</v>
      </c>
      <c r="D627" s="110">
        <v>10</v>
      </c>
      <c r="E627" s="110"/>
      <c r="F627" s="107" t="s">
        <v>263</v>
      </c>
      <c r="I627" s="107"/>
      <c r="J627" s="107"/>
      <c r="K627" s="107"/>
      <c r="L627" s="107"/>
      <c r="M627" s="107"/>
      <c r="N627" s="107"/>
      <c r="O627" s="107"/>
      <c r="P627" s="107"/>
      <c r="Q627" s="107"/>
      <c r="R627" s="107"/>
      <c r="S627" s="107"/>
      <c r="T627" s="107"/>
      <c r="U627" s="107"/>
      <c r="V627" s="107"/>
      <c r="W627" s="107"/>
      <c r="X627" s="107"/>
      <c r="Y627" s="107"/>
      <c r="Z627" s="107"/>
      <c r="AA627" s="166">
        <v>44022</v>
      </c>
      <c r="AB627" s="109">
        <f>_xlfn.DAYS(AA627,B627)</f>
        <v>119</v>
      </c>
      <c r="AC627" s="110">
        <v>49</v>
      </c>
      <c r="AD627" s="110">
        <v>1373</v>
      </c>
      <c r="AE627" s="110">
        <v>262</v>
      </c>
      <c r="AF627" s="110">
        <v>74</v>
      </c>
      <c r="AG627" s="110">
        <v>0</v>
      </c>
      <c r="AH627" s="108">
        <f>(AD627-AF627)/(D627*$K$1*2)%</f>
        <v>11.809090909090909</v>
      </c>
      <c r="AI627" s="108">
        <f>(AE627+AF627)/(D627*$K$1*2)%</f>
        <v>3.0545454545454547</v>
      </c>
      <c r="AJ627" s="110"/>
    </row>
    <row r="628" spans="1:36" ht="15.75" hidden="1" customHeight="1">
      <c r="A628" s="110" t="s">
        <v>905</v>
      </c>
      <c r="B628" s="229">
        <v>43903</v>
      </c>
      <c r="C628" s="110">
        <v>10000</v>
      </c>
      <c r="D628" s="110">
        <v>10.5</v>
      </c>
      <c r="E628" s="110"/>
      <c r="F628" s="107" t="s">
        <v>263</v>
      </c>
      <c r="I628" s="107"/>
      <c r="J628" s="107"/>
      <c r="K628" s="107"/>
      <c r="L628" s="107"/>
      <c r="M628" s="107"/>
      <c r="N628" s="107"/>
      <c r="O628" s="107"/>
      <c r="P628" s="107"/>
      <c r="Q628" s="107"/>
      <c r="R628" s="107"/>
      <c r="S628" s="107"/>
      <c r="T628" s="107"/>
      <c r="U628" s="107"/>
      <c r="V628" s="107"/>
      <c r="W628" s="107"/>
      <c r="X628" s="107"/>
      <c r="Y628" s="107"/>
      <c r="Z628" s="107"/>
      <c r="AA628" s="166">
        <v>44022</v>
      </c>
      <c r="AB628" s="109">
        <f>_xlfn.DAYS(AA628,B628)</f>
        <v>119</v>
      </c>
      <c r="AC628" s="110">
        <v>27</v>
      </c>
      <c r="AD628" s="110">
        <v>1605</v>
      </c>
      <c r="AE628" s="110">
        <v>233.5</v>
      </c>
      <c r="AF628" s="110">
        <v>127</v>
      </c>
      <c r="AG628" s="110">
        <v>0</v>
      </c>
      <c r="AH628" s="108">
        <f>(AD628-AF628)/(D628*$K$1*2)%</f>
        <v>12.796536796536797</v>
      </c>
      <c r="AI628" s="108">
        <f>(AE628+AF628)/(D628*$K$1*2)%</f>
        <v>3.1212121212121211</v>
      </c>
      <c r="AJ628" s="110"/>
    </row>
    <row r="629" spans="1:36" ht="15.75" hidden="1" customHeight="1">
      <c r="A629" s="110" t="s">
        <v>906</v>
      </c>
      <c r="B629" s="229">
        <v>43903</v>
      </c>
      <c r="C629" s="110">
        <v>10000</v>
      </c>
      <c r="D629" s="110">
        <v>9.5</v>
      </c>
      <c r="E629" s="110"/>
      <c r="F629" s="107" t="s">
        <v>263</v>
      </c>
      <c r="I629" s="107"/>
      <c r="J629" s="107"/>
      <c r="K629" s="107"/>
      <c r="L629" s="107"/>
      <c r="M629" s="107"/>
      <c r="N629" s="107"/>
      <c r="O629" s="107"/>
      <c r="P629" s="107"/>
      <c r="Q629" s="107"/>
      <c r="R629" s="107"/>
      <c r="S629" s="107"/>
      <c r="T629" s="107"/>
      <c r="U629" s="107"/>
      <c r="V629" s="107"/>
      <c r="W629" s="107"/>
      <c r="X629" s="107"/>
      <c r="Y629" s="107"/>
      <c r="Z629" s="107"/>
      <c r="AA629" s="166">
        <v>44022</v>
      </c>
      <c r="AB629" s="109">
        <f>_xlfn.DAYS(AA629,B629)</f>
        <v>119</v>
      </c>
      <c r="AC629" s="110">
        <v>32</v>
      </c>
      <c r="AD629" s="110">
        <v>1263.5</v>
      </c>
      <c r="AE629" s="110">
        <v>338.5</v>
      </c>
      <c r="AF629" s="110">
        <v>152</v>
      </c>
      <c r="AG629" s="110">
        <v>0</v>
      </c>
      <c r="AH629" s="108">
        <f>(AD629-AF629)/(D629*$K$1*2)%</f>
        <v>10.636363636363637</v>
      </c>
      <c r="AI629" s="108">
        <f>(AE629+AF629)/(D629*$K$1*2)%</f>
        <v>4.6937799043062203</v>
      </c>
      <c r="AJ629" s="110"/>
    </row>
    <row r="630" spans="1:36" ht="15.75" hidden="1" customHeight="1">
      <c r="A630" s="110" t="s">
        <v>907</v>
      </c>
      <c r="B630" s="229">
        <v>43903</v>
      </c>
      <c r="C630" s="110">
        <v>10000</v>
      </c>
      <c r="D630" s="110">
        <v>10</v>
      </c>
      <c r="E630" s="110"/>
      <c r="F630" s="107" t="s">
        <v>263</v>
      </c>
      <c r="I630" s="107"/>
      <c r="J630" s="107"/>
      <c r="K630" s="107"/>
      <c r="L630" s="107"/>
      <c r="M630" s="107"/>
      <c r="N630" s="107"/>
      <c r="O630" s="107"/>
      <c r="P630" s="107"/>
      <c r="Q630" s="107"/>
      <c r="R630" s="107"/>
      <c r="S630" s="107"/>
      <c r="T630" s="107"/>
      <c r="U630" s="107"/>
      <c r="V630" s="107"/>
      <c r="W630" s="107"/>
      <c r="X630" s="107"/>
      <c r="Y630" s="107"/>
      <c r="Z630" s="107"/>
      <c r="AA630" s="166">
        <v>44022</v>
      </c>
      <c r="AB630" s="109">
        <f>_xlfn.DAYS(AA630,B630)</f>
        <v>119</v>
      </c>
      <c r="AC630" s="110">
        <v>36</v>
      </c>
      <c r="AD630" s="110">
        <v>1474.5</v>
      </c>
      <c r="AE630" s="110">
        <v>337.5</v>
      </c>
      <c r="AF630" s="110">
        <v>123.5</v>
      </c>
      <c r="AG630" s="110">
        <v>0</v>
      </c>
      <c r="AH630" s="108">
        <f>(AD630-AF630)/(D630*$K$1*2)%</f>
        <v>12.281818181818181</v>
      </c>
      <c r="AI630" s="108">
        <f>(AE630+AF630)/(D630*$K$1*2)%</f>
        <v>4.1909090909090905</v>
      </c>
      <c r="AJ630" s="110"/>
    </row>
    <row r="631" spans="1:36" ht="15.75" hidden="1" customHeight="1">
      <c r="A631" s="110" t="s">
        <v>908</v>
      </c>
      <c r="B631" s="229">
        <v>43903</v>
      </c>
      <c r="C631" s="110">
        <v>10000</v>
      </c>
      <c r="D631" s="110">
        <v>9.5</v>
      </c>
      <c r="E631" s="110"/>
      <c r="F631" s="107" t="s">
        <v>263</v>
      </c>
      <c r="I631" s="107"/>
      <c r="J631" s="107"/>
      <c r="K631" s="107"/>
      <c r="L631" s="107"/>
      <c r="M631" s="107"/>
      <c r="N631" s="107"/>
      <c r="O631" s="107"/>
      <c r="P631" s="107"/>
      <c r="Q631" s="107"/>
      <c r="R631" s="107"/>
      <c r="S631" s="107"/>
      <c r="T631" s="107"/>
      <c r="U631" s="107"/>
      <c r="V631" s="107"/>
      <c r="W631" s="107"/>
      <c r="X631" s="107"/>
      <c r="Y631" s="107"/>
      <c r="Z631" s="107"/>
      <c r="AA631" s="166">
        <v>44022</v>
      </c>
      <c r="AB631" s="109">
        <f>_xlfn.DAYS(AA631,B631)</f>
        <v>119</v>
      </c>
      <c r="AC631" s="110">
        <v>22</v>
      </c>
      <c r="AD631" s="110">
        <v>1284</v>
      </c>
      <c r="AE631" s="110">
        <v>335</v>
      </c>
      <c r="AF631" s="110">
        <v>81</v>
      </c>
      <c r="AG631" s="110">
        <v>0</v>
      </c>
      <c r="AH631" s="108">
        <f>(AD631-AF631)/(D631*$K$1*2)%</f>
        <v>11.511961722488039</v>
      </c>
      <c r="AI631" s="108">
        <f>(AE631+AF631)/(D631*$K$1*2)%</f>
        <v>3.9808612440191387</v>
      </c>
      <c r="AJ631" s="110"/>
    </row>
    <row r="632" spans="1:36" ht="15.75" hidden="1" customHeight="1">
      <c r="A632" s="110" t="s">
        <v>909</v>
      </c>
      <c r="B632" s="229">
        <v>43909</v>
      </c>
      <c r="C632" s="110">
        <v>10000</v>
      </c>
      <c r="D632" s="110">
        <v>8</v>
      </c>
      <c r="E632" s="110"/>
      <c r="F632" s="107" t="s">
        <v>263</v>
      </c>
      <c r="I632" s="107"/>
      <c r="J632" s="107"/>
      <c r="K632" s="107"/>
      <c r="L632" s="107"/>
      <c r="M632" s="107"/>
      <c r="N632" s="107"/>
      <c r="O632" s="107"/>
      <c r="P632" s="107"/>
      <c r="Q632" s="107"/>
      <c r="R632" s="107"/>
      <c r="S632" s="107"/>
      <c r="T632" s="107"/>
      <c r="U632" s="107"/>
      <c r="V632" s="107"/>
      <c r="W632" s="107"/>
      <c r="X632" s="107"/>
      <c r="Y632" s="107"/>
      <c r="Z632" s="107"/>
      <c r="AA632" s="166">
        <v>44022</v>
      </c>
      <c r="AB632" s="109">
        <f>_xlfn.DAYS(AA632,B632)</f>
        <v>113</v>
      </c>
      <c r="AC632" s="110">
        <v>50</v>
      </c>
      <c r="AD632" s="110">
        <v>1329</v>
      </c>
      <c r="AE632" s="110">
        <v>380.5</v>
      </c>
      <c r="AF632" s="110">
        <v>143</v>
      </c>
      <c r="AG632" s="110">
        <v>0</v>
      </c>
      <c r="AH632" s="108">
        <f>(AD632-AF632)/(D632*$K$1*2)%</f>
        <v>13.477272727272727</v>
      </c>
      <c r="AI632" s="108">
        <f>(AE632+AF632)/(D632*$K$1*2)%</f>
        <v>5.9488636363636367</v>
      </c>
      <c r="AJ632" s="110"/>
    </row>
    <row r="633" spans="1:36" ht="15.75" hidden="1" customHeight="1">
      <c r="A633" s="110" t="s">
        <v>910</v>
      </c>
      <c r="B633" s="229">
        <v>43909</v>
      </c>
      <c r="C633" s="110">
        <v>10000</v>
      </c>
      <c r="D633" s="110">
        <v>9</v>
      </c>
      <c r="E633" s="110"/>
      <c r="F633" s="107" t="s">
        <v>263</v>
      </c>
      <c r="I633" s="107"/>
      <c r="J633" s="107"/>
      <c r="K633" s="107"/>
      <c r="L633" s="107"/>
      <c r="M633" s="107"/>
      <c r="N633" s="107"/>
      <c r="O633" s="107"/>
      <c r="P633" s="107"/>
      <c r="Q633" s="107"/>
      <c r="R633" s="107"/>
      <c r="S633" s="107"/>
      <c r="T633" s="107"/>
      <c r="U633" s="107"/>
      <c r="V633" s="107"/>
      <c r="W633" s="107"/>
      <c r="X633" s="107"/>
      <c r="Y633" s="107"/>
      <c r="Z633" s="107"/>
      <c r="AA633" s="166">
        <v>44022</v>
      </c>
      <c r="AB633" s="109">
        <f>_xlfn.DAYS(AA633,B633)</f>
        <v>113</v>
      </c>
      <c r="AC633" s="110">
        <v>50</v>
      </c>
      <c r="AD633" s="110">
        <v>1668</v>
      </c>
      <c r="AE633" s="110">
        <v>347.5</v>
      </c>
      <c r="AF633" s="110">
        <v>123.5</v>
      </c>
      <c r="AG633" s="110">
        <v>0</v>
      </c>
      <c r="AH633" s="108">
        <f>(AD633-AF633)/(D633*$K$1*2)%</f>
        <v>15.6010101010101</v>
      </c>
      <c r="AI633" s="108">
        <f>(AE633+AF633)/(D633*$K$1*2)%</f>
        <v>4.7575757575757578</v>
      </c>
      <c r="AJ633" s="110"/>
    </row>
    <row r="634" spans="1:36" ht="15.75" hidden="1" customHeight="1">
      <c r="A634" s="110" t="s">
        <v>911</v>
      </c>
      <c r="B634" s="229">
        <v>43909</v>
      </c>
      <c r="C634" s="110">
        <v>10000</v>
      </c>
      <c r="D634" s="110">
        <v>9</v>
      </c>
      <c r="E634" s="110"/>
      <c r="F634" s="107" t="s">
        <v>263</v>
      </c>
      <c r="I634" s="107"/>
      <c r="J634" s="107"/>
      <c r="K634" s="107"/>
      <c r="L634" s="107"/>
      <c r="M634" s="107"/>
      <c r="N634" s="107"/>
      <c r="O634" s="107"/>
      <c r="P634" s="107"/>
      <c r="Q634" s="107"/>
      <c r="R634" s="107"/>
      <c r="S634" s="107"/>
      <c r="T634" s="107"/>
      <c r="U634" s="107"/>
      <c r="V634" s="107"/>
      <c r="W634" s="107"/>
      <c r="X634" s="107"/>
      <c r="Y634" s="107"/>
      <c r="Z634" s="107"/>
      <c r="AA634" s="166">
        <v>44022</v>
      </c>
      <c r="AB634" s="109">
        <f>_xlfn.DAYS(AA634,B634)</f>
        <v>113</v>
      </c>
      <c r="AC634" s="110">
        <v>33.299999999999997</v>
      </c>
      <c r="AD634" s="110">
        <v>1677.5</v>
      </c>
      <c r="AE634" s="110">
        <v>430</v>
      </c>
      <c r="AF634" s="110">
        <v>123.5</v>
      </c>
      <c r="AG634" s="110">
        <v>0</v>
      </c>
      <c r="AH634" s="108">
        <f>(AD634-AF634)/(D634*$K$1*2)%</f>
        <v>15.696969696969697</v>
      </c>
      <c r="AI634" s="108">
        <f>(AE634+AF634)/(D634*$K$1*2)%</f>
        <v>5.5909090909090908</v>
      </c>
      <c r="AJ634" s="110"/>
    </row>
    <row r="635" spans="1:36" ht="15.75" hidden="1" customHeight="1">
      <c r="A635" s="110" t="s">
        <v>912</v>
      </c>
      <c r="B635" s="229">
        <v>43909</v>
      </c>
      <c r="C635" s="110">
        <v>10000</v>
      </c>
      <c r="D635" s="110">
        <v>8</v>
      </c>
      <c r="E635" s="110"/>
      <c r="F635" s="107" t="s">
        <v>263</v>
      </c>
      <c r="I635" s="107"/>
      <c r="J635" s="107"/>
      <c r="K635" s="107"/>
      <c r="L635" s="107"/>
      <c r="M635" s="107"/>
      <c r="N635" s="107"/>
      <c r="O635" s="107"/>
      <c r="P635" s="107"/>
      <c r="Q635" s="107"/>
      <c r="R635" s="107"/>
      <c r="S635" s="107"/>
      <c r="T635" s="107"/>
      <c r="U635" s="107"/>
      <c r="V635" s="107"/>
      <c r="W635" s="107"/>
      <c r="X635" s="107"/>
      <c r="Y635" s="107"/>
      <c r="Z635" s="107"/>
      <c r="AA635" s="166">
        <v>44022</v>
      </c>
      <c r="AB635" s="109">
        <f>_xlfn.DAYS(AA635,B635)</f>
        <v>113</v>
      </c>
      <c r="AC635" s="110">
        <v>54.5</v>
      </c>
      <c r="AD635" s="110">
        <v>1314</v>
      </c>
      <c r="AE635" s="110">
        <v>358.5</v>
      </c>
      <c r="AF635" s="110">
        <v>179.5</v>
      </c>
      <c r="AG635" s="110">
        <v>0</v>
      </c>
      <c r="AH635" s="108">
        <f>(AD635-AF635)/(D635*$K$1*2)%</f>
        <v>12.892045454545455</v>
      </c>
      <c r="AI635" s="108">
        <f>(AE635+AF635)/(D635*$K$1*2)%</f>
        <v>6.1136363636363633</v>
      </c>
      <c r="AJ635" s="110"/>
    </row>
    <row r="636" spans="1:36" ht="15.75" hidden="1" customHeight="1">
      <c r="A636" s="110" t="s">
        <v>913</v>
      </c>
      <c r="B636" s="229">
        <v>43909</v>
      </c>
      <c r="C636" s="110">
        <v>10000</v>
      </c>
      <c r="D636" s="110">
        <v>8</v>
      </c>
      <c r="E636" s="110"/>
      <c r="F636" s="107" t="s">
        <v>263</v>
      </c>
      <c r="I636" s="107"/>
      <c r="J636" s="107"/>
      <c r="K636" s="107"/>
      <c r="L636" s="107"/>
      <c r="M636" s="107"/>
      <c r="N636" s="107"/>
      <c r="O636" s="107"/>
      <c r="P636" s="107"/>
      <c r="Q636" s="107"/>
      <c r="R636" s="107"/>
      <c r="S636" s="107"/>
      <c r="T636" s="107"/>
      <c r="U636" s="107"/>
      <c r="V636" s="107"/>
      <c r="W636" s="107"/>
      <c r="X636" s="107"/>
      <c r="Y636" s="107"/>
      <c r="Z636" s="107"/>
      <c r="AA636" s="166">
        <v>44022</v>
      </c>
      <c r="AB636" s="109">
        <f>_xlfn.DAYS(AA636,B636)</f>
        <v>113</v>
      </c>
      <c r="AC636" s="110">
        <v>60.5</v>
      </c>
      <c r="AD636" s="110">
        <v>1350</v>
      </c>
      <c r="AE636" s="110">
        <v>362.5</v>
      </c>
      <c r="AF636" s="110">
        <v>139.5</v>
      </c>
      <c r="AG636" s="110">
        <v>0</v>
      </c>
      <c r="AH636" s="108">
        <f>(AD636-AF636)/(D636*$K$1*2)%</f>
        <v>13.755681818181818</v>
      </c>
      <c r="AI636" s="108">
        <f>(AE636+AF636)/(D636*$K$1*2)%</f>
        <v>5.7045454545454541</v>
      </c>
      <c r="AJ636" s="110"/>
    </row>
    <row r="637" spans="1:36" ht="15.75" hidden="1" customHeight="1">
      <c r="A637" s="110" t="s">
        <v>914</v>
      </c>
      <c r="B637" s="229">
        <v>44034</v>
      </c>
      <c r="C637" s="110">
        <v>10000</v>
      </c>
      <c r="D637" s="236">
        <v>4.5</v>
      </c>
      <c r="E637" s="236"/>
      <c r="F637" s="107" t="s">
        <v>323</v>
      </c>
      <c r="G637" s="107"/>
      <c r="H637" s="107"/>
      <c r="I637" s="107"/>
      <c r="J637" s="107"/>
      <c r="K637" s="107"/>
      <c r="L637" s="107"/>
      <c r="M637" s="107"/>
      <c r="N637" s="107"/>
      <c r="O637" s="107"/>
      <c r="P637" s="107"/>
      <c r="Q637" s="107"/>
      <c r="R637" s="107"/>
      <c r="S637" s="107"/>
      <c r="T637" s="107"/>
      <c r="U637" s="107"/>
      <c r="V637" s="107"/>
      <c r="W637" s="107"/>
      <c r="X637" s="107"/>
      <c r="Y637" s="107"/>
      <c r="Z637" s="107"/>
      <c r="AA637" s="167"/>
      <c r="AB637" s="109">
        <f>_xlfn.DAYS(AA637,B637)</f>
        <v>-44034</v>
      </c>
      <c r="AC637" s="110"/>
      <c r="AD637" s="110"/>
      <c r="AE637" s="110"/>
      <c r="AF637" s="110"/>
      <c r="AG637" s="107">
        <f>COUNTIFS(F:F,"Culled",A:A,LEFT(A637,LEN(A637)-3)&amp;"*")/COUNTIF(A:A,LEFT(A637,LEN(A637)-3)&amp;"*")*100</f>
        <v>100</v>
      </c>
      <c r="AH637" s="107"/>
    </row>
    <row r="638" spans="1:36" ht="15.75" hidden="1" customHeight="1">
      <c r="A638" s="110" t="s">
        <v>915</v>
      </c>
      <c r="B638" s="229">
        <v>44034</v>
      </c>
      <c r="C638" s="110">
        <v>10000</v>
      </c>
      <c r="D638" s="236">
        <v>5</v>
      </c>
      <c r="E638" s="236"/>
      <c r="F638" s="107" t="s">
        <v>323</v>
      </c>
      <c r="G638" s="107"/>
      <c r="H638" s="107"/>
      <c r="I638" s="107"/>
      <c r="J638" s="107"/>
      <c r="K638" s="107"/>
      <c r="L638" s="107"/>
      <c r="M638" s="107"/>
      <c r="N638" s="107"/>
      <c r="O638" s="107"/>
      <c r="P638" s="107"/>
      <c r="Q638" s="107"/>
      <c r="R638" s="107"/>
      <c r="S638" s="107"/>
      <c r="T638" s="107"/>
      <c r="U638" s="107"/>
      <c r="V638" s="107"/>
      <c r="W638" s="107"/>
      <c r="X638" s="107"/>
      <c r="Y638" s="107"/>
      <c r="Z638" s="107"/>
      <c r="AA638" s="167"/>
      <c r="AB638" s="109">
        <f>_xlfn.DAYS(AA638,B638)</f>
        <v>-44034</v>
      </c>
      <c r="AC638" s="110"/>
      <c r="AD638" s="110"/>
      <c r="AE638" s="110"/>
      <c r="AF638" s="110"/>
      <c r="AG638" s="107">
        <f>COUNTIFS(F:F,"Culled",A:A,LEFT(A638,LEN(A638)-3)&amp;"*")/COUNTIF(A:A,LEFT(A638,LEN(A638)-3)&amp;"*")*100</f>
        <v>100</v>
      </c>
      <c r="AH638" s="107"/>
    </row>
    <row r="639" spans="1:36" ht="15.75" hidden="1" customHeight="1">
      <c r="A639" s="110" t="s">
        <v>916</v>
      </c>
      <c r="B639" s="229">
        <v>44034</v>
      </c>
      <c r="C639" s="110">
        <v>10000</v>
      </c>
      <c r="D639" s="236">
        <v>5</v>
      </c>
      <c r="E639" s="236"/>
      <c r="F639" s="107" t="s">
        <v>323</v>
      </c>
      <c r="G639" s="107"/>
      <c r="H639" s="107"/>
      <c r="I639" s="107"/>
      <c r="J639" s="107"/>
      <c r="K639" s="107"/>
      <c r="L639" s="107"/>
      <c r="M639" s="107"/>
      <c r="N639" s="107"/>
      <c r="O639" s="107"/>
      <c r="P639" s="107"/>
      <c r="Q639" s="107"/>
      <c r="R639" s="107"/>
      <c r="S639" s="107"/>
      <c r="T639" s="107"/>
      <c r="U639" s="107"/>
      <c r="V639" s="107"/>
      <c r="W639" s="107"/>
      <c r="X639" s="107"/>
      <c r="Y639" s="107"/>
      <c r="Z639" s="107"/>
      <c r="AA639" s="167"/>
      <c r="AB639" s="109">
        <f>_xlfn.DAYS(AA639,B639)</f>
        <v>-44034</v>
      </c>
      <c r="AC639" s="110"/>
      <c r="AD639" s="110"/>
      <c r="AE639" s="110"/>
      <c r="AF639" s="110"/>
      <c r="AG639" s="107">
        <f>COUNTIFS(F:F,"Culled",A:A,LEFT(A639,LEN(A639)-3)&amp;"*")/COUNTIF(A:A,LEFT(A639,LEN(A639)-3)&amp;"*")*100</f>
        <v>100</v>
      </c>
      <c r="AH639" s="107"/>
    </row>
    <row r="640" spans="1:36" ht="15.75" hidden="1" customHeight="1">
      <c r="A640" s="110" t="s">
        <v>917</v>
      </c>
      <c r="B640" s="229">
        <v>44034</v>
      </c>
      <c r="C640" s="110">
        <v>10000</v>
      </c>
      <c r="D640" s="236">
        <v>5</v>
      </c>
      <c r="E640" s="236"/>
      <c r="F640" s="107" t="s">
        <v>323</v>
      </c>
      <c r="G640" s="107"/>
      <c r="H640" s="107"/>
      <c r="I640" s="107"/>
      <c r="J640" s="107"/>
      <c r="K640" s="107"/>
      <c r="L640" s="107"/>
      <c r="M640" s="107"/>
      <c r="N640" s="107"/>
      <c r="O640" s="107"/>
      <c r="P640" s="107"/>
      <c r="Q640" s="107"/>
      <c r="R640" s="107"/>
      <c r="S640" s="107"/>
      <c r="T640" s="107"/>
      <c r="U640" s="107"/>
      <c r="V640" s="107"/>
      <c r="W640" s="107"/>
      <c r="X640" s="107"/>
      <c r="Y640" s="107"/>
      <c r="Z640" s="107"/>
      <c r="AA640" s="167"/>
      <c r="AB640" s="109">
        <f>_xlfn.DAYS(AA640,B640)</f>
        <v>-44034</v>
      </c>
      <c r="AC640" s="110"/>
      <c r="AD640" s="110"/>
      <c r="AE640" s="110"/>
      <c r="AF640" s="110"/>
      <c r="AG640" s="107">
        <f>COUNTIFS(F:F,"Culled",A:A,LEFT(A640,LEN(A640)-3)&amp;"*")/COUNTIF(A:A,LEFT(A640,LEN(A640)-3)&amp;"*")*100</f>
        <v>100</v>
      </c>
      <c r="AH640" s="107"/>
    </row>
    <row r="641" spans="1:36" ht="15.75" hidden="1" customHeight="1">
      <c r="A641" s="110" t="s">
        <v>918</v>
      </c>
      <c r="B641" s="229">
        <v>44034</v>
      </c>
      <c r="C641" s="110">
        <v>10000</v>
      </c>
      <c r="D641" s="236">
        <v>4.5</v>
      </c>
      <c r="E641" s="236"/>
      <c r="F641" s="107" t="s">
        <v>323</v>
      </c>
      <c r="G641" s="107"/>
      <c r="H641" s="107"/>
      <c r="I641" s="107"/>
      <c r="J641" s="107"/>
      <c r="K641" s="107"/>
      <c r="L641" s="107"/>
      <c r="M641" s="107"/>
      <c r="N641" s="107"/>
      <c r="O641" s="107"/>
      <c r="P641" s="107"/>
      <c r="Q641" s="107"/>
      <c r="R641" s="107"/>
      <c r="S641" s="107"/>
      <c r="T641" s="107"/>
      <c r="U641" s="107"/>
      <c r="V641" s="107"/>
      <c r="W641" s="107"/>
      <c r="X641" s="107"/>
      <c r="Y641" s="107"/>
      <c r="Z641" s="107"/>
      <c r="AA641" s="167"/>
      <c r="AB641" s="109">
        <f>_xlfn.DAYS(AA641,B641)</f>
        <v>-44034</v>
      </c>
      <c r="AC641" s="110"/>
      <c r="AD641" s="110"/>
      <c r="AE641" s="110"/>
      <c r="AF641" s="110"/>
      <c r="AG641" s="107">
        <f>COUNTIFS(F:F,"Culled",A:A,LEFT(A641,LEN(A641)-3)&amp;"*")/COUNTIF(A:A,LEFT(A641,LEN(A641)-3)&amp;"*")*100</f>
        <v>100</v>
      </c>
      <c r="AH641" s="107"/>
    </row>
    <row r="642" spans="1:36" ht="15.75" hidden="1" customHeight="1">
      <c r="A642" s="110" t="s">
        <v>919</v>
      </c>
      <c r="B642" s="229">
        <v>44034</v>
      </c>
      <c r="C642" s="110">
        <v>10000</v>
      </c>
      <c r="D642" s="236">
        <v>5</v>
      </c>
      <c r="E642" s="236"/>
      <c r="F642" s="107" t="s">
        <v>323</v>
      </c>
      <c r="G642" s="107"/>
      <c r="H642" s="107"/>
      <c r="I642" s="107"/>
      <c r="J642" s="107"/>
      <c r="K642" s="107"/>
      <c r="L642" s="107"/>
      <c r="M642" s="107"/>
      <c r="N642" s="107"/>
      <c r="O642" s="107"/>
      <c r="P642" s="107"/>
      <c r="Q642" s="107"/>
      <c r="R642" s="107"/>
      <c r="S642" s="107"/>
      <c r="T642" s="107"/>
      <c r="U642" s="107"/>
      <c r="V642" s="107"/>
      <c r="W642" s="107"/>
      <c r="X642" s="107"/>
      <c r="Y642" s="107"/>
      <c r="Z642" s="107"/>
      <c r="AA642" s="167"/>
      <c r="AB642" s="109">
        <f>_xlfn.DAYS(AA642,B642)</f>
        <v>-44034</v>
      </c>
      <c r="AC642" s="110"/>
      <c r="AD642" s="110"/>
      <c r="AE642" s="110"/>
      <c r="AF642" s="110"/>
      <c r="AG642" s="107">
        <f>COUNTIFS(F:F,"Culled",A:A,LEFT(A642,LEN(A642)-3)&amp;"*")/COUNTIF(A:A,LEFT(A642,LEN(A642)-3)&amp;"*")*100</f>
        <v>100</v>
      </c>
      <c r="AH642" s="107"/>
    </row>
    <row r="643" spans="1:36" ht="15.75" hidden="1" customHeight="1">
      <c r="A643" s="107" t="s">
        <v>920</v>
      </c>
      <c r="B643" s="226">
        <v>44110</v>
      </c>
      <c r="C643" s="230">
        <v>10344</v>
      </c>
      <c r="D643" s="107">
        <f>COUNTA(G643:Z643)*0.5</f>
        <v>1.5</v>
      </c>
      <c r="F643" s="107" t="s">
        <v>323</v>
      </c>
      <c r="G643" s="178">
        <v>44110</v>
      </c>
      <c r="H643" s="178">
        <v>44110</v>
      </c>
      <c r="I643" s="178">
        <v>44116</v>
      </c>
      <c r="AA643" s="166">
        <v>44123</v>
      </c>
      <c r="AH643" s="107"/>
    </row>
    <row r="644" spans="1:36" ht="15.75" hidden="1" customHeight="1">
      <c r="A644" s="110" t="s">
        <v>921</v>
      </c>
      <c r="B644" s="229">
        <v>44034</v>
      </c>
      <c r="C644" s="110">
        <v>10000</v>
      </c>
      <c r="D644" s="236">
        <v>5</v>
      </c>
      <c r="E644" s="236"/>
      <c r="F644" s="107" t="s">
        <v>323</v>
      </c>
      <c r="G644" s="107"/>
      <c r="H644" s="107"/>
      <c r="I644" s="107"/>
      <c r="J644" s="107"/>
      <c r="K644" s="107"/>
      <c r="L644" s="107"/>
      <c r="M644" s="107"/>
      <c r="N644" s="107"/>
      <c r="O644" s="107"/>
      <c r="P644" s="107"/>
      <c r="Q644" s="107"/>
      <c r="R644" s="107"/>
      <c r="S644" s="107"/>
      <c r="T644" s="107"/>
      <c r="U644" s="107"/>
      <c r="V644" s="107"/>
      <c r="W644" s="107"/>
      <c r="X644" s="107"/>
      <c r="Y644" s="107"/>
      <c r="Z644" s="107"/>
      <c r="AA644" s="167"/>
      <c r="AB644" s="109">
        <f>_xlfn.DAYS(AA644,B644)</f>
        <v>-44034</v>
      </c>
      <c r="AC644" s="110"/>
      <c r="AD644" s="110"/>
      <c r="AE644" s="110"/>
      <c r="AF644" s="110"/>
      <c r="AG644" s="107">
        <f>COUNTIFS(F:F,"Culled",A:A,LEFT(A644,LEN(A644)-3)&amp;"*")/COUNTIF(A:A,LEFT(A644,LEN(A644)-3)&amp;"*")*100</f>
        <v>100</v>
      </c>
      <c r="AH644" s="107"/>
    </row>
    <row r="645" spans="1:36" ht="15.75" hidden="1" customHeight="1">
      <c r="A645" s="110" t="s">
        <v>922</v>
      </c>
      <c r="B645" s="229">
        <v>44034</v>
      </c>
      <c r="C645" s="110">
        <v>10000</v>
      </c>
      <c r="D645" s="236">
        <v>5</v>
      </c>
      <c r="E645" s="236"/>
      <c r="F645" s="107" t="s">
        <v>323</v>
      </c>
      <c r="G645" s="107"/>
      <c r="H645" s="107"/>
      <c r="I645" s="107"/>
      <c r="J645" s="107"/>
      <c r="K645" s="107"/>
      <c r="L645" s="107"/>
      <c r="M645" s="107"/>
      <c r="N645" s="107"/>
      <c r="O645" s="107"/>
      <c r="P645" s="107"/>
      <c r="Q645" s="107"/>
      <c r="R645" s="107"/>
      <c r="S645" s="107"/>
      <c r="T645" s="107"/>
      <c r="U645" s="107"/>
      <c r="V645" s="107"/>
      <c r="W645" s="107"/>
      <c r="X645" s="107"/>
      <c r="Y645" s="107"/>
      <c r="Z645" s="107"/>
      <c r="AA645" s="167"/>
      <c r="AB645" s="109">
        <f>_xlfn.DAYS(AA645,B645)</f>
        <v>-44034</v>
      </c>
      <c r="AC645" s="110"/>
      <c r="AD645" s="110"/>
      <c r="AE645" s="110"/>
      <c r="AF645" s="110"/>
      <c r="AG645" s="107">
        <f>COUNTIFS(F:F,"Culled",A:A,LEFT(A645,LEN(A645)-3)&amp;"*")/COUNTIF(A:A,LEFT(A645,LEN(A645)-3)&amp;"*")*100</f>
        <v>100</v>
      </c>
      <c r="AH645" s="107"/>
    </row>
    <row r="646" spans="1:36" ht="15.75" hidden="1" customHeight="1">
      <c r="A646" s="107" t="s">
        <v>923</v>
      </c>
      <c r="B646" s="226">
        <v>44110</v>
      </c>
      <c r="C646" s="230">
        <v>10344</v>
      </c>
      <c r="D646" s="107">
        <f>COUNTA(G646:Z646)*0.5</f>
        <v>1.5</v>
      </c>
      <c r="F646" s="107" t="s">
        <v>323</v>
      </c>
      <c r="G646" s="178">
        <v>44110</v>
      </c>
      <c r="H646" s="178">
        <v>44110</v>
      </c>
      <c r="I646" s="178">
        <v>44116</v>
      </c>
      <c r="AA646" s="166">
        <v>44123</v>
      </c>
      <c r="AH646" s="107"/>
    </row>
    <row r="647" spans="1:36" ht="15.75" hidden="1" customHeight="1">
      <c r="A647" s="107" t="s">
        <v>924</v>
      </c>
      <c r="B647" s="226">
        <v>44113</v>
      </c>
      <c r="C647" s="230">
        <v>10665</v>
      </c>
      <c r="D647" s="107">
        <f>COUNTA(G647:Z647)*0.5</f>
        <v>4</v>
      </c>
      <c r="F647" s="107" t="s">
        <v>263</v>
      </c>
      <c r="G647" s="178">
        <v>44113</v>
      </c>
      <c r="H647" s="178">
        <v>44113</v>
      </c>
      <c r="I647" s="178">
        <v>44118</v>
      </c>
      <c r="J647" s="178">
        <v>44118</v>
      </c>
      <c r="K647" s="178">
        <v>44120</v>
      </c>
      <c r="L647" s="178">
        <v>44120</v>
      </c>
      <c r="M647" s="178">
        <v>44123</v>
      </c>
      <c r="N647" s="178">
        <v>44125</v>
      </c>
      <c r="AA647" s="166">
        <v>44140</v>
      </c>
      <c r="AC647" s="107">
        <f>11/14*100</f>
        <v>78.571428571428569</v>
      </c>
      <c r="AD647" s="107">
        <v>613</v>
      </c>
      <c r="AE647" s="107">
        <v>192</v>
      </c>
      <c r="AH647" s="108">
        <f>(AD647-AF647)/(D647*$K$1*2)%</f>
        <v>13.931818181818182</v>
      </c>
      <c r="AI647" s="108">
        <f>(AE647+AF647)/(D647*$K$1*2)%</f>
        <v>4.3636363636363633</v>
      </c>
    </row>
    <row r="648" spans="1:36" ht="15.75" hidden="1" customHeight="1">
      <c r="A648" s="107" t="s">
        <v>925</v>
      </c>
      <c r="B648" s="226">
        <v>44113</v>
      </c>
      <c r="C648" s="230">
        <v>10665</v>
      </c>
      <c r="D648" s="107">
        <f>COUNTA(G648:Z648)*0.5</f>
        <v>4</v>
      </c>
      <c r="F648" s="107" t="s">
        <v>263</v>
      </c>
      <c r="G648" s="178">
        <v>44113</v>
      </c>
      <c r="H648" s="178">
        <v>44113</v>
      </c>
      <c r="I648" s="178">
        <v>44118</v>
      </c>
      <c r="J648" s="178">
        <v>44118</v>
      </c>
      <c r="K648" s="178">
        <v>44120</v>
      </c>
      <c r="L648" s="178">
        <v>44120</v>
      </c>
      <c r="M648" s="178">
        <v>44123</v>
      </c>
      <c r="N648" s="178">
        <v>44125</v>
      </c>
      <c r="AA648" s="166">
        <v>44140</v>
      </c>
      <c r="AH648" s="108">
        <f>(AD648-AF648)/(D648*$K$1*2)%</f>
        <v>0</v>
      </c>
      <c r="AI648" s="108">
        <f>(AE648+AF648)/(D648*$K$1*2)%</f>
        <v>0</v>
      </c>
    </row>
    <row r="649" spans="1:36" ht="15.75" hidden="1" customHeight="1">
      <c r="A649" s="107" t="s">
        <v>926</v>
      </c>
      <c r="B649" s="226">
        <v>44113</v>
      </c>
      <c r="C649" s="230">
        <v>10665</v>
      </c>
      <c r="D649" s="107">
        <f>COUNTA(G649:Z649)*0.5</f>
        <v>4</v>
      </c>
      <c r="F649" s="107" t="s">
        <v>263</v>
      </c>
      <c r="G649" s="178">
        <v>44113</v>
      </c>
      <c r="H649" s="178">
        <v>44113</v>
      </c>
      <c r="I649" s="178">
        <v>44118</v>
      </c>
      <c r="J649" s="178">
        <v>44118</v>
      </c>
      <c r="K649" s="178">
        <v>44120</v>
      </c>
      <c r="L649" s="178">
        <v>44120</v>
      </c>
      <c r="M649" s="178">
        <v>44123</v>
      </c>
      <c r="N649" s="178">
        <v>44125</v>
      </c>
      <c r="AA649" s="166">
        <v>44140</v>
      </c>
      <c r="AH649" s="108">
        <f>(AD649-AF649)/(D649*$K$1*2)%</f>
        <v>0</v>
      </c>
      <c r="AI649" s="108">
        <f>(AE649+AF649)/(D649*$K$1*2)%</f>
        <v>0</v>
      </c>
    </row>
    <row r="650" spans="1:36" ht="15.75" hidden="1" customHeight="1">
      <c r="A650" s="107" t="s">
        <v>927</v>
      </c>
      <c r="B650" s="226">
        <v>44113</v>
      </c>
      <c r="C650" s="230">
        <v>10665</v>
      </c>
      <c r="D650" s="107">
        <f>COUNTA(G650:Z650)*0.5</f>
        <v>4</v>
      </c>
      <c r="F650" s="107" t="s">
        <v>263</v>
      </c>
      <c r="G650" s="178">
        <v>44113</v>
      </c>
      <c r="H650" s="178">
        <v>44113</v>
      </c>
      <c r="I650" s="178">
        <v>44118</v>
      </c>
      <c r="J650" s="178">
        <v>44118</v>
      </c>
      <c r="K650" s="178">
        <v>44120</v>
      </c>
      <c r="L650" s="178">
        <v>44120</v>
      </c>
      <c r="M650" s="178">
        <v>44123</v>
      </c>
      <c r="N650" s="178">
        <v>44125</v>
      </c>
      <c r="AA650" s="166">
        <v>44140</v>
      </c>
      <c r="AC650" s="107">
        <f>AVERAGE(9/14,7/10)*100</f>
        <v>67.142857142857153</v>
      </c>
      <c r="AD650" s="107">
        <v>589</v>
      </c>
      <c r="AE650" s="107">
        <v>169.5</v>
      </c>
      <c r="AH650" s="108">
        <f>(AD650-AF650)/(D650*$K$1*2)%</f>
        <v>13.386363636363637</v>
      </c>
      <c r="AI650" s="108">
        <f>(AE650+AF650)/(D650*$K$1*2)%</f>
        <v>3.8522727272727271</v>
      </c>
    </row>
    <row r="651" spans="1:36" ht="15.75" hidden="1" customHeight="1">
      <c r="A651" s="107" t="s">
        <v>928</v>
      </c>
      <c r="B651" s="226">
        <v>44113</v>
      </c>
      <c r="C651" s="230">
        <v>10665</v>
      </c>
      <c r="D651" s="107">
        <f>COUNTA(G651:Z651)*0.5</f>
        <v>3.5</v>
      </c>
      <c r="F651" s="107" t="s">
        <v>263</v>
      </c>
      <c r="G651" s="178">
        <v>44113</v>
      </c>
      <c r="H651" s="178">
        <v>44113</v>
      </c>
      <c r="I651" s="178">
        <v>44118</v>
      </c>
      <c r="J651" s="178">
        <v>44118</v>
      </c>
      <c r="K651" s="178">
        <v>44120</v>
      </c>
      <c r="L651" s="178">
        <v>44123</v>
      </c>
      <c r="M651" s="178">
        <v>44125</v>
      </c>
      <c r="AA651" s="166">
        <v>44140</v>
      </c>
      <c r="AH651" s="108">
        <f>(AD651-AF651)/(D651*$K$1*2)%</f>
        <v>0</v>
      </c>
      <c r="AI651" s="108">
        <f>(AE651+AF651)/(D651*$K$1*2)%</f>
        <v>0</v>
      </c>
    </row>
    <row r="652" spans="1:36" ht="15.75" hidden="1" customHeight="1">
      <c r="A652" s="110" t="s">
        <v>929</v>
      </c>
      <c r="B652" s="229">
        <v>43949</v>
      </c>
      <c r="C652" s="10">
        <v>10000</v>
      </c>
      <c r="D652" s="110">
        <v>5.5</v>
      </c>
      <c r="E652" s="110"/>
      <c r="F652" s="107" t="s">
        <v>263</v>
      </c>
      <c r="G652" s="107"/>
      <c r="H652" s="107"/>
      <c r="I652" s="107"/>
      <c r="J652" s="107"/>
      <c r="K652" s="178">
        <v>44120</v>
      </c>
      <c r="L652" s="178">
        <v>44123</v>
      </c>
      <c r="M652" s="107"/>
      <c r="N652" s="107"/>
      <c r="O652" s="107"/>
      <c r="P652" s="107"/>
      <c r="Q652" s="107"/>
      <c r="R652" s="107"/>
      <c r="S652" s="107"/>
      <c r="T652" s="107"/>
      <c r="U652" s="107"/>
      <c r="V652" s="107"/>
      <c r="W652" s="107"/>
      <c r="X652" s="107"/>
      <c r="Y652" s="107"/>
      <c r="Z652" s="107"/>
      <c r="AA652" s="166">
        <v>44022</v>
      </c>
      <c r="AB652" s="109">
        <f>_xlfn.DAYS(AA652,B652)</f>
        <v>73</v>
      </c>
      <c r="AC652" s="110">
        <v>33</v>
      </c>
      <c r="AD652" s="110">
        <v>882</v>
      </c>
      <c r="AE652" s="110">
        <v>611</v>
      </c>
      <c r="AF652" s="110">
        <v>164.5</v>
      </c>
      <c r="AG652" s="110">
        <v>0</v>
      </c>
      <c r="AH652" s="108">
        <f>(AD652-AF652)/(D652*$K$1*2)%</f>
        <v>11.859504132231406</v>
      </c>
      <c r="AI652" s="108">
        <f>(AE652+AF652)/(D652*$K$1*2)%</f>
        <v>12.818181818181818</v>
      </c>
      <c r="AJ652" s="110"/>
    </row>
    <row r="653" spans="1:36" ht="15.75" hidden="1" customHeight="1">
      <c r="A653" s="110" t="s">
        <v>930</v>
      </c>
      <c r="B653" s="229">
        <v>43949</v>
      </c>
      <c r="C653" s="10">
        <v>10000</v>
      </c>
      <c r="D653" s="110">
        <v>5.5</v>
      </c>
      <c r="E653" s="110"/>
      <c r="F653" s="107" t="s">
        <v>263</v>
      </c>
      <c r="G653" s="107"/>
      <c r="H653" s="107"/>
      <c r="I653" s="107"/>
      <c r="J653" s="107"/>
      <c r="K653" s="178">
        <v>44120</v>
      </c>
      <c r="L653" s="178">
        <v>44123</v>
      </c>
      <c r="M653" s="107"/>
      <c r="N653" s="107"/>
      <c r="O653" s="107"/>
      <c r="P653" s="107"/>
      <c r="Q653" s="107"/>
      <c r="R653" s="107"/>
      <c r="S653" s="107"/>
      <c r="T653" s="107"/>
      <c r="U653" s="107"/>
      <c r="V653" s="107"/>
      <c r="W653" s="107"/>
      <c r="X653" s="107"/>
      <c r="Y653" s="107"/>
      <c r="Z653" s="107"/>
      <c r="AA653" s="166">
        <v>44022</v>
      </c>
      <c r="AB653" s="109">
        <f>_xlfn.DAYS(AA653,B653)</f>
        <v>73</v>
      </c>
      <c r="AC653" s="110">
        <v>12.5</v>
      </c>
      <c r="AD653" s="110">
        <v>830</v>
      </c>
      <c r="AE653" s="110">
        <v>629.5</v>
      </c>
      <c r="AF653" s="110">
        <v>145.5</v>
      </c>
      <c r="AG653" s="110">
        <v>0</v>
      </c>
      <c r="AH653" s="108">
        <f>(AD653-AF653)/(D653*$K$1*2)%</f>
        <v>11.314049586776859</v>
      </c>
      <c r="AI653" s="108">
        <f>(AE653+AF653)/(D653*$K$1*2)%</f>
        <v>12.809917355371901</v>
      </c>
      <c r="AJ653" s="110"/>
    </row>
    <row r="654" spans="1:36" ht="15.75" hidden="1" customHeight="1">
      <c r="A654" s="110" t="s">
        <v>931</v>
      </c>
      <c r="B654" s="229">
        <v>43949</v>
      </c>
      <c r="C654" s="10">
        <v>10000</v>
      </c>
      <c r="D654" s="110">
        <v>5.5</v>
      </c>
      <c r="E654" s="110"/>
      <c r="F654" s="107" t="s">
        <v>263</v>
      </c>
      <c r="G654" s="107"/>
      <c r="H654" s="107"/>
      <c r="I654" s="107"/>
      <c r="J654" s="107"/>
      <c r="K654" s="178">
        <v>44120</v>
      </c>
      <c r="L654" s="178">
        <v>44123</v>
      </c>
      <c r="M654" s="107"/>
      <c r="N654" s="107"/>
      <c r="O654" s="107"/>
      <c r="P654" s="107"/>
      <c r="Q654" s="107"/>
      <c r="R654" s="107"/>
      <c r="S654" s="107"/>
      <c r="T654" s="107"/>
      <c r="U654" s="107"/>
      <c r="V654" s="107"/>
      <c r="W654" s="107"/>
      <c r="X654" s="107"/>
      <c r="Y654" s="107"/>
      <c r="Z654" s="107"/>
      <c r="AA654" s="166">
        <v>44022</v>
      </c>
      <c r="AB654" s="109">
        <f>_xlfn.DAYS(AA654,B654)</f>
        <v>73</v>
      </c>
      <c r="AC654" s="110">
        <v>29.4</v>
      </c>
      <c r="AD654" s="110">
        <v>930</v>
      </c>
      <c r="AE654" s="110">
        <v>599</v>
      </c>
      <c r="AF654" s="110">
        <v>120</v>
      </c>
      <c r="AG654" s="110">
        <v>0</v>
      </c>
      <c r="AH654" s="108">
        <f>(AD654-AF654)/(D654*$K$1*2)%</f>
        <v>13.388429752066116</v>
      </c>
      <c r="AI654" s="108">
        <f>(AE654+AF654)/(D654*$K$1*2)%</f>
        <v>11.884297520661157</v>
      </c>
      <c r="AJ654" s="110"/>
    </row>
    <row r="655" spans="1:36" ht="15.75" hidden="1" customHeight="1">
      <c r="G655" s="107"/>
      <c r="H655" s="107"/>
      <c r="I655" s="107"/>
      <c r="J655" s="107"/>
      <c r="K655" s="178">
        <v>44120</v>
      </c>
      <c r="L655" s="178">
        <v>44123</v>
      </c>
      <c r="M655" s="107"/>
      <c r="N655" s="107"/>
      <c r="O655" s="107"/>
      <c r="P655" s="107"/>
      <c r="Q655" s="107"/>
      <c r="R655" s="107"/>
      <c r="S655" s="107"/>
      <c r="T655" s="107"/>
      <c r="U655" s="107"/>
      <c r="V655" s="107"/>
      <c r="W655" s="107"/>
      <c r="X655" s="107"/>
      <c r="Y655" s="107"/>
      <c r="Z655" s="107"/>
      <c r="AG655" s="107" t="e">
        <f>COUNTIFS(F:F,"Culled",A:A,LEFT(A655,LEN(A655)-3)&amp;"*")/COUNTIF(A:A,LEFT(A655,LEN(A655)-3)&amp;"*")*100</f>
        <v>#DIV/0!</v>
      </c>
      <c r="AH655" s="107"/>
    </row>
    <row r="656" spans="1:36" ht="15.75" hidden="1" customHeight="1">
      <c r="G656" s="107"/>
      <c r="H656" s="107"/>
      <c r="I656" s="107"/>
      <c r="J656" s="107"/>
      <c r="K656" s="178">
        <v>44120</v>
      </c>
      <c r="L656" s="178">
        <v>44123</v>
      </c>
      <c r="M656" s="107"/>
      <c r="N656" s="107"/>
      <c r="O656" s="107"/>
      <c r="P656" s="107"/>
      <c r="Q656" s="107"/>
      <c r="R656" s="107"/>
      <c r="S656" s="107"/>
      <c r="T656" s="107"/>
      <c r="U656" s="107"/>
      <c r="V656" s="107"/>
      <c r="W656" s="107"/>
      <c r="X656" s="107"/>
      <c r="Y656" s="107"/>
      <c r="Z656" s="107"/>
      <c r="AG656" s="107" t="e">
        <f>COUNTIFS(F:F,"Culled",A:A,LEFT(A656,LEN(A656)-3)&amp;"*")/COUNTIF(A:A,LEFT(A656,LEN(A656)-3)&amp;"*")*100</f>
        <v>#DIV/0!</v>
      </c>
      <c r="AH656" s="107"/>
    </row>
    <row r="657" spans="7:34" ht="15.75" hidden="1" customHeight="1">
      <c r="G657" s="107"/>
      <c r="H657" s="107"/>
      <c r="I657" s="107"/>
      <c r="J657" s="107"/>
      <c r="K657" s="178">
        <v>44120</v>
      </c>
      <c r="L657" s="178">
        <v>44123</v>
      </c>
      <c r="M657" s="107"/>
      <c r="N657" s="107"/>
      <c r="O657" s="107"/>
      <c r="P657" s="107"/>
      <c r="Q657" s="107"/>
      <c r="R657" s="107"/>
      <c r="S657" s="107"/>
      <c r="T657" s="107"/>
      <c r="U657" s="107"/>
      <c r="V657" s="107"/>
      <c r="W657" s="107"/>
      <c r="X657" s="107"/>
      <c r="Y657" s="107"/>
      <c r="Z657" s="107"/>
      <c r="AG657" s="107" t="e">
        <f>COUNTIFS(F:F,"Culled",A:A,LEFT(A657,LEN(A657)-3)&amp;"*")/COUNTIF(A:A,LEFT(A657,LEN(A657)-3)&amp;"*")*100</f>
        <v>#DIV/0!</v>
      </c>
      <c r="AH657" s="107"/>
    </row>
    <row r="658" spans="7:34" ht="15.75" hidden="1" customHeight="1">
      <c r="G658" s="107"/>
      <c r="H658" s="107"/>
      <c r="I658" s="107"/>
      <c r="J658" s="107"/>
      <c r="K658" s="178">
        <v>44120</v>
      </c>
      <c r="L658" s="178">
        <v>44123</v>
      </c>
      <c r="M658" s="107"/>
      <c r="N658" s="107"/>
      <c r="O658" s="107"/>
      <c r="P658" s="107"/>
      <c r="Q658" s="107"/>
      <c r="R658" s="107"/>
      <c r="S658" s="107"/>
      <c r="T658" s="107"/>
      <c r="U658" s="107"/>
      <c r="V658" s="107"/>
      <c r="W658" s="107"/>
      <c r="X658" s="107"/>
      <c r="Y658" s="107"/>
      <c r="Z658" s="107"/>
      <c r="AG658" s="107" t="e">
        <f>COUNTIFS(F:F,"Culled",A:A,LEFT(A658,LEN(A658)-3)&amp;"*")/COUNTIF(A:A,LEFT(A658,LEN(A658)-3)&amp;"*")*100</f>
        <v>#DIV/0!</v>
      </c>
      <c r="AH658" s="107"/>
    </row>
    <row r="659" spans="7:34" ht="15.75" hidden="1" customHeight="1">
      <c r="G659" s="107"/>
      <c r="H659" s="107"/>
      <c r="I659" s="107"/>
      <c r="J659" s="107"/>
      <c r="K659" s="178">
        <v>44120</v>
      </c>
      <c r="L659" s="178">
        <v>44123</v>
      </c>
      <c r="M659" s="107"/>
      <c r="N659" s="107"/>
      <c r="O659" s="107"/>
      <c r="P659" s="107"/>
      <c r="Q659" s="107"/>
      <c r="R659" s="107"/>
      <c r="S659" s="107"/>
      <c r="T659" s="107"/>
      <c r="U659" s="107"/>
      <c r="V659" s="107"/>
      <c r="W659" s="107"/>
      <c r="X659" s="107"/>
      <c r="Y659" s="107"/>
      <c r="Z659" s="107"/>
      <c r="AG659" s="107" t="e">
        <f>COUNTIFS(F:F,"Culled",A:A,LEFT(A659,LEN(A659)-3)&amp;"*")/COUNTIF(A:A,LEFT(A659,LEN(A659)-3)&amp;"*")*100</f>
        <v>#DIV/0!</v>
      </c>
      <c r="AH659" s="107"/>
    </row>
    <row r="660" spans="7:34" ht="15.75" hidden="1" customHeight="1">
      <c r="G660" s="107"/>
      <c r="H660" s="107"/>
      <c r="I660" s="107"/>
      <c r="J660" s="107"/>
      <c r="K660" s="178">
        <v>44120</v>
      </c>
      <c r="L660" s="178">
        <v>44123</v>
      </c>
      <c r="M660" s="107"/>
      <c r="N660" s="107"/>
      <c r="O660" s="107"/>
      <c r="P660" s="107"/>
      <c r="Q660" s="107"/>
      <c r="R660" s="107"/>
      <c r="S660" s="107"/>
      <c r="T660" s="107"/>
      <c r="U660" s="107"/>
      <c r="V660" s="107"/>
      <c r="W660" s="107"/>
      <c r="X660" s="107"/>
      <c r="Y660" s="107"/>
      <c r="Z660" s="107"/>
      <c r="AG660" s="107" t="e">
        <f>COUNTIFS(F:F,"Culled",A:A,LEFT(A660,LEN(A660)-3)&amp;"*")/COUNTIF(A:A,LEFT(A660,LEN(A660)-3)&amp;"*")*100</f>
        <v>#DIV/0!</v>
      </c>
      <c r="AH660" s="107"/>
    </row>
    <row r="661" spans="7:34" ht="15.75" hidden="1" customHeight="1">
      <c r="G661" s="107"/>
      <c r="H661" s="107"/>
      <c r="I661" s="107"/>
      <c r="J661" s="107"/>
      <c r="K661" s="178">
        <v>44120</v>
      </c>
      <c r="L661" s="178">
        <v>44123</v>
      </c>
      <c r="M661" s="107"/>
      <c r="N661" s="107"/>
      <c r="O661" s="107"/>
      <c r="P661" s="107"/>
      <c r="Q661" s="107"/>
      <c r="R661" s="107"/>
      <c r="S661" s="107"/>
      <c r="T661" s="107"/>
      <c r="U661" s="107"/>
      <c r="V661" s="107"/>
      <c r="W661" s="107"/>
      <c r="X661" s="107"/>
      <c r="Y661" s="107"/>
      <c r="Z661" s="107"/>
      <c r="AG661" s="107" t="e">
        <f>COUNTIFS(F:F,"Culled",A:A,LEFT(A661,LEN(A661)-3)&amp;"*")/COUNTIF(A:A,LEFT(A661,LEN(A661)-3)&amp;"*")*100</f>
        <v>#DIV/0!</v>
      </c>
      <c r="AH661" s="107"/>
    </row>
    <row r="662" spans="7:34" ht="15.75" hidden="1" customHeight="1">
      <c r="G662" s="107"/>
      <c r="H662" s="107"/>
      <c r="I662" s="107"/>
      <c r="J662" s="107"/>
      <c r="K662" s="178">
        <v>44120</v>
      </c>
      <c r="L662" s="178">
        <v>44123</v>
      </c>
      <c r="M662" s="107"/>
      <c r="N662" s="107"/>
      <c r="O662" s="107"/>
      <c r="P662" s="107"/>
      <c r="Q662" s="107"/>
      <c r="R662" s="107"/>
      <c r="S662" s="107"/>
      <c r="T662" s="107"/>
      <c r="U662" s="107"/>
      <c r="V662" s="107"/>
      <c r="W662" s="107"/>
      <c r="X662" s="107"/>
      <c r="Y662" s="107"/>
      <c r="Z662" s="107"/>
      <c r="AG662" s="107" t="e">
        <f>COUNTIFS(F:F,"Culled",A:A,LEFT(A662,LEN(A662)-3)&amp;"*")/COUNTIF(A:A,LEFT(A662,LEN(A662)-3)&amp;"*")*100</f>
        <v>#DIV/0!</v>
      </c>
      <c r="AH662" s="107"/>
    </row>
    <row r="663" spans="7:34" ht="15.75" hidden="1" customHeight="1">
      <c r="G663" s="107"/>
      <c r="H663" s="107"/>
      <c r="I663" s="107"/>
      <c r="J663" s="107"/>
      <c r="K663" s="178">
        <v>44120</v>
      </c>
      <c r="L663" s="178">
        <v>44123</v>
      </c>
      <c r="M663" s="107"/>
      <c r="N663" s="107"/>
      <c r="O663" s="107"/>
      <c r="P663" s="107"/>
      <c r="Q663" s="107"/>
      <c r="R663" s="107"/>
      <c r="S663" s="107"/>
      <c r="T663" s="107"/>
      <c r="U663" s="107"/>
      <c r="V663" s="107"/>
      <c r="W663" s="107"/>
      <c r="X663" s="107"/>
      <c r="Y663" s="107"/>
      <c r="Z663" s="107"/>
      <c r="AG663" s="107" t="e">
        <f>COUNTIFS(F:F,"Culled",A:A,LEFT(A663,LEN(A663)-3)&amp;"*")/COUNTIF(A:A,LEFT(A663,LEN(A663)-3)&amp;"*")*100</f>
        <v>#DIV/0!</v>
      </c>
      <c r="AH663" s="107"/>
    </row>
    <row r="664" spans="7:34" ht="15.75" hidden="1" customHeight="1">
      <c r="G664" s="107"/>
      <c r="H664" s="107"/>
      <c r="I664" s="107"/>
      <c r="J664" s="107"/>
      <c r="K664" s="178">
        <v>44120</v>
      </c>
      <c r="L664" s="178">
        <v>44123</v>
      </c>
      <c r="M664" s="107"/>
      <c r="N664" s="107"/>
      <c r="O664" s="107"/>
      <c r="P664" s="107"/>
      <c r="Q664" s="107"/>
      <c r="R664" s="107"/>
      <c r="S664" s="107"/>
      <c r="T664" s="107"/>
      <c r="U664" s="107"/>
      <c r="V664" s="107"/>
      <c r="W664" s="107"/>
      <c r="X664" s="107"/>
      <c r="Y664" s="107"/>
      <c r="Z664" s="107"/>
      <c r="AG664" s="107" t="e">
        <f>COUNTIFS(F:F,"Culled",A:A,LEFT(A664,LEN(A664)-3)&amp;"*")/COUNTIF(A:A,LEFT(A664,LEN(A664)-3)&amp;"*")*100</f>
        <v>#DIV/0!</v>
      </c>
      <c r="AH664" s="107"/>
    </row>
    <row r="665" spans="7:34" ht="15.75" hidden="1" customHeight="1">
      <c r="G665" s="107"/>
      <c r="H665" s="107"/>
      <c r="I665" s="107"/>
      <c r="J665" s="107"/>
      <c r="K665" s="178">
        <v>44120</v>
      </c>
      <c r="L665" s="178">
        <v>44123</v>
      </c>
      <c r="M665" s="107"/>
      <c r="N665" s="107"/>
      <c r="O665" s="107"/>
      <c r="P665" s="107"/>
      <c r="Q665" s="107"/>
      <c r="R665" s="107"/>
      <c r="S665" s="107"/>
      <c r="T665" s="107"/>
      <c r="U665" s="107"/>
      <c r="V665" s="107"/>
      <c r="W665" s="107"/>
      <c r="X665" s="107"/>
      <c r="Y665" s="107"/>
      <c r="Z665" s="107"/>
      <c r="AG665" s="107" t="e">
        <f>COUNTIFS(F:F,"Culled",A:A,LEFT(A665,LEN(A665)-3)&amp;"*")/COUNTIF(A:A,LEFT(A665,LEN(A665)-3)&amp;"*")*100</f>
        <v>#DIV/0!</v>
      </c>
      <c r="AH665" s="107"/>
    </row>
    <row r="666" spans="7:34" ht="15.75" hidden="1" customHeight="1">
      <c r="G666" s="107"/>
      <c r="H666" s="107"/>
      <c r="I666" s="107"/>
      <c r="J666" s="107"/>
      <c r="K666" s="178">
        <v>44120</v>
      </c>
      <c r="L666" s="178">
        <v>44123</v>
      </c>
      <c r="M666" s="107"/>
      <c r="N666" s="107"/>
      <c r="O666" s="107"/>
      <c r="P666" s="107"/>
      <c r="Q666" s="107"/>
      <c r="R666" s="107"/>
      <c r="S666" s="107"/>
      <c r="T666" s="107"/>
      <c r="U666" s="107"/>
      <c r="V666" s="107"/>
      <c r="W666" s="107"/>
      <c r="X666" s="107"/>
      <c r="Y666" s="107"/>
      <c r="Z666" s="107"/>
      <c r="AG666" s="107" t="e">
        <f>COUNTIFS(F:F,"Culled",A:A,LEFT(A666,LEN(A666)-3)&amp;"*")/COUNTIF(A:A,LEFT(A666,LEN(A666)-3)&amp;"*")*100</f>
        <v>#DIV/0!</v>
      </c>
      <c r="AH666" s="107"/>
    </row>
    <row r="667" spans="7:34" ht="15.75" hidden="1" customHeight="1">
      <c r="G667" s="107"/>
      <c r="H667" s="107"/>
      <c r="I667" s="107"/>
      <c r="J667" s="107"/>
      <c r="K667" s="178">
        <v>44120</v>
      </c>
      <c r="L667" s="178">
        <v>44123</v>
      </c>
      <c r="M667" s="107"/>
      <c r="N667" s="107"/>
      <c r="O667" s="107"/>
      <c r="P667" s="107"/>
      <c r="Q667" s="107"/>
      <c r="R667" s="107"/>
      <c r="S667" s="107"/>
      <c r="T667" s="107"/>
      <c r="U667" s="107"/>
      <c r="V667" s="107"/>
      <c r="W667" s="107"/>
      <c r="X667" s="107"/>
      <c r="Y667" s="107"/>
      <c r="Z667" s="107"/>
      <c r="AG667" s="107" t="e">
        <f>COUNTIFS(F:F,"Culled",A:A,LEFT(A667,LEN(A667)-3)&amp;"*")/COUNTIF(A:A,LEFT(A667,LEN(A667)-3)&amp;"*")*100</f>
        <v>#DIV/0!</v>
      </c>
      <c r="AH667" s="107"/>
    </row>
    <row r="668" spans="7:34" ht="15.75" hidden="1" customHeight="1">
      <c r="G668" s="107"/>
      <c r="H668" s="107"/>
      <c r="I668" s="107"/>
      <c r="J668" s="107"/>
      <c r="K668" s="178">
        <v>44120</v>
      </c>
      <c r="L668" s="178">
        <v>44123</v>
      </c>
      <c r="M668" s="107"/>
      <c r="N668" s="107"/>
      <c r="O668" s="107"/>
      <c r="P668" s="107"/>
      <c r="Q668" s="107"/>
      <c r="R668" s="107"/>
      <c r="S668" s="107"/>
      <c r="T668" s="107"/>
      <c r="U668" s="107"/>
      <c r="V668" s="107"/>
      <c r="W668" s="107"/>
      <c r="X668" s="107"/>
      <c r="Y668" s="107"/>
      <c r="Z668" s="107"/>
      <c r="AG668" s="107" t="e">
        <f>COUNTIFS(F:F,"Culled",A:A,LEFT(A668,LEN(A668)-3)&amp;"*")/COUNTIF(A:A,LEFT(A668,LEN(A668)-3)&amp;"*")*100</f>
        <v>#DIV/0!</v>
      </c>
      <c r="AH668" s="107"/>
    </row>
    <row r="669" spans="7:34" ht="15.75" hidden="1" customHeight="1">
      <c r="G669" s="107"/>
      <c r="H669" s="107"/>
      <c r="I669" s="107"/>
      <c r="J669" s="107"/>
      <c r="K669" s="178">
        <v>44120</v>
      </c>
      <c r="L669" s="178">
        <v>44123</v>
      </c>
      <c r="M669" s="107"/>
      <c r="N669" s="107"/>
      <c r="O669" s="107"/>
      <c r="P669" s="107"/>
      <c r="Q669" s="107"/>
      <c r="R669" s="107"/>
      <c r="S669" s="107"/>
      <c r="T669" s="107"/>
      <c r="U669" s="107"/>
      <c r="V669" s="107"/>
      <c r="W669" s="107"/>
      <c r="X669" s="107"/>
      <c r="Y669" s="107"/>
      <c r="Z669" s="107"/>
      <c r="AG669" s="107" t="e">
        <f>COUNTIFS(F:F,"Culled",A:A,LEFT(A669,LEN(A669)-3)&amp;"*")/COUNTIF(A:A,LEFT(A669,LEN(A669)-3)&amp;"*")*100</f>
        <v>#DIV/0!</v>
      </c>
      <c r="AH669" s="107"/>
    </row>
    <row r="670" spans="7:34" ht="15.75" hidden="1" customHeight="1">
      <c r="G670" s="107"/>
      <c r="H670" s="107"/>
      <c r="I670" s="107"/>
      <c r="J670" s="107"/>
      <c r="K670" s="178">
        <v>44120</v>
      </c>
      <c r="L670" s="178">
        <v>44123</v>
      </c>
      <c r="M670" s="107"/>
      <c r="N670" s="107"/>
      <c r="O670" s="107"/>
      <c r="P670" s="107"/>
      <c r="Q670" s="107"/>
      <c r="R670" s="107"/>
      <c r="S670" s="107"/>
      <c r="T670" s="107"/>
      <c r="U670" s="107"/>
      <c r="V670" s="107"/>
      <c r="W670" s="107"/>
      <c r="X670" s="107"/>
      <c r="Y670" s="107"/>
      <c r="Z670" s="107"/>
      <c r="AG670" s="107" t="e">
        <f>COUNTIFS(F:F,"Culled",A:A,LEFT(A670,LEN(A670)-3)&amp;"*")/COUNTIF(A:A,LEFT(A670,LEN(A670)-3)&amp;"*")*100</f>
        <v>#DIV/0!</v>
      </c>
      <c r="AH670" s="107"/>
    </row>
    <row r="671" spans="7:34" ht="15.75" hidden="1" customHeight="1">
      <c r="G671" s="107"/>
      <c r="H671" s="107"/>
      <c r="I671" s="107"/>
      <c r="J671" s="107"/>
      <c r="K671" s="178">
        <v>44120</v>
      </c>
      <c r="L671" s="178">
        <v>44123</v>
      </c>
      <c r="M671" s="107"/>
      <c r="N671" s="107"/>
      <c r="O671" s="107"/>
      <c r="P671" s="107"/>
      <c r="Q671" s="107"/>
      <c r="R671" s="107"/>
      <c r="S671" s="107"/>
      <c r="T671" s="107"/>
      <c r="U671" s="107"/>
      <c r="V671" s="107"/>
      <c r="W671" s="107"/>
      <c r="X671" s="107"/>
      <c r="Y671" s="107"/>
      <c r="Z671" s="107"/>
      <c r="AG671" s="107" t="e">
        <f>COUNTIFS(F:F,"Culled",A:A,LEFT(A671,LEN(A671)-3)&amp;"*")/COUNTIF(A:A,LEFT(A671,LEN(A671)-3)&amp;"*")*100</f>
        <v>#DIV/0!</v>
      </c>
      <c r="AH671" s="107"/>
    </row>
    <row r="672" spans="7:34" ht="15.75" hidden="1" customHeight="1">
      <c r="G672" s="107"/>
      <c r="H672" s="107"/>
      <c r="I672" s="107"/>
      <c r="J672" s="107"/>
      <c r="K672" s="178">
        <v>44120</v>
      </c>
      <c r="L672" s="178">
        <v>44123</v>
      </c>
      <c r="M672" s="107"/>
      <c r="N672" s="107"/>
      <c r="O672" s="107"/>
      <c r="P672" s="107"/>
      <c r="Q672" s="107"/>
      <c r="R672" s="107"/>
      <c r="S672" s="107"/>
      <c r="T672" s="107"/>
      <c r="U672" s="107"/>
      <c r="V672" s="107"/>
      <c r="W672" s="107"/>
      <c r="X672" s="107"/>
      <c r="Y672" s="107"/>
      <c r="Z672" s="107"/>
      <c r="AG672" s="107" t="e">
        <f>COUNTIFS(F:F,"Culled",A:A,LEFT(A672,LEN(A672)-3)&amp;"*")/COUNTIF(A:A,LEFT(A672,LEN(A672)-3)&amp;"*")*100</f>
        <v>#DIV/0!</v>
      </c>
      <c r="AH672" s="107"/>
    </row>
    <row r="673" spans="7:34" ht="15.75" hidden="1" customHeight="1">
      <c r="G673" s="107"/>
      <c r="H673" s="107"/>
      <c r="I673" s="107"/>
      <c r="J673" s="107"/>
      <c r="K673" s="178">
        <v>44120</v>
      </c>
      <c r="L673" s="178">
        <v>44123</v>
      </c>
      <c r="M673" s="107"/>
      <c r="N673" s="107"/>
      <c r="O673" s="107"/>
      <c r="P673" s="107"/>
      <c r="Q673" s="107"/>
      <c r="R673" s="107"/>
      <c r="S673" s="107"/>
      <c r="T673" s="107"/>
      <c r="U673" s="107"/>
      <c r="V673" s="107"/>
      <c r="W673" s="107"/>
      <c r="X673" s="107"/>
      <c r="Y673" s="107"/>
      <c r="Z673" s="107"/>
      <c r="AG673" s="107" t="e">
        <f>COUNTIFS(F:F,"Culled",A:A,LEFT(A673,LEN(A673)-3)&amp;"*")/COUNTIF(A:A,LEFT(A673,LEN(A673)-3)&amp;"*")*100</f>
        <v>#DIV/0!</v>
      </c>
      <c r="AH673" s="107"/>
    </row>
    <row r="674" spans="7:34" ht="15.75" hidden="1" customHeight="1">
      <c r="G674" s="107"/>
      <c r="H674" s="107"/>
      <c r="I674" s="107"/>
      <c r="J674" s="107"/>
      <c r="K674" s="178">
        <v>44120</v>
      </c>
      <c r="L674" s="178">
        <v>44123</v>
      </c>
      <c r="M674" s="107"/>
      <c r="N674" s="107"/>
      <c r="O674" s="107"/>
      <c r="P674" s="107"/>
      <c r="Q674" s="107"/>
      <c r="R674" s="107"/>
      <c r="S674" s="107"/>
      <c r="T674" s="107"/>
      <c r="U674" s="107"/>
      <c r="V674" s="107"/>
      <c r="W674" s="107"/>
      <c r="X674" s="107"/>
      <c r="Y674" s="107"/>
      <c r="Z674" s="107"/>
      <c r="AG674" s="107" t="e">
        <f>COUNTIFS(F:F,"Culled",A:A,LEFT(A674,LEN(A674)-3)&amp;"*")/COUNTIF(A:A,LEFT(A674,LEN(A674)-3)&amp;"*")*100</f>
        <v>#DIV/0!</v>
      </c>
      <c r="AH674" s="107"/>
    </row>
    <row r="675" spans="7:34" ht="15.75" hidden="1" customHeight="1">
      <c r="G675" s="107"/>
      <c r="H675" s="107"/>
      <c r="I675" s="107"/>
      <c r="J675" s="107"/>
      <c r="K675" s="178">
        <v>44120</v>
      </c>
      <c r="L675" s="178">
        <v>44123</v>
      </c>
      <c r="M675" s="107"/>
      <c r="N675" s="107"/>
      <c r="O675" s="107"/>
      <c r="P675" s="107"/>
      <c r="Q675" s="107"/>
      <c r="R675" s="107"/>
      <c r="S675" s="107"/>
      <c r="T675" s="107"/>
      <c r="U675" s="107"/>
      <c r="V675" s="107"/>
      <c r="W675" s="107"/>
      <c r="X675" s="107"/>
      <c r="Y675" s="107"/>
      <c r="Z675" s="107"/>
      <c r="AG675" s="107" t="e">
        <f>COUNTIFS(F:F,"Culled",A:A,LEFT(A675,LEN(A675)-3)&amp;"*")/COUNTIF(A:A,LEFT(A675,LEN(A675)-3)&amp;"*")*100</f>
        <v>#DIV/0!</v>
      </c>
      <c r="AH675" s="107"/>
    </row>
    <row r="676" spans="7:34" ht="15.75" hidden="1" customHeight="1">
      <c r="G676" s="107"/>
      <c r="H676" s="107"/>
      <c r="I676" s="107"/>
      <c r="J676" s="107"/>
      <c r="K676" s="178">
        <v>44120</v>
      </c>
      <c r="L676" s="178">
        <v>44123</v>
      </c>
      <c r="M676" s="107"/>
      <c r="N676" s="107"/>
      <c r="O676" s="107"/>
      <c r="P676" s="107"/>
      <c r="Q676" s="107"/>
      <c r="R676" s="107"/>
      <c r="S676" s="107"/>
      <c r="T676" s="107"/>
      <c r="U676" s="107"/>
      <c r="V676" s="107"/>
      <c r="W676" s="107"/>
      <c r="X676" s="107"/>
      <c r="Y676" s="107"/>
      <c r="Z676" s="107"/>
      <c r="AG676" s="107" t="e">
        <f>COUNTIFS(F:F,"Culled",A:A,LEFT(A676,LEN(A676)-3)&amp;"*")/COUNTIF(A:A,LEFT(A676,LEN(A676)-3)&amp;"*")*100</f>
        <v>#DIV/0!</v>
      </c>
      <c r="AH676" s="107"/>
    </row>
    <row r="677" spans="7:34" ht="15.75" hidden="1" customHeight="1">
      <c r="G677" s="107"/>
      <c r="H677" s="107"/>
      <c r="I677" s="107"/>
      <c r="J677" s="107"/>
      <c r="K677" s="178">
        <v>44120</v>
      </c>
      <c r="L677" s="178">
        <v>44123</v>
      </c>
      <c r="M677" s="107"/>
      <c r="N677" s="107"/>
      <c r="O677" s="107"/>
      <c r="P677" s="107"/>
      <c r="Q677" s="107"/>
      <c r="R677" s="107"/>
      <c r="S677" s="107"/>
      <c r="T677" s="107"/>
      <c r="U677" s="107"/>
      <c r="V677" s="107"/>
      <c r="W677" s="107"/>
      <c r="X677" s="107"/>
      <c r="Y677" s="107"/>
      <c r="Z677" s="107"/>
      <c r="AG677" s="107" t="e">
        <f>COUNTIFS(F:F,"Culled",A:A,LEFT(A677,LEN(A677)-3)&amp;"*")/COUNTIF(A:A,LEFT(A677,LEN(A677)-3)&amp;"*")*100</f>
        <v>#DIV/0!</v>
      </c>
      <c r="AH677" s="107"/>
    </row>
    <row r="678" spans="7:34" ht="15.75" hidden="1" customHeight="1">
      <c r="G678" s="107"/>
      <c r="H678" s="107"/>
      <c r="I678" s="107"/>
      <c r="J678" s="107"/>
      <c r="K678" s="178">
        <v>44120</v>
      </c>
      <c r="L678" s="178">
        <v>44123</v>
      </c>
      <c r="M678" s="107"/>
      <c r="N678" s="107"/>
      <c r="O678" s="107"/>
      <c r="P678" s="107"/>
      <c r="Q678" s="107"/>
      <c r="R678" s="107"/>
      <c r="S678" s="107"/>
      <c r="T678" s="107"/>
      <c r="U678" s="107"/>
      <c r="V678" s="107"/>
      <c r="W678" s="107"/>
      <c r="X678" s="107"/>
      <c r="Y678" s="107"/>
      <c r="Z678" s="107"/>
      <c r="AG678" s="107" t="e">
        <f>COUNTIFS(F:F,"Culled",A:A,LEFT(A678,LEN(A678)-3)&amp;"*")/COUNTIF(A:A,LEFT(A678,LEN(A678)-3)&amp;"*")*100</f>
        <v>#DIV/0!</v>
      </c>
      <c r="AH678" s="107"/>
    </row>
    <row r="679" spans="7:34" ht="15.75" hidden="1" customHeight="1">
      <c r="G679" s="107"/>
      <c r="H679" s="107"/>
      <c r="I679" s="107"/>
      <c r="J679" s="107"/>
      <c r="K679" s="178">
        <v>44120</v>
      </c>
      <c r="L679" s="178">
        <v>44123</v>
      </c>
      <c r="M679" s="107"/>
      <c r="N679" s="107"/>
      <c r="O679" s="107"/>
      <c r="P679" s="107"/>
      <c r="Q679" s="107"/>
      <c r="R679" s="107"/>
      <c r="S679" s="107"/>
      <c r="T679" s="107"/>
      <c r="U679" s="107"/>
      <c r="V679" s="107"/>
      <c r="W679" s="107"/>
      <c r="X679" s="107"/>
      <c r="Y679" s="107"/>
      <c r="Z679" s="107"/>
      <c r="AG679" s="107" t="e">
        <f>COUNTIFS(F:F,"Culled",A:A,LEFT(A679,LEN(A679)-3)&amp;"*")/COUNTIF(A:A,LEFT(A679,LEN(A679)-3)&amp;"*")*100</f>
        <v>#DIV/0!</v>
      </c>
      <c r="AH679" s="107"/>
    </row>
    <row r="680" spans="7:34" ht="15.75" hidden="1" customHeight="1">
      <c r="G680" s="107"/>
      <c r="H680" s="107"/>
      <c r="I680" s="107"/>
      <c r="J680" s="107"/>
      <c r="K680" s="178">
        <v>44120</v>
      </c>
      <c r="L680" s="178">
        <v>44123</v>
      </c>
      <c r="M680" s="107"/>
      <c r="N680" s="107"/>
      <c r="O680" s="107"/>
      <c r="P680" s="107"/>
      <c r="Q680" s="107"/>
      <c r="R680" s="107"/>
      <c r="S680" s="107"/>
      <c r="T680" s="107"/>
      <c r="U680" s="107"/>
      <c r="V680" s="107"/>
      <c r="W680" s="107"/>
      <c r="X680" s="107"/>
      <c r="Y680" s="107"/>
      <c r="Z680" s="107"/>
      <c r="AG680" s="107" t="e">
        <f>COUNTIFS(F:F,"Culled",A:A,LEFT(A680,LEN(A680)-3)&amp;"*")/COUNTIF(A:A,LEFT(A680,LEN(A680)-3)&amp;"*")*100</f>
        <v>#DIV/0!</v>
      </c>
      <c r="AH680" s="107"/>
    </row>
    <row r="681" spans="7:34" ht="15.75" hidden="1" customHeight="1">
      <c r="G681" s="107"/>
      <c r="H681" s="107"/>
      <c r="I681" s="107"/>
      <c r="J681" s="107"/>
      <c r="K681" s="178">
        <v>44120</v>
      </c>
      <c r="L681" s="178">
        <v>44123</v>
      </c>
      <c r="M681" s="107"/>
      <c r="N681" s="107"/>
      <c r="O681" s="107"/>
      <c r="P681" s="107"/>
      <c r="Q681" s="107"/>
      <c r="R681" s="107"/>
      <c r="S681" s="107"/>
      <c r="T681" s="107"/>
      <c r="U681" s="107"/>
      <c r="V681" s="107"/>
      <c r="W681" s="107"/>
      <c r="X681" s="107"/>
      <c r="Y681" s="107"/>
      <c r="Z681" s="107"/>
      <c r="AG681" s="107" t="e">
        <f>COUNTIFS(F:F,"Culled",A:A,LEFT(A681,LEN(A681)-3)&amp;"*")/COUNTIF(A:A,LEFT(A681,LEN(A681)-3)&amp;"*")*100</f>
        <v>#DIV/0!</v>
      </c>
      <c r="AH681" s="107"/>
    </row>
    <row r="682" spans="7:34" ht="15.75" hidden="1" customHeight="1">
      <c r="G682" s="107"/>
      <c r="H682" s="107"/>
      <c r="I682" s="107"/>
      <c r="J682" s="107"/>
      <c r="K682" s="178">
        <v>44120</v>
      </c>
      <c r="L682" s="178">
        <v>44123</v>
      </c>
      <c r="M682" s="107"/>
      <c r="N682" s="107"/>
      <c r="O682" s="107"/>
      <c r="P682" s="107"/>
      <c r="Q682" s="107"/>
      <c r="R682" s="107"/>
      <c r="S682" s="107"/>
      <c r="T682" s="107"/>
      <c r="U682" s="107"/>
      <c r="V682" s="107"/>
      <c r="W682" s="107"/>
      <c r="X682" s="107"/>
      <c r="Y682" s="107"/>
      <c r="Z682" s="107"/>
      <c r="AG682" s="107" t="e">
        <f>COUNTIFS(F:F,"Culled",A:A,LEFT(A682,LEN(A682)-3)&amp;"*")/COUNTIF(A:A,LEFT(A682,LEN(A682)-3)&amp;"*")*100</f>
        <v>#DIV/0!</v>
      </c>
      <c r="AH682" s="107"/>
    </row>
    <row r="683" spans="7:34" ht="15.75" hidden="1" customHeight="1">
      <c r="G683" s="107"/>
      <c r="H683" s="107"/>
      <c r="I683" s="107"/>
      <c r="J683" s="107"/>
      <c r="K683" s="178">
        <v>44120</v>
      </c>
      <c r="L683" s="178">
        <v>44123</v>
      </c>
      <c r="M683" s="107"/>
      <c r="N683" s="107"/>
      <c r="O683" s="107"/>
      <c r="P683" s="107"/>
      <c r="Q683" s="107"/>
      <c r="R683" s="107"/>
      <c r="S683" s="107"/>
      <c r="T683" s="107"/>
      <c r="U683" s="107"/>
      <c r="V683" s="107"/>
      <c r="W683" s="107"/>
      <c r="X683" s="107"/>
      <c r="Y683" s="107"/>
      <c r="Z683" s="107"/>
      <c r="AG683" s="107" t="e">
        <f>COUNTIFS(F:F,"Culled",A:A,LEFT(A683,LEN(A683)-3)&amp;"*")/COUNTIF(A:A,LEFT(A683,LEN(A683)-3)&amp;"*")*100</f>
        <v>#DIV/0!</v>
      </c>
      <c r="AH683" s="107"/>
    </row>
    <row r="684" spans="7:34" ht="15.75" hidden="1" customHeight="1">
      <c r="G684" s="107"/>
      <c r="H684" s="107"/>
      <c r="I684" s="107"/>
      <c r="J684" s="107"/>
      <c r="K684" s="178">
        <v>44120</v>
      </c>
      <c r="L684" s="178">
        <v>44123</v>
      </c>
      <c r="M684" s="107"/>
      <c r="N684" s="107"/>
      <c r="O684" s="107"/>
      <c r="P684" s="107"/>
      <c r="Q684" s="107"/>
      <c r="R684" s="107"/>
      <c r="S684" s="107"/>
      <c r="T684" s="107"/>
      <c r="U684" s="107"/>
      <c r="V684" s="107"/>
      <c r="W684" s="107"/>
      <c r="X684" s="107"/>
      <c r="Y684" s="107"/>
      <c r="Z684" s="107"/>
      <c r="AG684" s="107" t="e">
        <f>COUNTIFS(F:F,"Culled",A:A,LEFT(A684,LEN(A684)-3)&amp;"*")/COUNTIF(A:A,LEFT(A684,LEN(A684)-3)&amp;"*")*100</f>
        <v>#DIV/0!</v>
      </c>
      <c r="AH684" s="107"/>
    </row>
    <row r="685" spans="7:34" ht="15.75" hidden="1" customHeight="1">
      <c r="G685" s="107"/>
      <c r="H685" s="107"/>
      <c r="I685" s="107"/>
      <c r="J685" s="107"/>
      <c r="K685" s="178">
        <v>44120</v>
      </c>
      <c r="L685" s="178">
        <v>44123</v>
      </c>
      <c r="M685" s="107"/>
      <c r="N685" s="107"/>
      <c r="O685" s="107"/>
      <c r="P685" s="107"/>
      <c r="Q685" s="107"/>
      <c r="R685" s="107"/>
      <c r="S685" s="107"/>
      <c r="T685" s="107"/>
      <c r="U685" s="107"/>
      <c r="V685" s="107"/>
      <c r="W685" s="107"/>
      <c r="X685" s="107"/>
      <c r="Y685" s="107"/>
      <c r="Z685" s="107"/>
      <c r="AG685" s="107" t="e">
        <f>COUNTIFS(F:F,"Culled",A:A,LEFT(A685,LEN(A685)-3)&amp;"*")/COUNTIF(A:A,LEFT(A685,LEN(A685)-3)&amp;"*")*100</f>
        <v>#DIV/0!</v>
      </c>
      <c r="AH685" s="107"/>
    </row>
    <row r="686" spans="7:34" ht="15.75" hidden="1" customHeight="1">
      <c r="G686" s="107"/>
      <c r="H686" s="107"/>
      <c r="I686" s="107"/>
      <c r="J686" s="107"/>
      <c r="K686" s="178">
        <v>44120</v>
      </c>
      <c r="L686" s="178">
        <v>44123</v>
      </c>
      <c r="M686" s="107"/>
      <c r="N686" s="107"/>
      <c r="O686" s="107"/>
      <c r="P686" s="107"/>
      <c r="Q686" s="107"/>
      <c r="R686" s="107"/>
      <c r="S686" s="107"/>
      <c r="T686" s="107"/>
      <c r="U686" s="107"/>
      <c r="V686" s="107"/>
      <c r="W686" s="107"/>
      <c r="X686" s="107"/>
      <c r="Y686" s="107"/>
      <c r="Z686" s="107"/>
      <c r="AG686" s="107" t="e">
        <f>COUNTIFS(F:F,"Culled",A:A,LEFT(A686,LEN(A686)-3)&amp;"*")/COUNTIF(A:A,LEFT(A686,LEN(A686)-3)&amp;"*")*100</f>
        <v>#DIV/0!</v>
      </c>
      <c r="AH686" s="107"/>
    </row>
    <row r="687" spans="7:34" ht="15.75" hidden="1" customHeight="1">
      <c r="G687" s="107"/>
      <c r="H687" s="107"/>
      <c r="I687" s="107"/>
      <c r="J687" s="107"/>
      <c r="K687" s="178">
        <v>44120</v>
      </c>
      <c r="L687" s="178">
        <v>44123</v>
      </c>
      <c r="M687" s="107"/>
      <c r="N687" s="107"/>
      <c r="O687" s="107"/>
      <c r="P687" s="107"/>
      <c r="Q687" s="107"/>
      <c r="R687" s="107"/>
      <c r="S687" s="107"/>
      <c r="T687" s="107"/>
      <c r="U687" s="107"/>
      <c r="V687" s="107"/>
      <c r="W687" s="107"/>
      <c r="X687" s="107"/>
      <c r="Y687" s="107"/>
      <c r="Z687" s="107"/>
      <c r="AG687" s="107" t="e">
        <f>COUNTIFS(F:F,"Culled",A:A,LEFT(A687,LEN(A687)-3)&amp;"*")/COUNTIF(A:A,LEFT(A687,LEN(A687)-3)&amp;"*")*100</f>
        <v>#DIV/0!</v>
      </c>
      <c r="AH687" s="107"/>
    </row>
    <row r="688" spans="7:34" ht="15.75" hidden="1" customHeight="1">
      <c r="G688" s="107"/>
      <c r="H688" s="107"/>
      <c r="I688" s="107"/>
      <c r="J688" s="107"/>
      <c r="K688" s="178">
        <v>44120</v>
      </c>
      <c r="L688" s="178">
        <v>44123</v>
      </c>
      <c r="M688" s="107"/>
      <c r="N688" s="107"/>
      <c r="O688" s="107"/>
      <c r="P688" s="107"/>
      <c r="Q688" s="107"/>
      <c r="R688" s="107"/>
      <c r="S688" s="107"/>
      <c r="T688" s="107"/>
      <c r="U688" s="107"/>
      <c r="V688" s="107"/>
      <c r="W688" s="107"/>
      <c r="X688" s="107"/>
      <c r="Y688" s="107"/>
      <c r="Z688" s="107"/>
      <c r="AG688" s="107" t="e">
        <f>COUNTIFS(F:F,"Culled",A:A,LEFT(A688,LEN(A688)-3)&amp;"*")/COUNTIF(A:A,LEFT(A688,LEN(A688)-3)&amp;"*")*100</f>
        <v>#DIV/0!</v>
      </c>
      <c r="AH688" s="107"/>
    </row>
    <row r="689" spans="1:36" ht="15.75" hidden="1" customHeight="1">
      <c r="G689" s="107"/>
      <c r="H689" s="107"/>
      <c r="I689" s="107"/>
      <c r="J689" s="107"/>
      <c r="K689" s="178">
        <v>44120</v>
      </c>
      <c r="L689" s="178">
        <v>44123</v>
      </c>
      <c r="M689" s="107"/>
      <c r="N689" s="107"/>
      <c r="O689" s="107"/>
      <c r="P689" s="107"/>
      <c r="Q689" s="107"/>
      <c r="R689" s="107"/>
      <c r="S689" s="107"/>
      <c r="T689" s="107"/>
      <c r="U689" s="107"/>
      <c r="V689" s="107"/>
      <c r="W689" s="107"/>
      <c r="X689" s="107"/>
      <c r="Y689" s="107"/>
      <c r="Z689" s="107"/>
      <c r="AG689" s="107" t="e">
        <f>COUNTIFS(F:F,"Culled",A:A,LEFT(A689,LEN(A689)-3)&amp;"*")/COUNTIF(A:A,LEFT(A689,LEN(A689)-3)&amp;"*")*100</f>
        <v>#DIV/0!</v>
      </c>
      <c r="AH689" s="107"/>
    </row>
    <row r="690" spans="1:36" ht="15.75" hidden="1" customHeight="1">
      <c r="A690" s="107" t="s">
        <v>932</v>
      </c>
      <c r="B690" s="226">
        <v>44113</v>
      </c>
      <c r="C690" s="230">
        <v>10665</v>
      </c>
      <c r="D690" s="107">
        <f>COUNTA(G690:Z690)*0.5</f>
        <v>3.5</v>
      </c>
      <c r="F690" s="107" t="s">
        <v>263</v>
      </c>
      <c r="G690" s="178">
        <v>44113</v>
      </c>
      <c r="H690" s="178">
        <v>44113</v>
      </c>
      <c r="I690" s="178">
        <v>44118</v>
      </c>
      <c r="J690" s="178">
        <v>44118</v>
      </c>
      <c r="K690" s="178">
        <v>44120</v>
      </c>
      <c r="L690" s="178">
        <v>44123</v>
      </c>
      <c r="M690" s="178">
        <v>44125</v>
      </c>
      <c r="AA690" s="166">
        <v>44140</v>
      </c>
      <c r="AH690" s="108">
        <f>(AD690-AF690)/(D690*$K$1*2)%</f>
        <v>0</v>
      </c>
      <c r="AI690" s="108">
        <f>(AE690+AF690)/(D690*$K$1*2)%</f>
        <v>0</v>
      </c>
    </row>
    <row r="691" spans="1:36" ht="15.75" hidden="1" customHeight="1">
      <c r="A691" s="107" t="s">
        <v>933</v>
      </c>
      <c r="B691" s="226">
        <v>44113</v>
      </c>
      <c r="C691" s="230">
        <v>10665</v>
      </c>
      <c r="D691" s="107">
        <f>COUNTA(G691:Z691)*0.5</f>
        <v>3.5</v>
      </c>
      <c r="F691" s="107" t="s">
        <v>263</v>
      </c>
      <c r="G691" s="178">
        <v>44113</v>
      </c>
      <c r="H691" s="178">
        <v>44113</v>
      </c>
      <c r="I691" s="178">
        <v>44118</v>
      </c>
      <c r="J691" s="178">
        <v>44118</v>
      </c>
      <c r="K691" s="178">
        <v>44120</v>
      </c>
      <c r="L691" s="178">
        <v>44123</v>
      </c>
      <c r="M691" s="178">
        <v>44125</v>
      </c>
      <c r="AA691" s="166">
        <v>44140</v>
      </c>
      <c r="AC691" s="107">
        <f>11/15*100</f>
        <v>73.333333333333329</v>
      </c>
      <c r="AD691" s="107">
        <v>511</v>
      </c>
      <c r="AE691" s="107">
        <v>189.5</v>
      </c>
      <c r="AH691" s="108">
        <f>(AD691-AF691)/(D691*$K$1*2)%</f>
        <v>13.272727272727273</v>
      </c>
      <c r="AI691" s="108">
        <f>(AE691+AF691)/(D691*$K$1*2)%</f>
        <v>4.9220779220779223</v>
      </c>
    </row>
    <row r="692" spans="1:36" ht="15.75" hidden="1" customHeight="1">
      <c r="A692" s="107" t="s">
        <v>934</v>
      </c>
      <c r="B692" s="226">
        <v>44113</v>
      </c>
      <c r="C692" s="230">
        <v>10665</v>
      </c>
      <c r="D692" s="107">
        <f>COUNTA(G692:Z692)*0.5</f>
        <v>4</v>
      </c>
      <c r="F692" s="107" t="s">
        <v>263</v>
      </c>
      <c r="G692" s="178">
        <v>44113</v>
      </c>
      <c r="H692" s="178">
        <v>44113</v>
      </c>
      <c r="I692" s="178">
        <v>44118</v>
      </c>
      <c r="J692" s="178">
        <v>44118</v>
      </c>
      <c r="K692" s="178">
        <v>44120</v>
      </c>
      <c r="L692" s="178">
        <v>44120</v>
      </c>
      <c r="M692" s="178">
        <v>44123</v>
      </c>
      <c r="N692" s="178">
        <v>44125</v>
      </c>
      <c r="AA692" s="166">
        <v>44140</v>
      </c>
      <c r="AH692" s="108">
        <f>(AD692-AF692)/(D692*$K$1*2)%</f>
        <v>0</v>
      </c>
      <c r="AI692" s="108">
        <f>(AE692+AF692)/(D692*$K$1*2)%</f>
        <v>0</v>
      </c>
    </row>
    <row r="693" spans="1:36" ht="15.75" hidden="1" customHeight="1">
      <c r="A693" s="107" t="s">
        <v>935</v>
      </c>
      <c r="B693" s="226">
        <v>44113</v>
      </c>
      <c r="C693" s="230">
        <v>10665</v>
      </c>
      <c r="D693" s="107">
        <f>COUNTA(G693:Z693)*0.5</f>
        <v>4</v>
      </c>
      <c r="F693" s="107" t="s">
        <v>263</v>
      </c>
      <c r="G693" s="178">
        <v>44113</v>
      </c>
      <c r="H693" s="178">
        <v>44113</v>
      </c>
      <c r="I693" s="178">
        <v>44118</v>
      </c>
      <c r="J693" s="178">
        <v>44118</v>
      </c>
      <c r="K693" s="178">
        <v>44120</v>
      </c>
      <c r="L693" s="178">
        <v>44120</v>
      </c>
      <c r="M693" s="178">
        <v>44123</v>
      </c>
      <c r="N693" s="178">
        <v>44125</v>
      </c>
      <c r="AA693" s="166">
        <v>44140</v>
      </c>
      <c r="AH693" s="108">
        <f>(AD693-AF693)/(D693*$K$1*2)%</f>
        <v>0</v>
      </c>
      <c r="AI693" s="108">
        <f>(AE693+AF693)/(D693*$K$1*2)%</f>
        <v>0</v>
      </c>
    </row>
    <row r="694" spans="1:36" ht="15.75" hidden="1" customHeight="1">
      <c r="A694" s="110" t="s">
        <v>936</v>
      </c>
      <c r="B694" s="229">
        <v>43950</v>
      </c>
      <c r="C694" s="10">
        <v>10000</v>
      </c>
      <c r="D694" s="110">
        <v>5.5</v>
      </c>
      <c r="E694" s="110"/>
      <c r="F694" s="107" t="s">
        <v>263</v>
      </c>
      <c r="G694" s="107"/>
      <c r="H694" s="107"/>
      <c r="K694" s="178">
        <v>44120</v>
      </c>
      <c r="L694" s="107"/>
      <c r="M694" s="107"/>
      <c r="N694" s="107"/>
      <c r="O694" s="107"/>
      <c r="P694" s="107"/>
      <c r="Q694" s="107"/>
      <c r="R694" s="107"/>
      <c r="S694" s="107"/>
      <c r="T694" s="107"/>
      <c r="U694" s="107"/>
      <c r="V694" s="107"/>
      <c r="W694" s="107"/>
      <c r="X694" s="107"/>
      <c r="Y694" s="107"/>
      <c r="Z694" s="107"/>
      <c r="AA694" s="166">
        <v>44022</v>
      </c>
      <c r="AB694" s="109">
        <f>_xlfn.DAYS(AA694,B694)</f>
        <v>72</v>
      </c>
      <c r="AC694" s="110">
        <v>23</v>
      </c>
      <c r="AD694" s="110">
        <v>878.5</v>
      </c>
      <c r="AE694" s="110">
        <v>510.5</v>
      </c>
      <c r="AF694" s="110">
        <v>126.5</v>
      </c>
      <c r="AG694" s="110">
        <v>0</v>
      </c>
      <c r="AH694" s="108">
        <f>(AD694-AF694)/(D694*$K$1*2)%</f>
        <v>12.429752066115702</v>
      </c>
      <c r="AI694" s="108">
        <f>(AE694+AF694)/(D694*$K$1*2)%</f>
        <v>10.528925619834711</v>
      </c>
      <c r="AJ694" s="110"/>
    </row>
    <row r="695" spans="1:36" ht="15.75" hidden="1" customHeight="1">
      <c r="A695" s="110" t="s">
        <v>937</v>
      </c>
      <c r="B695" s="229">
        <v>43950</v>
      </c>
      <c r="C695" s="10">
        <v>10000</v>
      </c>
      <c r="D695" s="110">
        <v>5.5</v>
      </c>
      <c r="E695" s="110"/>
      <c r="F695" s="107" t="s">
        <v>263</v>
      </c>
      <c r="G695" s="107"/>
      <c r="H695" s="107"/>
      <c r="K695" s="178">
        <v>44120</v>
      </c>
      <c r="L695" s="107"/>
      <c r="M695" s="107"/>
      <c r="N695" s="107"/>
      <c r="O695" s="107"/>
      <c r="P695" s="107"/>
      <c r="Q695" s="107"/>
      <c r="R695" s="107"/>
      <c r="S695" s="107"/>
      <c r="T695" s="107"/>
      <c r="U695" s="107"/>
      <c r="V695" s="107"/>
      <c r="W695" s="107"/>
      <c r="X695" s="107"/>
      <c r="Y695" s="107"/>
      <c r="Z695" s="107"/>
      <c r="AA695" s="166">
        <v>44022</v>
      </c>
      <c r="AB695" s="109">
        <f>_xlfn.DAYS(AA695,B695)</f>
        <v>72</v>
      </c>
      <c r="AC695" s="110">
        <v>20</v>
      </c>
      <c r="AD695" s="110">
        <v>904.5</v>
      </c>
      <c r="AE695" s="110">
        <v>463</v>
      </c>
      <c r="AF695" s="110">
        <v>201</v>
      </c>
      <c r="AG695" s="110">
        <v>0</v>
      </c>
      <c r="AH695" s="108">
        <f>(AD695-AF695)/(D695*$K$1*2)%</f>
        <v>11.62809917355372</v>
      </c>
      <c r="AI695" s="108">
        <f>(AE695+AF695)/(D695*$K$1*2)%</f>
        <v>10.975206611570249</v>
      </c>
      <c r="AJ695" s="110"/>
    </row>
    <row r="696" spans="1:36" ht="15.75" hidden="1" customHeight="1">
      <c r="A696" s="110" t="s">
        <v>938</v>
      </c>
      <c r="B696" s="229">
        <v>44034</v>
      </c>
      <c r="C696" s="110">
        <v>10000</v>
      </c>
      <c r="D696" s="236">
        <v>5</v>
      </c>
      <c r="E696" s="236"/>
      <c r="F696" s="107" t="s">
        <v>323</v>
      </c>
      <c r="G696" s="107"/>
      <c r="H696" s="107"/>
      <c r="I696" s="107"/>
      <c r="J696" s="107"/>
      <c r="K696" s="178">
        <v>44120</v>
      </c>
      <c r="L696" s="107"/>
      <c r="M696" s="107"/>
      <c r="N696" s="107"/>
      <c r="O696" s="107"/>
      <c r="P696" s="107"/>
      <c r="Q696" s="107"/>
      <c r="R696" s="107"/>
      <c r="S696" s="107"/>
      <c r="T696" s="107"/>
      <c r="U696" s="107"/>
      <c r="V696" s="107"/>
      <c r="W696" s="107"/>
      <c r="X696" s="107"/>
      <c r="Y696" s="107"/>
      <c r="Z696" s="107"/>
      <c r="AA696" s="167"/>
      <c r="AB696" s="109">
        <f>_xlfn.DAYS(AA696,B696)</f>
        <v>-44034</v>
      </c>
      <c r="AC696" s="110"/>
      <c r="AD696" s="110"/>
      <c r="AE696" s="110"/>
      <c r="AF696" s="110"/>
      <c r="AG696" s="107">
        <f>COUNTIFS(F:F,"Culled",A:A,LEFT(A696,LEN(A696)-3)&amp;"*")/COUNTIF(A:A,LEFT(A696,LEN(A696)-3)&amp;"*")*100</f>
        <v>100</v>
      </c>
      <c r="AH696" s="107"/>
    </row>
    <row r="697" spans="1:36" ht="15.75" hidden="1" customHeight="1">
      <c r="A697" s="110" t="s">
        <v>939</v>
      </c>
      <c r="B697" s="229">
        <v>43950</v>
      </c>
      <c r="C697" s="10">
        <v>10000</v>
      </c>
      <c r="D697" s="110">
        <v>5.5</v>
      </c>
      <c r="E697" s="110"/>
      <c r="F697" s="107" t="s">
        <v>263</v>
      </c>
      <c r="G697" s="107"/>
      <c r="H697" s="107"/>
      <c r="K697" s="178">
        <v>44120</v>
      </c>
      <c r="L697" s="107"/>
      <c r="M697" s="107"/>
      <c r="N697" s="107"/>
      <c r="O697" s="107"/>
      <c r="P697" s="107"/>
      <c r="Q697" s="107"/>
      <c r="R697" s="107"/>
      <c r="S697" s="107"/>
      <c r="T697" s="107"/>
      <c r="U697" s="107"/>
      <c r="V697" s="107"/>
      <c r="W697" s="107"/>
      <c r="X697" s="107"/>
      <c r="Y697" s="107"/>
      <c r="Z697" s="107"/>
      <c r="AA697" s="167">
        <v>43976</v>
      </c>
      <c r="AB697" s="109">
        <f>_xlfn.DAYS(AA697,B697)</f>
        <v>26</v>
      </c>
      <c r="AC697" s="110">
        <v>23.8</v>
      </c>
      <c r="AD697" s="110">
        <v>901</v>
      </c>
      <c r="AE697" s="110">
        <v>543.5</v>
      </c>
      <c r="AF697" s="110">
        <v>145</v>
      </c>
      <c r="AG697" s="110">
        <v>0</v>
      </c>
      <c r="AH697" s="108">
        <f>(AD697-AF697)/(D697*$K$1*2)%</f>
        <v>12.495867768595041</v>
      </c>
      <c r="AI697" s="108">
        <f>(AE697+AF697)/(D697*$K$1*2)%</f>
        <v>11.380165289256198</v>
      </c>
      <c r="AJ697" s="110"/>
    </row>
    <row r="698" spans="1:36" ht="15.75" hidden="1" customHeight="1">
      <c r="A698" s="110" t="s">
        <v>940</v>
      </c>
      <c r="B698" s="229">
        <v>43950</v>
      </c>
      <c r="C698" s="10">
        <v>10000</v>
      </c>
      <c r="D698" s="110">
        <v>5.5</v>
      </c>
      <c r="E698" s="110"/>
      <c r="F698" s="107" t="s">
        <v>263</v>
      </c>
      <c r="G698" s="107"/>
      <c r="H698" s="107"/>
      <c r="K698" s="178">
        <v>44120</v>
      </c>
      <c r="L698" s="107"/>
      <c r="M698" s="107"/>
      <c r="N698" s="107"/>
      <c r="O698" s="107"/>
      <c r="P698" s="107"/>
      <c r="Q698" s="107"/>
      <c r="R698" s="107"/>
      <c r="S698" s="107"/>
      <c r="T698" s="107"/>
      <c r="U698" s="107"/>
      <c r="V698" s="107"/>
      <c r="W698" s="107"/>
      <c r="X698" s="107"/>
      <c r="Y698" s="107"/>
      <c r="Z698" s="107"/>
      <c r="AA698" s="167">
        <v>43976</v>
      </c>
      <c r="AB698" s="109">
        <f>_xlfn.DAYS(AA698,B698)</f>
        <v>26</v>
      </c>
      <c r="AC698" s="110">
        <v>30</v>
      </c>
      <c r="AD698" s="110">
        <v>938</v>
      </c>
      <c r="AE698" s="110">
        <v>513</v>
      </c>
      <c r="AF698" s="110">
        <v>103</v>
      </c>
      <c r="AG698" s="110">
        <v>0</v>
      </c>
      <c r="AH698" s="108">
        <f>(AD698-AF698)/(D698*$K$1*2)%</f>
        <v>13.801652892561984</v>
      </c>
      <c r="AI698" s="108">
        <f>(AE698+AF698)/(D698*$K$1*2)%</f>
        <v>10.181818181818182</v>
      </c>
      <c r="AJ698" s="110"/>
    </row>
    <row r="699" spans="1:36" ht="15.75" hidden="1" customHeight="1">
      <c r="A699" s="110" t="s">
        <v>941</v>
      </c>
      <c r="B699" s="229">
        <v>43924</v>
      </c>
      <c r="C699" s="110">
        <v>10000</v>
      </c>
      <c r="D699" s="110">
        <v>4.5</v>
      </c>
      <c r="E699" s="110"/>
      <c r="F699" s="107" t="s">
        <v>263</v>
      </c>
      <c r="G699" s="107"/>
      <c r="H699" s="107"/>
      <c r="K699" s="178">
        <v>44120</v>
      </c>
      <c r="L699" s="107"/>
      <c r="M699" s="107"/>
      <c r="N699" s="107"/>
      <c r="P699" s="107"/>
      <c r="Q699" s="107"/>
      <c r="R699" s="107"/>
      <c r="S699" s="107"/>
      <c r="T699" s="107"/>
      <c r="U699" s="107"/>
      <c r="V699" s="107"/>
      <c r="W699" s="107"/>
      <c r="X699" s="107"/>
      <c r="Y699" s="107"/>
      <c r="Z699" s="107"/>
      <c r="AA699" s="167" t="s">
        <v>333</v>
      </c>
      <c r="AB699" s="109">
        <f>_xlfn.DAYS(AA699,B699)</f>
        <v>24</v>
      </c>
      <c r="AC699" s="110">
        <v>66.7</v>
      </c>
      <c r="AD699" s="110">
        <v>970</v>
      </c>
      <c r="AE699" s="110">
        <v>478</v>
      </c>
      <c r="AF699" s="110">
        <v>0</v>
      </c>
      <c r="AG699" s="110">
        <v>92.9</v>
      </c>
      <c r="AH699" s="108">
        <f>(AD699-AF699)/(D699*$K$1*2)%</f>
        <v>19.595959595959595</v>
      </c>
      <c r="AI699" s="108">
        <f>(AE699+AF699)/(D699*$K$1*2)%</f>
        <v>9.6565656565656557</v>
      </c>
      <c r="AJ699" s="110"/>
    </row>
    <row r="700" spans="1:36" ht="15.75" hidden="1" customHeight="1">
      <c r="A700" s="110" t="s">
        <v>942</v>
      </c>
      <c r="B700" s="229">
        <v>43924</v>
      </c>
      <c r="C700" s="110">
        <v>10000</v>
      </c>
      <c r="D700" s="110">
        <v>4.5</v>
      </c>
      <c r="E700" s="110"/>
      <c r="F700" s="107" t="s">
        <v>263</v>
      </c>
      <c r="G700" s="107"/>
      <c r="H700" s="107"/>
      <c r="K700" s="178">
        <v>44120</v>
      </c>
      <c r="L700" s="107"/>
      <c r="M700" s="107"/>
      <c r="N700" s="107"/>
      <c r="P700" s="107"/>
      <c r="Q700" s="107"/>
      <c r="R700" s="107"/>
      <c r="S700" s="107"/>
      <c r="T700" s="107"/>
      <c r="U700" s="107"/>
      <c r="V700" s="107"/>
      <c r="W700" s="107"/>
      <c r="X700" s="107"/>
      <c r="Y700" s="107"/>
      <c r="Z700" s="107"/>
      <c r="AA700" s="167" t="s">
        <v>333</v>
      </c>
      <c r="AB700" s="109">
        <f>_xlfn.DAYS(AA700,B700)</f>
        <v>24</v>
      </c>
      <c r="AC700" s="110">
        <v>66.7</v>
      </c>
      <c r="AD700" s="110">
        <v>972</v>
      </c>
      <c r="AE700" s="110">
        <v>381.5</v>
      </c>
      <c r="AF700" s="110">
        <v>0</v>
      </c>
      <c r="AG700" s="110">
        <v>92.9</v>
      </c>
      <c r="AH700" s="108">
        <f>(AD700-AF700)/(D700*$K$1*2)%</f>
        <v>19.636363636363637</v>
      </c>
      <c r="AI700" s="108">
        <f>(AE700+AF700)/(D700*$K$1*2)%</f>
        <v>7.7070707070707067</v>
      </c>
      <c r="AJ700" s="110"/>
    </row>
    <row r="701" spans="1:36" ht="15.75" hidden="1" customHeight="1">
      <c r="A701" s="110" t="s">
        <v>943</v>
      </c>
      <c r="B701" s="229">
        <v>43924</v>
      </c>
      <c r="C701" s="110">
        <v>10000</v>
      </c>
      <c r="D701" s="110">
        <v>4.5</v>
      </c>
      <c r="E701" s="110"/>
      <c r="F701" s="107" t="s">
        <v>263</v>
      </c>
      <c r="G701" s="107"/>
      <c r="H701" s="107"/>
      <c r="K701" s="178">
        <v>44120</v>
      </c>
      <c r="L701" s="107"/>
      <c r="M701" s="107"/>
      <c r="N701" s="107"/>
      <c r="P701" s="107"/>
      <c r="Q701" s="107"/>
      <c r="R701" s="107"/>
      <c r="S701" s="107"/>
      <c r="T701" s="107"/>
      <c r="U701" s="107"/>
      <c r="V701" s="107"/>
      <c r="W701" s="107"/>
      <c r="X701" s="107"/>
      <c r="Y701" s="107"/>
      <c r="Z701" s="107"/>
      <c r="AA701" s="167" t="s">
        <v>333</v>
      </c>
      <c r="AB701" s="109">
        <f>_xlfn.DAYS(AA701,B701)</f>
        <v>24</v>
      </c>
      <c r="AC701" s="110">
        <v>60</v>
      </c>
      <c r="AD701" s="110">
        <v>982</v>
      </c>
      <c r="AE701" s="110">
        <v>453.5</v>
      </c>
      <c r="AF701" s="110">
        <v>0</v>
      </c>
      <c r="AG701" s="110">
        <v>92.9</v>
      </c>
      <c r="AH701" s="108">
        <f>(AD701-AF701)/(D701*$K$1*2)%</f>
        <v>19.838383838383837</v>
      </c>
      <c r="AI701" s="108">
        <f>(AE701+AF701)/(D701*$K$1*2)%</f>
        <v>9.1616161616161609</v>
      </c>
      <c r="AJ701" s="110"/>
    </row>
    <row r="702" spans="1:36" ht="15.75" hidden="1" customHeight="1">
      <c r="A702" s="110" t="s">
        <v>944</v>
      </c>
      <c r="B702" s="229">
        <v>43924</v>
      </c>
      <c r="C702" s="110">
        <v>10000</v>
      </c>
      <c r="D702" s="110">
        <v>4.5</v>
      </c>
      <c r="E702" s="110"/>
      <c r="F702" s="107" t="s">
        <v>263</v>
      </c>
      <c r="G702" s="107"/>
      <c r="H702" s="107"/>
      <c r="K702" s="178">
        <v>44120</v>
      </c>
      <c r="L702" s="107"/>
      <c r="M702" s="107"/>
      <c r="N702" s="107"/>
      <c r="P702" s="107"/>
      <c r="Q702" s="107"/>
      <c r="R702" s="107"/>
      <c r="S702" s="107"/>
      <c r="T702" s="107"/>
      <c r="U702" s="107"/>
      <c r="V702" s="107"/>
      <c r="W702" s="107"/>
      <c r="X702" s="107"/>
      <c r="Y702" s="107"/>
      <c r="Z702" s="107"/>
      <c r="AA702" s="167" t="s">
        <v>333</v>
      </c>
      <c r="AB702" s="109">
        <f>_xlfn.DAYS(AA702,B702)</f>
        <v>24</v>
      </c>
      <c r="AC702" s="110">
        <v>50</v>
      </c>
      <c r="AD702" s="110">
        <v>807.5</v>
      </c>
      <c r="AE702" s="110">
        <v>350</v>
      </c>
      <c r="AF702" s="110">
        <v>0</v>
      </c>
      <c r="AG702" s="110">
        <v>92.9</v>
      </c>
      <c r="AH702" s="108">
        <f>(AD702-AF702)/(D702*$K$1*2)%</f>
        <v>16.313131313131311</v>
      </c>
      <c r="AI702" s="108">
        <f>(AE702+AF702)/(D702*$K$1*2)%</f>
        <v>7.0707070707070709</v>
      </c>
      <c r="AJ702" s="110"/>
    </row>
    <row r="703" spans="1:36" ht="15.75" hidden="1" customHeight="1">
      <c r="A703" s="107" t="s">
        <v>945</v>
      </c>
      <c r="B703" s="226">
        <v>44050</v>
      </c>
      <c r="C703" s="224">
        <v>10000</v>
      </c>
      <c r="D703" s="107">
        <f>COUNTA(G703:Z703)*0.5</f>
        <v>7.5</v>
      </c>
      <c r="F703" s="107" t="s">
        <v>263</v>
      </c>
      <c r="G703" s="178">
        <v>44050</v>
      </c>
      <c r="H703" s="178">
        <v>44050</v>
      </c>
      <c r="I703" s="178">
        <v>44053</v>
      </c>
      <c r="J703" s="178">
        <v>44118</v>
      </c>
      <c r="K703" s="178">
        <v>44120</v>
      </c>
      <c r="L703" s="178">
        <v>44061</v>
      </c>
      <c r="M703" s="178">
        <v>44064</v>
      </c>
      <c r="N703" s="178">
        <v>44064</v>
      </c>
      <c r="O703" s="178">
        <v>44064</v>
      </c>
      <c r="P703" s="178">
        <v>44064</v>
      </c>
      <c r="Q703" s="178">
        <v>44067</v>
      </c>
      <c r="R703" s="178">
        <v>44069</v>
      </c>
      <c r="S703" s="178">
        <v>44069</v>
      </c>
      <c r="T703" s="178">
        <v>44071</v>
      </c>
      <c r="U703" s="178">
        <v>44088</v>
      </c>
      <c r="AG703" s="107">
        <f>COUNTIFS(F:F,"Culled",A:A,LEFT(A703,LEN(A703)-3)&amp;"*")/COUNTIF(A:A,LEFT(A703,LEN(A703)-3)&amp;"*")*100</f>
        <v>0</v>
      </c>
      <c r="AH703" s="108">
        <f>(AD703-AF703)/(D703*$K$1*2)%</f>
        <v>0</v>
      </c>
      <c r="AI703" s="108">
        <f>(AE703+AF703)/(D703*$K$1*2)%</f>
        <v>0</v>
      </c>
    </row>
    <row r="704" spans="1:36" ht="15.75" hidden="1" customHeight="1">
      <c r="A704" s="107" t="s">
        <v>946</v>
      </c>
      <c r="B704" s="226">
        <v>44050</v>
      </c>
      <c r="C704" s="224">
        <v>10000</v>
      </c>
      <c r="D704" s="107">
        <f>COUNTA(G704:Z704)*0.5</f>
        <v>7.5</v>
      </c>
      <c r="F704" s="107" t="s">
        <v>263</v>
      </c>
      <c r="G704" s="178">
        <v>44050</v>
      </c>
      <c r="H704" s="178">
        <v>44050</v>
      </c>
      <c r="I704" s="178">
        <v>44053</v>
      </c>
      <c r="J704" s="178">
        <v>44118</v>
      </c>
      <c r="K704" s="178">
        <v>44120</v>
      </c>
      <c r="L704" s="178">
        <v>44061</v>
      </c>
      <c r="M704" s="178">
        <v>44064</v>
      </c>
      <c r="N704" s="178">
        <v>44064</v>
      </c>
      <c r="O704" s="178">
        <v>44064</v>
      </c>
      <c r="P704" s="178">
        <v>44064</v>
      </c>
      <c r="Q704" s="178">
        <v>44067</v>
      </c>
      <c r="R704" s="178">
        <v>44069</v>
      </c>
      <c r="S704" s="178">
        <v>44069</v>
      </c>
      <c r="T704" s="178">
        <v>44071</v>
      </c>
      <c r="U704" s="178">
        <v>44088</v>
      </c>
      <c r="AG704" s="107">
        <f>COUNTIFS(F:F,"Culled",A:A,LEFT(A704,LEN(A704)-3)&amp;"*")/COUNTIF(A:A,LEFT(A704,LEN(A704)-3)&amp;"*")*100</f>
        <v>0</v>
      </c>
      <c r="AH704" s="108">
        <f>(AD704-AF704)/(D704*$K$1*2)%</f>
        <v>0</v>
      </c>
      <c r="AI704" s="108">
        <f>(AE704+AF704)/(D704*$K$1*2)%</f>
        <v>0</v>
      </c>
    </row>
    <row r="705" spans="1:36" ht="15.75" hidden="1" customHeight="1">
      <c r="A705" s="107" t="s">
        <v>947</v>
      </c>
      <c r="B705" s="226">
        <v>44050</v>
      </c>
      <c r="C705" s="224">
        <v>10000</v>
      </c>
      <c r="D705" s="107">
        <f>COUNTA(G705:Z705)*0.5</f>
        <v>7.5</v>
      </c>
      <c r="F705" s="107" t="s">
        <v>263</v>
      </c>
      <c r="G705" s="178">
        <v>44050</v>
      </c>
      <c r="H705" s="178">
        <v>44050</v>
      </c>
      <c r="I705" s="178">
        <v>44053</v>
      </c>
      <c r="J705" s="178">
        <v>44118</v>
      </c>
      <c r="K705" s="178">
        <v>44120</v>
      </c>
      <c r="L705" s="178">
        <v>44061</v>
      </c>
      <c r="M705" s="178">
        <v>44064</v>
      </c>
      <c r="N705" s="178">
        <v>44064</v>
      </c>
      <c r="O705" s="178">
        <v>44064</v>
      </c>
      <c r="P705" s="178">
        <v>44064</v>
      </c>
      <c r="Q705" s="178">
        <v>44067</v>
      </c>
      <c r="R705" s="178">
        <v>44069</v>
      </c>
      <c r="S705" s="178">
        <v>44069</v>
      </c>
      <c r="T705" s="178">
        <v>44071</v>
      </c>
      <c r="U705" s="178">
        <v>44088</v>
      </c>
      <c r="AG705" s="107">
        <f>COUNTIFS(F:F,"Culled",A:A,LEFT(A705,LEN(A705)-3)&amp;"*")/COUNTIF(A:A,LEFT(A705,LEN(A705)-3)&amp;"*")*100</f>
        <v>0</v>
      </c>
      <c r="AH705" s="108">
        <f>(AD705-AF705)/(D705*$K$1*2)%</f>
        <v>0</v>
      </c>
      <c r="AI705" s="108">
        <f>(AE705+AF705)/(D705*$K$1*2)%</f>
        <v>0</v>
      </c>
    </row>
    <row r="706" spans="1:36" ht="15.75" hidden="1" customHeight="1">
      <c r="A706" s="110" t="s">
        <v>948</v>
      </c>
      <c r="B706" s="229">
        <v>43902</v>
      </c>
      <c r="C706" s="110">
        <v>10000</v>
      </c>
      <c r="D706" s="110">
        <v>10</v>
      </c>
      <c r="E706" s="110"/>
      <c r="F706" s="107" t="s">
        <v>263</v>
      </c>
      <c r="G706" s="107"/>
      <c r="H706" s="107"/>
      <c r="K706" s="178">
        <v>44120</v>
      </c>
      <c r="L706" s="107"/>
      <c r="M706" s="107"/>
      <c r="N706" s="107"/>
      <c r="P706" s="107"/>
      <c r="Q706" s="107"/>
      <c r="R706" s="107"/>
      <c r="S706" s="107"/>
      <c r="T706" s="107"/>
      <c r="U706" s="107"/>
      <c r="V706" s="107"/>
      <c r="W706" s="107"/>
      <c r="X706" s="107"/>
      <c r="Y706" s="107"/>
      <c r="Z706" s="107"/>
      <c r="AA706" s="167">
        <v>43930</v>
      </c>
      <c r="AB706" s="109">
        <f>_xlfn.DAYS(AA706,B706)</f>
        <v>28</v>
      </c>
      <c r="AC706" s="110">
        <v>32</v>
      </c>
      <c r="AD706" s="110">
        <v>1821</v>
      </c>
      <c r="AE706" s="110">
        <v>350</v>
      </c>
      <c r="AF706" s="110">
        <v>149.5</v>
      </c>
      <c r="AG706" s="110">
        <v>0</v>
      </c>
      <c r="AH706" s="108">
        <f>(AD706-AF706)/(D706*$K$1*2)%</f>
        <v>15.195454545454545</v>
      </c>
      <c r="AI706" s="108">
        <f>(AE706+AF706)/(D706*$K$1*2)%</f>
        <v>4.540909090909091</v>
      </c>
      <c r="AJ706" s="110"/>
    </row>
    <row r="707" spans="1:36" ht="15.75" hidden="1" customHeight="1">
      <c r="A707" s="110" t="s">
        <v>949</v>
      </c>
      <c r="B707" s="229">
        <v>43902</v>
      </c>
      <c r="C707" s="110">
        <v>10000</v>
      </c>
      <c r="D707" s="110">
        <v>10</v>
      </c>
      <c r="E707" s="110"/>
      <c r="F707" s="107" t="s">
        <v>263</v>
      </c>
      <c r="G707" s="107"/>
      <c r="H707" s="107"/>
      <c r="K707" s="178">
        <v>44120</v>
      </c>
      <c r="L707" s="107"/>
      <c r="M707" s="107"/>
      <c r="N707" s="107"/>
      <c r="P707" s="107"/>
      <c r="Q707" s="107"/>
      <c r="R707" s="107"/>
      <c r="S707" s="107"/>
      <c r="T707" s="107"/>
      <c r="U707" s="107"/>
      <c r="V707" s="107"/>
      <c r="W707" s="107"/>
      <c r="X707" s="107"/>
      <c r="Y707" s="107"/>
      <c r="Z707" s="107"/>
      <c r="AA707" s="167">
        <v>43930</v>
      </c>
      <c r="AB707" s="109">
        <f>_xlfn.DAYS(AA707,B707)</f>
        <v>28</v>
      </c>
      <c r="AC707" s="110">
        <v>13.33</v>
      </c>
      <c r="AD707" s="110">
        <v>1687</v>
      </c>
      <c r="AE707" s="110">
        <v>347.5</v>
      </c>
      <c r="AF707" s="110">
        <v>120.5</v>
      </c>
      <c r="AG707" s="110">
        <v>0</v>
      </c>
      <c r="AH707" s="108">
        <f>(AD707-AF707)/(D707*$K$1*2)%</f>
        <v>14.24090909090909</v>
      </c>
      <c r="AI707" s="108">
        <f>(AE707+AF707)/(D707*$K$1*2)%</f>
        <v>4.2545454545454549</v>
      </c>
      <c r="AJ707" s="110"/>
    </row>
    <row r="708" spans="1:36" ht="15.75" hidden="1" customHeight="1">
      <c r="A708" s="110" t="s">
        <v>950</v>
      </c>
      <c r="B708" s="229">
        <v>43902</v>
      </c>
      <c r="C708" s="110">
        <v>10000</v>
      </c>
      <c r="D708" s="110">
        <v>10</v>
      </c>
      <c r="E708" s="110"/>
      <c r="F708" s="107" t="s">
        <v>263</v>
      </c>
      <c r="G708" s="107"/>
      <c r="H708" s="107"/>
      <c r="K708" s="178">
        <v>44120</v>
      </c>
      <c r="L708" s="107"/>
      <c r="M708" s="107"/>
      <c r="N708" s="107"/>
      <c r="P708" s="107"/>
      <c r="Q708" s="107"/>
      <c r="R708" s="107"/>
      <c r="S708" s="107"/>
      <c r="T708" s="107"/>
      <c r="U708" s="107"/>
      <c r="V708" s="107"/>
      <c r="W708" s="107"/>
      <c r="X708" s="107"/>
      <c r="Y708" s="107"/>
      <c r="Z708" s="107"/>
      <c r="AA708" s="167">
        <v>43930</v>
      </c>
      <c r="AB708" s="109">
        <f>_xlfn.DAYS(AA708,B708)</f>
        <v>28</v>
      </c>
      <c r="AC708" s="110">
        <v>10.7</v>
      </c>
      <c r="AD708" s="110">
        <v>1777</v>
      </c>
      <c r="AE708" s="110">
        <v>364</v>
      </c>
      <c r="AF708" s="110">
        <v>130.5</v>
      </c>
      <c r="AG708" s="110">
        <v>0</v>
      </c>
      <c r="AH708" s="108">
        <f>(AD708-AF708)/(D708*$K$1*2)%</f>
        <v>14.968181818181819</v>
      </c>
      <c r="AI708" s="108">
        <f>(AE708+AF708)/(D708*$K$1*2)%</f>
        <v>4.4954545454545451</v>
      </c>
      <c r="AJ708" s="110"/>
    </row>
    <row r="709" spans="1:36" ht="15.75" hidden="1" customHeight="1">
      <c r="A709" s="110" t="s">
        <v>951</v>
      </c>
      <c r="B709" s="229">
        <v>43902</v>
      </c>
      <c r="C709" s="110">
        <v>10000</v>
      </c>
      <c r="D709" s="110">
        <v>10</v>
      </c>
      <c r="E709" s="110"/>
      <c r="F709" s="107" t="s">
        <v>263</v>
      </c>
      <c r="G709" s="107"/>
      <c r="H709" s="107"/>
      <c r="K709" s="178">
        <v>44120</v>
      </c>
      <c r="L709" s="107"/>
      <c r="M709" s="107"/>
      <c r="N709" s="107"/>
      <c r="P709" s="107"/>
      <c r="Q709" s="107"/>
      <c r="R709" s="107"/>
      <c r="S709" s="107"/>
      <c r="T709" s="107"/>
      <c r="U709" s="107"/>
      <c r="V709" s="107"/>
      <c r="W709" s="107"/>
      <c r="X709" s="107"/>
      <c r="Y709" s="107"/>
      <c r="Z709" s="107"/>
      <c r="AA709" s="167">
        <v>43930</v>
      </c>
      <c r="AB709" s="109">
        <f>_xlfn.DAYS(AA709,B709)</f>
        <v>28</v>
      </c>
      <c r="AC709" s="110">
        <v>20</v>
      </c>
      <c r="AD709" s="110">
        <v>1673.5</v>
      </c>
      <c r="AE709" s="110">
        <v>473.5</v>
      </c>
      <c r="AF709" s="110">
        <v>211.5</v>
      </c>
      <c r="AG709" s="110">
        <v>0</v>
      </c>
      <c r="AH709" s="108">
        <f>(AD709-AF709)/(D709*$K$1*2)%</f>
        <v>13.290909090909091</v>
      </c>
      <c r="AI709" s="108">
        <f>(AE709+AF709)/(D709*$K$1*2)%</f>
        <v>6.2272727272727275</v>
      </c>
      <c r="AJ709" s="110"/>
    </row>
    <row r="710" spans="1:36" ht="15.75" hidden="1" customHeight="1">
      <c r="A710" s="110" t="s">
        <v>952</v>
      </c>
      <c r="B710" s="229">
        <v>43902</v>
      </c>
      <c r="C710" s="110">
        <v>10000</v>
      </c>
      <c r="D710" s="110">
        <v>10</v>
      </c>
      <c r="E710" s="110"/>
      <c r="F710" s="107" t="s">
        <v>263</v>
      </c>
      <c r="G710" s="107"/>
      <c r="H710" s="107"/>
      <c r="K710" s="178">
        <v>44120</v>
      </c>
      <c r="L710" s="107"/>
      <c r="M710" s="107"/>
      <c r="N710" s="107"/>
      <c r="P710" s="107"/>
      <c r="Q710" s="107"/>
      <c r="R710" s="107"/>
      <c r="S710" s="107"/>
      <c r="T710" s="107"/>
      <c r="U710" s="107"/>
      <c r="V710" s="107"/>
      <c r="W710" s="107"/>
      <c r="X710" s="107"/>
      <c r="Y710" s="107"/>
      <c r="Z710" s="107"/>
      <c r="AA710" s="167">
        <v>43930</v>
      </c>
      <c r="AB710" s="109">
        <f>_xlfn.DAYS(AA710,B710)</f>
        <v>28</v>
      </c>
      <c r="AC710" s="110">
        <v>10.53</v>
      </c>
      <c r="AD710" s="110">
        <v>1848</v>
      </c>
      <c r="AE710" s="110">
        <v>520</v>
      </c>
      <c r="AF710" s="110">
        <v>236</v>
      </c>
      <c r="AG710" s="110">
        <v>0</v>
      </c>
      <c r="AH710" s="108">
        <f>(AD710-AF710)/(D710*$K$1*2)%</f>
        <v>14.654545454545454</v>
      </c>
      <c r="AI710" s="108">
        <f>(AE710+AF710)/(D710*$K$1*2)%</f>
        <v>6.872727272727273</v>
      </c>
      <c r="AJ710" s="110"/>
    </row>
    <row r="711" spans="1:36" ht="15.75" hidden="1" customHeight="1">
      <c r="A711" s="110" t="s">
        <v>953</v>
      </c>
      <c r="B711" s="229">
        <v>43903</v>
      </c>
      <c r="C711" s="110">
        <v>10000</v>
      </c>
      <c r="D711" s="110">
        <v>7.5</v>
      </c>
      <c r="E711" s="110"/>
      <c r="F711" s="107" t="s">
        <v>263</v>
      </c>
      <c r="G711" s="107"/>
      <c r="H711" s="107"/>
      <c r="K711" s="178">
        <v>44120</v>
      </c>
      <c r="L711" s="107"/>
      <c r="M711" s="107"/>
      <c r="N711" s="107"/>
      <c r="P711" s="107"/>
      <c r="Q711" s="107"/>
      <c r="R711" s="107"/>
      <c r="S711" s="107"/>
      <c r="T711" s="107"/>
      <c r="U711" s="107"/>
      <c r="V711" s="107"/>
      <c r="W711" s="107"/>
      <c r="X711" s="107"/>
      <c r="Y711" s="107"/>
      <c r="Z711" s="107"/>
      <c r="AA711" s="167">
        <v>43931</v>
      </c>
      <c r="AB711" s="109">
        <f>_xlfn.DAYS(AA711,B711)</f>
        <v>28</v>
      </c>
      <c r="AC711" s="110">
        <v>27</v>
      </c>
      <c r="AD711" s="110">
        <v>1247.5</v>
      </c>
      <c r="AE711" s="110">
        <v>537.5</v>
      </c>
      <c r="AF711" s="110">
        <v>56.5</v>
      </c>
      <c r="AG711" s="110">
        <v>0</v>
      </c>
      <c r="AH711" s="108">
        <f>(AD711-AF711)/(D711*$K$1*2)%</f>
        <v>14.436363636363636</v>
      </c>
      <c r="AI711" s="108">
        <f>(AE711+AF711)/(D711*$K$1*2)%</f>
        <v>7.2</v>
      </c>
      <c r="AJ711" s="110"/>
    </row>
    <row r="712" spans="1:36" ht="15.75" hidden="1" customHeight="1">
      <c r="A712" s="110" t="s">
        <v>954</v>
      </c>
      <c r="B712" s="229">
        <v>44034</v>
      </c>
      <c r="C712" s="110">
        <v>10000</v>
      </c>
      <c r="D712" s="236">
        <v>5</v>
      </c>
      <c r="E712" s="236"/>
      <c r="F712" s="107" t="s">
        <v>323</v>
      </c>
      <c r="G712" s="107"/>
      <c r="H712" s="107"/>
      <c r="I712" s="107"/>
      <c r="J712" s="107"/>
      <c r="K712" s="178">
        <v>44120</v>
      </c>
      <c r="L712" s="107"/>
      <c r="M712" s="107"/>
      <c r="N712" s="107"/>
      <c r="O712" s="107"/>
      <c r="P712" s="107"/>
      <c r="Q712" s="107"/>
      <c r="R712" s="107"/>
      <c r="S712" s="107"/>
      <c r="T712" s="107"/>
      <c r="U712" s="107"/>
      <c r="V712" s="107"/>
      <c r="W712" s="107"/>
      <c r="X712" s="107"/>
      <c r="Y712" s="107"/>
      <c r="Z712" s="107"/>
      <c r="AA712" s="167"/>
      <c r="AB712" s="109">
        <f>_xlfn.DAYS(AA712,B712)</f>
        <v>-44034</v>
      </c>
      <c r="AC712" s="110"/>
      <c r="AD712" s="110"/>
      <c r="AE712" s="110"/>
      <c r="AF712" s="110"/>
      <c r="AG712" s="107">
        <f>COUNTIFS(F:F,"Culled",A:A,LEFT(A712,LEN(A712)-3)&amp;"*")/COUNTIF(A:A,LEFT(A712,LEN(A712)-3)&amp;"*")*100</f>
        <v>100</v>
      </c>
      <c r="AH712" s="107"/>
    </row>
    <row r="713" spans="1:36" ht="15.75" hidden="1" customHeight="1">
      <c r="A713" s="110" t="s">
        <v>955</v>
      </c>
      <c r="B713" s="229">
        <v>43903</v>
      </c>
      <c r="C713" s="110">
        <v>10000</v>
      </c>
      <c r="D713" s="110">
        <v>8</v>
      </c>
      <c r="E713" s="110"/>
      <c r="F713" s="107" t="s">
        <v>263</v>
      </c>
      <c r="G713" s="107"/>
      <c r="H713" s="107"/>
      <c r="K713" s="178">
        <v>44120</v>
      </c>
      <c r="L713" s="107"/>
      <c r="M713" s="107"/>
      <c r="N713" s="107"/>
      <c r="P713" s="107"/>
      <c r="Q713" s="107"/>
      <c r="R713" s="107"/>
      <c r="S713" s="107"/>
      <c r="T713" s="107"/>
      <c r="U713" s="107"/>
      <c r="V713" s="107"/>
      <c r="W713" s="107"/>
      <c r="X713" s="107"/>
      <c r="Y713" s="107"/>
      <c r="Z713" s="107"/>
      <c r="AA713" s="167">
        <v>43931</v>
      </c>
      <c r="AB713" s="109">
        <f>_xlfn.DAYS(AA713,B713)</f>
        <v>28</v>
      </c>
      <c r="AC713" s="110">
        <v>18</v>
      </c>
      <c r="AD713" s="110">
        <v>1475</v>
      </c>
      <c r="AE713" s="110">
        <v>345</v>
      </c>
      <c r="AF713" s="110">
        <v>106.5</v>
      </c>
      <c r="AG713" s="110">
        <v>0</v>
      </c>
      <c r="AH713" s="108">
        <f>(AD713-AF713)/(D713*$K$1*2)%</f>
        <v>15.551136363636363</v>
      </c>
      <c r="AI713" s="108">
        <f>(AE713+AF713)/(D713*$K$1*2)%</f>
        <v>5.1306818181818183</v>
      </c>
      <c r="AJ713" s="110"/>
    </row>
    <row r="714" spans="1:36" ht="15.75" hidden="1" customHeight="1">
      <c r="A714" s="110" t="s">
        <v>956</v>
      </c>
      <c r="B714" s="229">
        <v>44034</v>
      </c>
      <c r="C714" s="110">
        <v>10000</v>
      </c>
      <c r="D714" s="236">
        <v>5</v>
      </c>
      <c r="E714" s="236"/>
      <c r="F714" s="107" t="s">
        <v>323</v>
      </c>
      <c r="G714" s="107"/>
      <c r="H714" s="107"/>
      <c r="I714" s="107"/>
      <c r="J714" s="107"/>
      <c r="K714" s="178">
        <v>44120</v>
      </c>
      <c r="L714" s="107"/>
      <c r="M714" s="107"/>
      <c r="N714" s="107"/>
      <c r="O714" s="107"/>
      <c r="P714" s="107"/>
      <c r="Q714" s="107"/>
      <c r="R714" s="107"/>
      <c r="S714" s="107"/>
      <c r="T714" s="107"/>
      <c r="U714" s="107"/>
      <c r="V714" s="107"/>
      <c r="W714" s="107"/>
      <c r="X714" s="107"/>
      <c r="Y714" s="107"/>
      <c r="Z714" s="107"/>
      <c r="AA714" s="167"/>
      <c r="AB714" s="109">
        <f>_xlfn.DAYS(AA714,B714)</f>
        <v>-44034</v>
      </c>
      <c r="AC714" s="110"/>
      <c r="AD714" s="110"/>
      <c r="AE714" s="110"/>
      <c r="AF714" s="110"/>
      <c r="AG714" s="107">
        <f>COUNTIFS(F:F,"Culled",A:A,LEFT(A714,LEN(A714)-3)&amp;"*")/COUNTIF(A:A,LEFT(A714,LEN(A714)-3)&amp;"*")*100</f>
        <v>100</v>
      </c>
      <c r="AH714" s="107"/>
    </row>
    <row r="715" spans="1:36" ht="15.75" hidden="1" customHeight="1">
      <c r="A715" s="110" t="s">
        <v>957</v>
      </c>
      <c r="B715" s="229">
        <v>44034</v>
      </c>
      <c r="C715" s="110">
        <v>10000</v>
      </c>
      <c r="D715" s="236">
        <v>5</v>
      </c>
      <c r="E715" s="236"/>
      <c r="F715" s="107" t="s">
        <v>323</v>
      </c>
      <c r="G715" s="107"/>
      <c r="H715" s="107"/>
      <c r="I715" s="107"/>
      <c r="J715" s="107"/>
      <c r="K715" s="178">
        <v>44120</v>
      </c>
      <c r="L715" s="107"/>
      <c r="M715" s="107"/>
      <c r="N715" s="107"/>
      <c r="O715" s="107"/>
      <c r="P715" s="107"/>
      <c r="Q715" s="107"/>
      <c r="R715" s="107"/>
      <c r="S715" s="107"/>
      <c r="T715" s="107"/>
      <c r="U715" s="107"/>
      <c r="V715" s="107"/>
      <c r="W715" s="107"/>
      <c r="X715" s="107"/>
      <c r="Y715" s="107"/>
      <c r="Z715" s="107"/>
      <c r="AA715" s="167"/>
      <c r="AB715" s="109">
        <f>_xlfn.DAYS(AA715,B715)</f>
        <v>-44034</v>
      </c>
      <c r="AC715" s="110"/>
      <c r="AD715" s="110"/>
      <c r="AE715" s="110"/>
      <c r="AF715" s="110"/>
      <c r="AG715" s="107">
        <f>COUNTIFS(F:F,"Culled",A:A,LEFT(A715,LEN(A715)-3)&amp;"*")/COUNTIF(A:A,LEFT(A715,LEN(A715)-3)&amp;"*")*100</f>
        <v>100</v>
      </c>
      <c r="AH715" s="107"/>
    </row>
    <row r="716" spans="1:36" ht="15.75" hidden="1" customHeight="1">
      <c r="A716" s="110" t="s">
        <v>958</v>
      </c>
      <c r="B716" s="229">
        <v>44034</v>
      </c>
      <c r="C716" s="110">
        <v>10000</v>
      </c>
      <c r="D716" s="236">
        <v>4.5</v>
      </c>
      <c r="E716" s="236"/>
      <c r="F716" s="107" t="s">
        <v>323</v>
      </c>
      <c r="G716" s="107"/>
      <c r="H716" s="107"/>
      <c r="I716" s="107"/>
      <c r="J716" s="107"/>
      <c r="K716" s="178">
        <v>44120</v>
      </c>
      <c r="L716" s="107"/>
      <c r="M716" s="107"/>
      <c r="N716" s="107"/>
      <c r="O716" s="107"/>
      <c r="P716" s="107"/>
      <c r="Q716" s="107"/>
      <c r="R716" s="107"/>
      <c r="S716" s="107"/>
      <c r="T716" s="107"/>
      <c r="U716" s="107"/>
      <c r="V716" s="107"/>
      <c r="W716" s="107"/>
      <c r="X716" s="107"/>
      <c r="Y716" s="107"/>
      <c r="Z716" s="107"/>
      <c r="AA716" s="167"/>
      <c r="AB716" s="109">
        <f>_xlfn.DAYS(AA716,B716)</f>
        <v>-44034</v>
      </c>
      <c r="AC716" s="110"/>
      <c r="AD716" s="110"/>
      <c r="AE716" s="110"/>
      <c r="AF716" s="110"/>
      <c r="AG716" s="107">
        <f>COUNTIFS(F:F,"Culled",A:A,LEFT(A716,LEN(A716)-3)&amp;"*")/COUNTIF(A:A,LEFT(A716,LEN(A716)-3)&amp;"*")*100</f>
        <v>100</v>
      </c>
      <c r="AH716" s="107"/>
    </row>
    <row r="717" spans="1:36" ht="15.75" hidden="1" customHeight="1">
      <c r="A717" s="110" t="s">
        <v>959</v>
      </c>
      <c r="B717" s="229">
        <v>44036</v>
      </c>
      <c r="C717" s="110">
        <v>10000</v>
      </c>
      <c r="D717" s="236">
        <v>8</v>
      </c>
      <c r="E717" s="236"/>
      <c r="F717" s="107" t="s">
        <v>323</v>
      </c>
      <c r="G717" s="107"/>
      <c r="H717" s="107"/>
      <c r="I717" s="107"/>
      <c r="J717" s="107"/>
      <c r="K717" s="178">
        <v>44120</v>
      </c>
      <c r="L717" s="107"/>
      <c r="M717" s="107"/>
      <c r="N717" s="107"/>
      <c r="O717" s="107"/>
      <c r="P717" s="107"/>
      <c r="Q717" s="107"/>
      <c r="R717" s="107"/>
      <c r="S717" s="107"/>
      <c r="T717" s="107"/>
      <c r="U717" s="107"/>
      <c r="V717" s="107"/>
      <c r="W717" s="107"/>
      <c r="X717" s="107"/>
      <c r="Y717" s="107"/>
      <c r="Z717" s="107"/>
      <c r="AA717" s="167"/>
      <c r="AB717" s="109">
        <f>_xlfn.DAYS(AA717,B717)</f>
        <v>-44036</v>
      </c>
      <c r="AC717" s="110"/>
      <c r="AD717" s="110"/>
      <c r="AE717" s="110"/>
      <c r="AF717" s="110"/>
      <c r="AG717" s="107">
        <f>COUNTIFS(F:F,"Culled",A:A,LEFT(A717,LEN(A717)-3)&amp;"*")/COUNTIF(A:A,LEFT(A717,LEN(A717)-3)&amp;"*")*100</f>
        <v>100</v>
      </c>
      <c r="AH717" s="107"/>
    </row>
    <row r="718" spans="1:36" ht="15.75" hidden="1" customHeight="1">
      <c r="A718" s="110" t="s">
        <v>960</v>
      </c>
      <c r="B718" s="229">
        <v>43903</v>
      </c>
      <c r="C718" s="110">
        <v>10000</v>
      </c>
      <c r="D718" s="110">
        <v>7.5</v>
      </c>
      <c r="E718" s="110"/>
      <c r="F718" s="107" t="s">
        <v>263</v>
      </c>
      <c r="G718" s="107"/>
      <c r="H718" s="107"/>
      <c r="K718" s="178">
        <v>44120</v>
      </c>
      <c r="L718" s="107"/>
      <c r="M718" s="107"/>
      <c r="O718" s="107"/>
      <c r="P718" s="107"/>
      <c r="Q718" s="107"/>
      <c r="R718" s="107"/>
      <c r="S718" s="107"/>
      <c r="T718" s="107"/>
      <c r="U718" s="107"/>
      <c r="V718" s="107"/>
      <c r="W718" s="107"/>
      <c r="X718" s="107"/>
      <c r="Y718" s="107"/>
      <c r="Z718" s="107"/>
      <c r="AA718" s="167">
        <v>43931</v>
      </c>
      <c r="AB718" s="109">
        <f>_xlfn.DAYS(AA718,B718)</f>
        <v>28</v>
      </c>
      <c r="AC718" s="110">
        <v>18</v>
      </c>
      <c r="AD718" s="110">
        <v>1422</v>
      </c>
      <c r="AE718" s="110">
        <v>374</v>
      </c>
      <c r="AF718" s="110">
        <v>109</v>
      </c>
      <c r="AG718" s="110">
        <v>0</v>
      </c>
      <c r="AH718" s="108">
        <f>(AD718-AF718)/(D718*$K$1*2)%</f>
        <v>15.915151515151516</v>
      </c>
      <c r="AI718" s="108">
        <f>(AE718+AF718)/(D718*$K$1*2)%</f>
        <v>5.8545454545454545</v>
      </c>
      <c r="AJ718" s="110"/>
    </row>
    <row r="719" spans="1:36" ht="15.75" hidden="1" customHeight="1">
      <c r="A719" s="107" t="s">
        <v>961</v>
      </c>
      <c r="B719" s="226">
        <v>44113</v>
      </c>
      <c r="C719" s="230">
        <v>10665</v>
      </c>
      <c r="D719" s="107">
        <f>COUNTA(G719:Z719)*0.5</f>
        <v>3.5</v>
      </c>
      <c r="F719" s="107" t="s">
        <v>263</v>
      </c>
      <c r="G719" s="178">
        <v>44113</v>
      </c>
      <c r="H719" s="178">
        <v>44113</v>
      </c>
      <c r="I719" s="178">
        <v>44118</v>
      </c>
      <c r="J719" s="178">
        <v>44118</v>
      </c>
      <c r="K719" s="178">
        <v>44120</v>
      </c>
      <c r="L719" s="178">
        <v>44123</v>
      </c>
      <c r="M719" s="178">
        <v>44125</v>
      </c>
      <c r="AA719" s="166">
        <v>44140</v>
      </c>
      <c r="AH719" s="108">
        <f>(AD719-AF719)/(D719*$K$1*2)%</f>
        <v>0</v>
      </c>
      <c r="AI719" s="108">
        <f>(AE719+AF719)/(D719*$K$1*2)%</f>
        <v>0</v>
      </c>
    </row>
    <row r="720" spans="1:36" ht="15.75" hidden="1" customHeight="1">
      <c r="A720" s="107" t="s">
        <v>962</v>
      </c>
      <c r="B720" s="226">
        <v>44113</v>
      </c>
      <c r="C720" s="230">
        <v>10665</v>
      </c>
      <c r="D720" s="107">
        <f>COUNTA(G720:Z720)*0.5</f>
        <v>3.5</v>
      </c>
      <c r="F720" s="107" t="s">
        <v>263</v>
      </c>
      <c r="G720" s="178">
        <v>44113</v>
      </c>
      <c r="H720" s="178">
        <v>44113</v>
      </c>
      <c r="I720" s="178">
        <v>44118</v>
      </c>
      <c r="J720" s="178">
        <v>44118</v>
      </c>
      <c r="K720" s="178">
        <v>44120</v>
      </c>
      <c r="L720" s="178">
        <v>44123</v>
      </c>
      <c r="M720" s="178">
        <v>44125</v>
      </c>
      <c r="AA720" s="166">
        <v>44140</v>
      </c>
      <c r="AH720" s="108">
        <f>(AD720-AF720)/(D720*$K$1*2)%</f>
        <v>0</v>
      </c>
      <c r="AI720" s="108">
        <f>(AE720+AF720)/(D720*$K$1*2)%</f>
        <v>0</v>
      </c>
    </row>
    <row r="721" spans="1:35" ht="15.75" hidden="1" customHeight="1">
      <c r="A721" s="110" t="s">
        <v>963</v>
      </c>
      <c r="B721" s="229">
        <v>44036</v>
      </c>
      <c r="C721" s="110">
        <v>10000</v>
      </c>
      <c r="D721" s="236">
        <v>8</v>
      </c>
      <c r="E721" s="236"/>
      <c r="F721" s="107" t="s">
        <v>323</v>
      </c>
      <c r="G721" s="107"/>
      <c r="H721" s="107"/>
      <c r="I721" s="107"/>
      <c r="J721" s="107"/>
      <c r="K721" s="107"/>
      <c r="L721" s="107"/>
      <c r="M721" s="107"/>
      <c r="N721" s="107"/>
      <c r="O721" s="107"/>
      <c r="P721" s="107"/>
      <c r="Q721" s="107"/>
      <c r="R721" s="107"/>
      <c r="S721" s="107"/>
      <c r="T721" s="107"/>
      <c r="U721" s="107"/>
      <c r="V721" s="107"/>
      <c r="W721" s="107"/>
      <c r="X721" s="107"/>
      <c r="Y721" s="107"/>
      <c r="Z721" s="107"/>
      <c r="AA721" s="167"/>
      <c r="AB721" s="109">
        <f>_xlfn.DAYS(AA721,B721)</f>
        <v>-44036</v>
      </c>
      <c r="AC721" s="110"/>
      <c r="AD721" s="110"/>
      <c r="AE721" s="110"/>
      <c r="AF721" s="110"/>
      <c r="AG721" s="107">
        <f>COUNTIFS(F:F,"Culled",A:A,LEFT(A721,LEN(A721)-3)&amp;"*")/COUNTIF(A:A,LEFT(A721,LEN(A721)-3)&amp;"*")*100</f>
        <v>100</v>
      </c>
      <c r="AH721" s="107"/>
    </row>
    <row r="722" spans="1:35" ht="15.75" hidden="1" customHeight="1">
      <c r="A722" s="110" t="s">
        <v>964</v>
      </c>
      <c r="B722" s="229">
        <v>44036</v>
      </c>
      <c r="C722" s="110">
        <v>10000</v>
      </c>
      <c r="D722" s="236">
        <v>8</v>
      </c>
      <c r="E722" s="236"/>
      <c r="F722" s="107" t="s">
        <v>323</v>
      </c>
      <c r="G722" s="107"/>
      <c r="H722" s="107"/>
      <c r="I722" s="107"/>
      <c r="J722" s="107"/>
      <c r="K722" s="107"/>
      <c r="L722" s="107"/>
      <c r="M722" s="107"/>
      <c r="N722" s="107"/>
      <c r="O722" s="107"/>
      <c r="P722" s="107"/>
      <c r="Q722" s="107"/>
      <c r="R722" s="107"/>
      <c r="S722" s="107"/>
      <c r="T722" s="107"/>
      <c r="U722" s="107"/>
      <c r="V722" s="107"/>
      <c r="W722" s="107"/>
      <c r="X722" s="107"/>
      <c r="Y722" s="107"/>
      <c r="Z722" s="107"/>
      <c r="AA722" s="167"/>
      <c r="AB722" s="109">
        <f>_xlfn.DAYS(AA722,B722)</f>
        <v>-44036</v>
      </c>
      <c r="AC722" s="110"/>
      <c r="AD722" s="110"/>
      <c r="AE722" s="110"/>
      <c r="AF722" s="110"/>
      <c r="AG722" s="107">
        <f>COUNTIFS(F:F,"Culled",A:A,LEFT(A722,LEN(A722)-3)&amp;"*")/COUNTIF(A:A,LEFT(A722,LEN(A722)-3)&amp;"*")*100</f>
        <v>100</v>
      </c>
      <c r="AH722" s="107"/>
    </row>
    <row r="723" spans="1:35" ht="15.75" hidden="1" customHeight="1">
      <c r="A723" s="107" t="s">
        <v>965</v>
      </c>
      <c r="B723" s="226">
        <v>44098</v>
      </c>
      <c r="C723" s="230">
        <v>9916</v>
      </c>
      <c r="D723" s="107">
        <f>COUNTA(G723:Z723)*0.5</f>
        <v>5</v>
      </c>
      <c r="F723" s="107" t="s">
        <v>263</v>
      </c>
      <c r="G723" s="178" t="s">
        <v>326</v>
      </c>
      <c r="H723" s="178" t="s">
        <v>326</v>
      </c>
      <c r="I723" s="178">
        <v>44102</v>
      </c>
      <c r="J723" s="178">
        <v>44104</v>
      </c>
      <c r="K723" s="178">
        <v>44106</v>
      </c>
      <c r="L723" s="178">
        <v>44110</v>
      </c>
      <c r="M723" s="178">
        <v>44113</v>
      </c>
      <c r="N723" s="178">
        <v>44116</v>
      </c>
      <c r="O723" s="178">
        <v>44118</v>
      </c>
      <c r="P723" s="178">
        <v>44120</v>
      </c>
      <c r="AA723" s="166">
        <v>44123</v>
      </c>
      <c r="AG723" s="107">
        <f>COUNTIFS(F:F,"Culled",A:A,LEFT(A723,LEN(A723)-3)&amp;"*")/COUNTIF(A:A,LEFT(A723,LEN(A723)-3)&amp;"*")*100</f>
        <v>0</v>
      </c>
      <c r="AH723" s="108">
        <f>(AD723-AF723)/(D723*$K$1*2)%</f>
        <v>0</v>
      </c>
      <c r="AI723" s="108">
        <f>(AE723+AF723)/(D723*$K$1*2)%</f>
        <v>0</v>
      </c>
    </row>
    <row r="724" spans="1:35" ht="15.75" hidden="1" customHeight="1">
      <c r="A724" s="107" t="s">
        <v>966</v>
      </c>
      <c r="B724" s="226">
        <v>44098</v>
      </c>
      <c r="C724" s="230">
        <v>9916</v>
      </c>
      <c r="D724" s="107">
        <f>COUNTA(G724:Z724)*0.5</f>
        <v>4.5</v>
      </c>
      <c r="F724" s="107" t="s">
        <v>263</v>
      </c>
      <c r="G724" s="178" t="s">
        <v>326</v>
      </c>
      <c r="H724" s="178" t="s">
        <v>326</v>
      </c>
      <c r="I724" s="178">
        <v>44102</v>
      </c>
      <c r="J724" s="178">
        <v>44104</v>
      </c>
      <c r="K724" s="178">
        <v>44106</v>
      </c>
      <c r="L724" s="178">
        <v>44110</v>
      </c>
      <c r="M724" s="178">
        <v>44113</v>
      </c>
      <c r="N724" s="178">
        <v>44118</v>
      </c>
      <c r="O724" s="178">
        <v>44120</v>
      </c>
      <c r="AA724" s="166">
        <v>44123</v>
      </c>
      <c r="AC724" s="219">
        <f>0.3*100</f>
        <v>30</v>
      </c>
      <c r="AD724" s="107">
        <v>555</v>
      </c>
      <c r="AE724" s="107">
        <v>164.5</v>
      </c>
      <c r="AG724" s="107">
        <f>COUNTIFS(F:F,"Culled",A:A,LEFT(A724,LEN(A724)-3)&amp;"*")/COUNTIF(A:A,LEFT(A724,LEN(A724)-3)&amp;"*")*100</f>
        <v>0</v>
      </c>
      <c r="AH724" s="108">
        <f>(AD724-AF724)/(D724*$K$1*2)%</f>
        <v>11.212121212121213</v>
      </c>
      <c r="AI724" s="108">
        <f>(AE724+AF724)/(D724*$K$1*2)%</f>
        <v>3.3232323232323231</v>
      </c>
    </row>
    <row r="725" spans="1:35" ht="15.75" hidden="1" customHeight="1">
      <c r="A725" s="107" t="s">
        <v>967</v>
      </c>
      <c r="B725" s="226">
        <v>44098</v>
      </c>
      <c r="C725" s="230">
        <v>9916</v>
      </c>
      <c r="D725" s="107">
        <f>COUNTA(G725:Z725)*0.5</f>
        <v>4.5</v>
      </c>
      <c r="F725" s="107" t="s">
        <v>263</v>
      </c>
      <c r="G725" s="178" t="s">
        <v>326</v>
      </c>
      <c r="H725" s="178" t="s">
        <v>326</v>
      </c>
      <c r="I725" s="178">
        <v>44102</v>
      </c>
      <c r="J725" s="178">
        <v>44104</v>
      </c>
      <c r="K725" s="178">
        <v>44106</v>
      </c>
      <c r="L725" s="178">
        <v>44110</v>
      </c>
      <c r="M725" s="178">
        <v>44116</v>
      </c>
      <c r="N725" s="178">
        <v>44118</v>
      </c>
      <c r="O725" s="178">
        <v>44120</v>
      </c>
      <c r="AA725" s="166">
        <v>44123</v>
      </c>
      <c r="AC725" s="107">
        <f>16/31*100</f>
        <v>51.612903225806448</v>
      </c>
      <c r="AD725" s="107">
        <v>657</v>
      </c>
      <c r="AE725" s="107">
        <v>195</v>
      </c>
      <c r="AG725" s="107">
        <f>COUNTIFS(F:F,"Culled",A:A,LEFT(A725,LEN(A725)-3)&amp;"*")/COUNTIF(A:A,LEFT(A725,LEN(A725)-3)&amp;"*")*100</f>
        <v>0</v>
      </c>
      <c r="AH725" s="108">
        <f>(AD725-AF725)/(D725*$K$1*2)%</f>
        <v>13.272727272727273</v>
      </c>
      <c r="AI725" s="108">
        <f>(AE725+AF725)/(D725*$K$1*2)%</f>
        <v>3.9393939393939394</v>
      </c>
    </row>
    <row r="726" spans="1:35" ht="15.75" hidden="1" customHeight="1">
      <c r="A726" s="107" t="s">
        <v>968</v>
      </c>
      <c r="B726" s="226">
        <v>44098</v>
      </c>
      <c r="C726" s="230">
        <v>9916</v>
      </c>
      <c r="D726" s="107">
        <f>COUNTA(G726:Z726)*0.5</f>
        <v>4</v>
      </c>
      <c r="F726" s="107" t="s">
        <v>263</v>
      </c>
      <c r="G726" s="178" t="s">
        <v>326</v>
      </c>
      <c r="H726" s="178" t="s">
        <v>326</v>
      </c>
      <c r="I726" s="178">
        <v>44102</v>
      </c>
      <c r="J726" s="178">
        <v>44104</v>
      </c>
      <c r="K726" s="178">
        <v>44106</v>
      </c>
      <c r="L726" s="178">
        <v>44110</v>
      </c>
      <c r="M726" s="178">
        <v>44113</v>
      </c>
      <c r="N726" s="178">
        <v>44118</v>
      </c>
      <c r="AA726" s="166">
        <v>44123</v>
      </c>
      <c r="AG726" s="107">
        <f>COUNTIFS(F:F,"Culled",A:A,LEFT(A726,LEN(A726)-3)&amp;"*")/COUNTIF(A:A,LEFT(A726,LEN(A726)-3)&amp;"*")*100</f>
        <v>0</v>
      </c>
      <c r="AH726" s="108">
        <f>(AD726-AF726)/(D726*$K$1*2)%</f>
        <v>0</v>
      </c>
      <c r="AI726" s="108">
        <f>(AE726+AF726)/(D726*$K$1*2)%</f>
        <v>0</v>
      </c>
    </row>
    <row r="727" spans="1:35" ht="15.75" hidden="1" customHeight="1">
      <c r="A727" s="107" t="s">
        <v>969</v>
      </c>
      <c r="B727" s="226">
        <v>44098</v>
      </c>
      <c r="C727" s="230">
        <v>9916</v>
      </c>
      <c r="D727" s="107">
        <f>COUNTA(G727:Z727)*0.5</f>
        <v>3.5</v>
      </c>
      <c r="F727" s="107" t="s">
        <v>263</v>
      </c>
      <c r="G727" s="178" t="s">
        <v>326</v>
      </c>
      <c r="H727" s="178" t="s">
        <v>326</v>
      </c>
      <c r="I727" s="178">
        <v>44102</v>
      </c>
      <c r="J727" s="178">
        <v>44104</v>
      </c>
      <c r="K727" s="178">
        <v>44106</v>
      </c>
      <c r="L727" s="178">
        <v>44110</v>
      </c>
      <c r="M727" s="178">
        <v>44116</v>
      </c>
      <c r="AA727" s="166">
        <v>44123</v>
      </c>
      <c r="AC727" s="107">
        <f>16/29*100</f>
        <v>55.172413793103445</v>
      </c>
      <c r="AD727" s="107">
        <v>348</v>
      </c>
      <c r="AE727" s="107">
        <v>132</v>
      </c>
      <c r="AG727" s="107">
        <f>COUNTIFS(F:F,"Culled",A:A,LEFT(A727,LEN(A727)-3)&amp;"*")/COUNTIF(A:A,LEFT(A727,LEN(A727)-3)&amp;"*")*100</f>
        <v>0</v>
      </c>
      <c r="AH727" s="108">
        <f>(AD727-AF727)/(D727*$K$1*2)%</f>
        <v>9.0389610389610393</v>
      </c>
      <c r="AI727" s="108">
        <f>(AE727+AF727)/(D727*$K$1*2)%</f>
        <v>3.4285714285714284</v>
      </c>
    </row>
    <row r="728" spans="1:35" ht="15.75" hidden="1" customHeight="1">
      <c r="A728" s="107" t="s">
        <v>970</v>
      </c>
      <c r="B728" s="226">
        <v>44098</v>
      </c>
      <c r="C728" s="230">
        <v>9916</v>
      </c>
      <c r="D728" s="107">
        <f>COUNTA(G728:Z728)*0.5</f>
        <v>3.5</v>
      </c>
      <c r="F728" s="107" t="s">
        <v>263</v>
      </c>
      <c r="G728" s="178" t="s">
        <v>326</v>
      </c>
      <c r="H728" s="178" t="s">
        <v>326</v>
      </c>
      <c r="I728" s="178">
        <v>44102</v>
      </c>
      <c r="J728" s="178">
        <v>44104</v>
      </c>
      <c r="K728" s="178">
        <v>44106</v>
      </c>
      <c r="L728" s="178">
        <v>44110</v>
      </c>
      <c r="M728" s="178">
        <v>44118</v>
      </c>
      <c r="AA728" s="166">
        <v>44123</v>
      </c>
      <c r="AG728" s="107">
        <f>COUNTIFS(F:F,"Culled",A:A,LEFT(A728,LEN(A728)-3)&amp;"*")/COUNTIF(A:A,LEFT(A728,LEN(A728)-3)&amp;"*")*100</f>
        <v>0</v>
      </c>
      <c r="AH728" s="108">
        <f>(AD728-AF728)/(D728*$K$1*2)%</f>
        <v>0</v>
      </c>
      <c r="AI728" s="108">
        <f>(AE728+AF728)/(D728*$K$1*2)%</f>
        <v>0</v>
      </c>
    </row>
    <row r="729" spans="1:35" ht="15.75" hidden="1" customHeight="1">
      <c r="A729" s="107" t="s">
        <v>971</v>
      </c>
      <c r="B729" s="226">
        <v>44098</v>
      </c>
      <c r="C729" s="230">
        <v>9916</v>
      </c>
      <c r="D729" s="107">
        <f>COUNTA(G729:Z729)*0.5</f>
        <v>4.5</v>
      </c>
      <c r="F729" s="107" t="s">
        <v>263</v>
      </c>
      <c r="G729" s="178" t="s">
        <v>326</v>
      </c>
      <c r="H729" s="178" t="s">
        <v>326</v>
      </c>
      <c r="I729" s="178">
        <v>44102</v>
      </c>
      <c r="J729" s="178">
        <v>44104</v>
      </c>
      <c r="K729" s="178">
        <v>44106</v>
      </c>
      <c r="L729" s="178">
        <v>44110</v>
      </c>
      <c r="M729" s="178">
        <v>44116</v>
      </c>
      <c r="N729" s="178">
        <v>44118</v>
      </c>
      <c r="O729" s="178">
        <v>44120</v>
      </c>
      <c r="AA729" s="166">
        <v>44123</v>
      </c>
      <c r="AG729" s="107">
        <f>COUNTIFS(F:F,"Culled",A:A,LEFT(A729,LEN(A729)-3)&amp;"*")/COUNTIF(A:A,LEFT(A729,LEN(A729)-3)&amp;"*")*100</f>
        <v>0</v>
      </c>
      <c r="AH729" s="108">
        <f>(AD729-AF729)/(D729*$K$1*2)%</f>
        <v>0</v>
      </c>
      <c r="AI729" s="108">
        <f>(AE729+AF729)/(D729*$K$1*2)%</f>
        <v>0</v>
      </c>
    </row>
    <row r="730" spans="1:35" ht="15.75" hidden="1" customHeight="1">
      <c r="A730" s="107" t="s">
        <v>972</v>
      </c>
      <c r="B730" s="226" t="s">
        <v>702</v>
      </c>
      <c r="C730" s="230">
        <v>10146.357147429429</v>
      </c>
      <c r="D730" s="107">
        <f>COUNTA(G730:Z730)*0.5</f>
        <v>4.5</v>
      </c>
      <c r="F730" s="107" t="s">
        <v>263</v>
      </c>
      <c r="G730" s="178">
        <v>44104</v>
      </c>
      <c r="H730" s="178">
        <v>44104</v>
      </c>
      <c r="I730" s="178">
        <v>44110</v>
      </c>
      <c r="J730" s="178">
        <v>44113</v>
      </c>
      <c r="K730" s="178">
        <v>44116</v>
      </c>
      <c r="L730" s="178">
        <v>44118</v>
      </c>
      <c r="M730" s="178">
        <v>44118</v>
      </c>
      <c r="N730" s="178">
        <v>44120</v>
      </c>
      <c r="O730" s="178">
        <v>44123</v>
      </c>
      <c r="AA730" s="166">
        <v>44131</v>
      </c>
      <c r="AC730" s="107">
        <f>10/18*100</f>
        <v>55.555555555555557</v>
      </c>
      <c r="AD730" s="107">
        <v>886.5</v>
      </c>
      <c r="AE730" s="107">
        <v>234.5</v>
      </c>
      <c r="AG730" s="107">
        <f>COUNTIFS(F:F,"Culled",A:A,LEFT(A730,LEN(A730)-3)&amp;"*")/COUNTIF(A:A,LEFT(A730,LEN(A730)-3)&amp;"*")*100</f>
        <v>0</v>
      </c>
      <c r="AH730" s="108">
        <f>(AD730-AF730)/(D730*$K$1*2)%</f>
        <v>17.90909090909091</v>
      </c>
      <c r="AI730" s="108">
        <f>(AE730+AF730)/(D730*$K$1*2)%</f>
        <v>4.737373737373737</v>
      </c>
    </row>
    <row r="731" spans="1:35" ht="15.75" hidden="1" customHeight="1">
      <c r="A731" s="107" t="s">
        <v>973</v>
      </c>
      <c r="B731" s="226" t="s">
        <v>702</v>
      </c>
      <c r="C731" s="230">
        <v>10146.357147429429</v>
      </c>
      <c r="D731" s="107">
        <f>COUNTA(G731:Z731)*0.5</f>
        <v>4.5</v>
      </c>
      <c r="F731" s="107" t="s">
        <v>263</v>
      </c>
      <c r="G731" s="178">
        <v>44104</v>
      </c>
      <c r="H731" s="178">
        <v>44104</v>
      </c>
      <c r="I731" s="178">
        <v>44110</v>
      </c>
      <c r="J731" s="178">
        <v>44113</v>
      </c>
      <c r="K731" s="178">
        <v>44116</v>
      </c>
      <c r="L731" s="178">
        <v>44118</v>
      </c>
      <c r="M731" s="178">
        <v>44118</v>
      </c>
      <c r="N731" s="178">
        <v>44120</v>
      </c>
      <c r="O731" s="178">
        <v>44123</v>
      </c>
      <c r="AA731" s="166">
        <v>44131</v>
      </c>
      <c r="AC731" s="107">
        <f>11/30*100</f>
        <v>36.666666666666664</v>
      </c>
      <c r="AD731" s="107">
        <v>908</v>
      </c>
      <c r="AE731" s="107">
        <v>213.5</v>
      </c>
      <c r="AG731" s="107">
        <f>COUNTIFS(F:F,"Culled",A:A,LEFT(A731,LEN(A731)-3)&amp;"*")/COUNTIF(A:A,LEFT(A731,LEN(A731)-3)&amp;"*")*100</f>
        <v>0</v>
      </c>
      <c r="AH731" s="108">
        <f>(AD731-AF731)/(D731*$K$1*2)%</f>
        <v>18.343434343434343</v>
      </c>
      <c r="AI731" s="108">
        <f>(AE731+AF731)/(D731*$K$1*2)%</f>
        <v>4.3131313131313131</v>
      </c>
    </row>
    <row r="732" spans="1:35" ht="15.75" hidden="1" customHeight="1">
      <c r="A732" s="110" t="s">
        <v>974</v>
      </c>
      <c r="B732" s="229">
        <v>44039</v>
      </c>
      <c r="C732" s="110">
        <v>10000</v>
      </c>
      <c r="D732" s="110">
        <v>7</v>
      </c>
      <c r="E732" s="110"/>
      <c r="F732" s="107" t="s">
        <v>323</v>
      </c>
      <c r="G732" s="107"/>
      <c r="H732" s="107"/>
      <c r="I732" s="107"/>
      <c r="J732" s="107"/>
      <c r="K732" s="107"/>
      <c r="L732" s="107"/>
      <c r="M732" s="107"/>
      <c r="N732" s="178">
        <v>44120</v>
      </c>
      <c r="O732" s="178">
        <v>44123</v>
      </c>
      <c r="P732" s="107"/>
      <c r="Q732" s="107"/>
      <c r="R732" s="107"/>
      <c r="S732" s="107"/>
      <c r="T732" s="107"/>
      <c r="U732" s="107"/>
      <c r="V732" s="107"/>
      <c r="W732" s="107"/>
      <c r="X732" s="107"/>
      <c r="Y732" s="107"/>
      <c r="Z732" s="107"/>
      <c r="AA732" s="167"/>
      <c r="AB732" s="109">
        <f>_xlfn.DAYS(AA732,B732)</f>
        <v>-44039</v>
      </c>
      <c r="AC732" s="110"/>
      <c r="AD732" s="110"/>
      <c r="AE732" s="110"/>
      <c r="AF732" s="110"/>
      <c r="AG732" s="107">
        <f>COUNTIFS(F:F,"Culled",A:A,LEFT(A732,LEN(A732)-3)&amp;"*")/COUNTIF(A:A,LEFT(A732,LEN(A732)-3)&amp;"*")*100</f>
        <v>87.5</v>
      </c>
      <c r="AH732" s="107"/>
    </row>
    <row r="733" spans="1:35" ht="15.75" hidden="1" customHeight="1">
      <c r="A733" s="107" t="s">
        <v>975</v>
      </c>
      <c r="B733" s="226">
        <v>44057</v>
      </c>
      <c r="C733" s="230">
        <v>10000</v>
      </c>
      <c r="D733" s="107">
        <f>COUNTA(G733:Z733)*0.5</f>
        <v>6.5</v>
      </c>
      <c r="F733" s="107" t="s">
        <v>323</v>
      </c>
      <c r="G733" s="225">
        <v>44057</v>
      </c>
      <c r="H733" s="225">
        <v>44057</v>
      </c>
      <c r="I733" s="225">
        <v>44061</v>
      </c>
      <c r="J733" s="225">
        <v>44061</v>
      </c>
      <c r="K733" s="225">
        <v>44064</v>
      </c>
      <c r="L733" s="225">
        <v>44064</v>
      </c>
      <c r="M733" s="225">
        <v>44064</v>
      </c>
      <c r="N733" s="178">
        <v>44120</v>
      </c>
      <c r="O733" s="178">
        <v>44123</v>
      </c>
      <c r="P733" s="225">
        <v>44069</v>
      </c>
      <c r="Q733" s="225">
        <v>44071</v>
      </c>
      <c r="R733" s="225">
        <v>44074</v>
      </c>
      <c r="S733" s="225">
        <v>44076</v>
      </c>
      <c r="T733" s="226"/>
      <c r="U733" s="226"/>
      <c r="V733" s="226"/>
      <c r="W733" s="226"/>
      <c r="X733" s="226"/>
      <c r="Y733" s="226"/>
      <c r="Z733" s="107"/>
      <c r="AB733" s="109">
        <f>_xlfn.DAYS(AA733,B733)</f>
        <v>-44057</v>
      </c>
      <c r="AG733" s="107">
        <f>COUNTIFS(F:F,"Culled",A:A,LEFT(A733,LEN(A733)-3)&amp;"*")/COUNTIF(A:A,LEFT(A733,LEN(A733)-3)&amp;"*")*100</f>
        <v>100</v>
      </c>
      <c r="AH733" s="107"/>
    </row>
    <row r="734" spans="1:35" ht="15.75" hidden="1" customHeight="1">
      <c r="A734" s="110" t="s">
        <v>976</v>
      </c>
      <c r="B734" s="229">
        <v>44039</v>
      </c>
      <c r="C734" s="110">
        <v>10000</v>
      </c>
      <c r="D734" s="110">
        <v>7</v>
      </c>
      <c r="E734" s="110"/>
      <c r="F734" s="107" t="s">
        <v>323</v>
      </c>
      <c r="G734" s="107"/>
      <c r="H734" s="107"/>
      <c r="I734" s="107"/>
      <c r="J734" s="107"/>
      <c r="K734" s="107"/>
      <c r="L734" s="107"/>
      <c r="M734" s="107"/>
      <c r="N734" s="178">
        <v>44120</v>
      </c>
      <c r="O734" s="178">
        <v>44123</v>
      </c>
      <c r="P734" s="107"/>
      <c r="Q734" s="107"/>
      <c r="R734" s="225">
        <v>44083</v>
      </c>
      <c r="S734" s="107"/>
      <c r="T734" s="107"/>
      <c r="U734" s="107"/>
      <c r="V734" s="107"/>
      <c r="W734" s="107"/>
      <c r="X734" s="107"/>
      <c r="Y734" s="107"/>
      <c r="Z734" s="107"/>
      <c r="AA734" s="167"/>
      <c r="AB734" s="109">
        <f>_xlfn.DAYS(AA734,B734)</f>
        <v>-44039</v>
      </c>
      <c r="AC734" s="110"/>
      <c r="AD734" s="110"/>
      <c r="AE734" s="110"/>
      <c r="AF734" s="110"/>
      <c r="AG734" s="107">
        <f>COUNTIFS(F:F,"Culled",A:A,LEFT(A734,LEN(A734)-3)&amp;"*")/COUNTIF(A:A,LEFT(A734,LEN(A734)-3)&amp;"*")*100</f>
        <v>100</v>
      </c>
      <c r="AH734" s="107"/>
    </row>
    <row r="735" spans="1:35" ht="15.75" hidden="1" customHeight="1">
      <c r="A735" s="110" t="s">
        <v>977</v>
      </c>
      <c r="B735" s="229">
        <v>44039</v>
      </c>
      <c r="C735" s="110">
        <v>10000</v>
      </c>
      <c r="D735" s="110">
        <v>7</v>
      </c>
      <c r="E735" s="110"/>
      <c r="F735" s="107" t="s">
        <v>323</v>
      </c>
      <c r="G735" s="107"/>
      <c r="H735" s="107"/>
      <c r="I735" s="107"/>
      <c r="J735" s="107"/>
      <c r="K735" s="107"/>
      <c r="L735" s="107"/>
      <c r="M735" s="107"/>
      <c r="N735" s="178">
        <v>44120</v>
      </c>
      <c r="O735" s="178">
        <v>44123</v>
      </c>
      <c r="P735" s="107"/>
      <c r="Q735" s="107"/>
      <c r="R735" s="107"/>
      <c r="S735" s="107"/>
      <c r="T735" s="107"/>
      <c r="U735" s="107"/>
      <c r="V735" s="107"/>
      <c r="W735" s="107"/>
      <c r="X735" s="107"/>
      <c r="Y735" s="107"/>
      <c r="Z735" s="107"/>
      <c r="AA735" s="167"/>
      <c r="AB735" s="109">
        <f>_xlfn.DAYS(AA735,B735)</f>
        <v>-44039</v>
      </c>
      <c r="AC735" s="110"/>
      <c r="AD735" s="110"/>
      <c r="AE735" s="110"/>
      <c r="AF735" s="110"/>
      <c r="AG735" s="107">
        <f>COUNTIFS(F:F,"Culled",A:A,LEFT(A735,LEN(A735)-3)&amp;"*")/COUNTIF(A:A,LEFT(A735,LEN(A735)-3)&amp;"*")*100</f>
        <v>100</v>
      </c>
      <c r="AH735" s="107"/>
    </row>
    <row r="736" spans="1:35" ht="15.75" hidden="1" customHeight="1">
      <c r="A736" s="107" t="s">
        <v>978</v>
      </c>
      <c r="B736" s="226">
        <v>44061</v>
      </c>
      <c r="C736" s="230">
        <v>10000</v>
      </c>
      <c r="D736" s="107">
        <f>COUNTA(G736:Z736)*0.5</f>
        <v>6.5</v>
      </c>
      <c r="F736" s="107" t="s">
        <v>323</v>
      </c>
      <c r="G736" s="225">
        <v>44061</v>
      </c>
      <c r="H736" s="225">
        <v>44061</v>
      </c>
      <c r="I736" s="225">
        <v>44064</v>
      </c>
      <c r="J736" s="225">
        <v>44064</v>
      </c>
      <c r="K736" s="225">
        <v>44064</v>
      </c>
      <c r="L736" s="225">
        <v>44067</v>
      </c>
      <c r="M736" s="225">
        <v>44069</v>
      </c>
      <c r="N736" s="178">
        <v>44120</v>
      </c>
      <c r="O736" s="178">
        <v>44123</v>
      </c>
      <c r="P736" s="225">
        <v>44071</v>
      </c>
      <c r="Q736" s="225">
        <v>44076</v>
      </c>
      <c r="R736" s="225">
        <v>44078</v>
      </c>
      <c r="S736" s="225">
        <v>44081</v>
      </c>
      <c r="T736" s="226"/>
      <c r="U736" s="226"/>
      <c r="V736" s="226"/>
      <c r="W736" s="226"/>
      <c r="X736" s="226"/>
      <c r="Y736" s="226"/>
      <c r="Z736" s="107"/>
      <c r="AB736" s="109">
        <f>_xlfn.DAYS(AA736,B736)</f>
        <v>-44061</v>
      </c>
      <c r="AG736" s="107">
        <f>COUNTIFS(F:F,"Culled",A:A,LEFT(A736,LEN(A736)-3)&amp;"*")/COUNTIF(A:A,LEFT(A736,LEN(A736)-3)&amp;"*")*100</f>
        <v>50</v>
      </c>
      <c r="AH736" s="107"/>
    </row>
    <row r="737" spans="1:35" ht="15.75" hidden="1" customHeight="1">
      <c r="A737" s="107" t="s">
        <v>979</v>
      </c>
      <c r="B737" s="226">
        <v>44061</v>
      </c>
      <c r="C737" s="230">
        <v>10000</v>
      </c>
      <c r="D737" s="107">
        <f>COUNTA(G737:Z737)*0.5</f>
        <v>6.5</v>
      </c>
      <c r="F737" s="107" t="s">
        <v>323</v>
      </c>
      <c r="G737" s="225">
        <v>44061</v>
      </c>
      <c r="H737" s="225">
        <v>44061</v>
      </c>
      <c r="I737" s="225">
        <v>44064</v>
      </c>
      <c r="J737" s="225">
        <v>44064</v>
      </c>
      <c r="K737" s="225">
        <v>44064</v>
      </c>
      <c r="L737" s="225">
        <v>44067</v>
      </c>
      <c r="M737" s="225">
        <v>44069</v>
      </c>
      <c r="N737" s="178">
        <v>44120</v>
      </c>
      <c r="O737" s="178">
        <v>44123</v>
      </c>
      <c r="P737" s="225">
        <v>44071</v>
      </c>
      <c r="Q737" s="225">
        <v>44076</v>
      </c>
      <c r="R737" s="225">
        <v>44078</v>
      </c>
      <c r="S737" s="225">
        <v>44081</v>
      </c>
      <c r="T737" s="226"/>
      <c r="U737" s="226"/>
      <c r="V737" s="226"/>
      <c r="W737" s="226"/>
      <c r="X737" s="226"/>
      <c r="Y737" s="226"/>
      <c r="Z737" s="107"/>
      <c r="AB737" s="109">
        <f>_xlfn.DAYS(AA737,B737)</f>
        <v>-44061</v>
      </c>
      <c r="AG737" s="107">
        <f>COUNTIFS(F:F,"Culled",A:A,LEFT(A737,LEN(A737)-3)&amp;"*")/COUNTIF(A:A,LEFT(A737,LEN(A737)-3)&amp;"*")*100</f>
        <v>50</v>
      </c>
      <c r="AH737" s="107"/>
    </row>
    <row r="738" spans="1:35" ht="15.75" hidden="1" customHeight="1">
      <c r="A738" s="107" t="s">
        <v>980</v>
      </c>
      <c r="B738" s="226" t="s">
        <v>702</v>
      </c>
      <c r="C738" s="230">
        <v>10146.357147429429</v>
      </c>
      <c r="D738" s="107">
        <f>COUNTA(G738:Z738)*0.5</f>
        <v>4.5</v>
      </c>
      <c r="F738" s="107" t="s">
        <v>263</v>
      </c>
      <c r="G738" s="178">
        <v>44104</v>
      </c>
      <c r="H738" s="178">
        <v>44104</v>
      </c>
      <c r="I738" s="178">
        <v>44110</v>
      </c>
      <c r="J738" s="178">
        <v>44113</v>
      </c>
      <c r="K738" s="178">
        <v>44116</v>
      </c>
      <c r="L738" s="178">
        <v>44118</v>
      </c>
      <c r="M738" s="178">
        <v>44118</v>
      </c>
      <c r="N738" s="178">
        <v>44120</v>
      </c>
      <c r="O738" s="178">
        <v>44123</v>
      </c>
      <c r="AA738" s="166">
        <v>44131</v>
      </c>
      <c r="AC738" s="107">
        <f>18/35*100</f>
        <v>51.428571428571423</v>
      </c>
      <c r="AD738" s="107">
        <v>965.5</v>
      </c>
      <c r="AE738" s="107">
        <v>215</v>
      </c>
      <c r="AG738" s="107">
        <f>COUNTIFS(F:F,"Culled",A:A,LEFT(A738,LEN(A738)-3)&amp;"*")/COUNTIF(A:A,LEFT(A738,LEN(A738)-3)&amp;"*")*100</f>
        <v>0</v>
      </c>
      <c r="AH738" s="108">
        <f>(AD738-AF738)/(D738*$K$1*2)%</f>
        <v>19.505050505050505</v>
      </c>
      <c r="AI738" s="108">
        <f>(AE738+AF738)/(D738*$K$1*2)%</f>
        <v>4.3434343434343434</v>
      </c>
    </row>
    <row r="739" spans="1:35" ht="15.75" hidden="1" customHeight="1">
      <c r="A739" s="110" t="s">
        <v>981</v>
      </c>
      <c r="B739" s="229">
        <v>44042</v>
      </c>
      <c r="C739" s="110">
        <v>10000</v>
      </c>
      <c r="D739" s="110">
        <v>3.5</v>
      </c>
      <c r="E739" s="110"/>
      <c r="F739" s="107" t="s">
        <v>323</v>
      </c>
      <c r="G739" s="107"/>
      <c r="H739" s="107"/>
      <c r="I739" s="178">
        <v>44110</v>
      </c>
      <c r="J739" s="178">
        <v>44113</v>
      </c>
      <c r="K739" s="107"/>
      <c r="L739" s="107"/>
      <c r="M739" s="107"/>
      <c r="N739" s="178">
        <v>44120</v>
      </c>
      <c r="O739" s="178">
        <v>44123</v>
      </c>
      <c r="P739" s="107"/>
      <c r="Q739" s="107"/>
      <c r="R739" s="107"/>
      <c r="S739" s="107"/>
      <c r="T739" s="107"/>
      <c r="U739" s="107"/>
      <c r="V739" s="107"/>
      <c r="W739" s="107"/>
      <c r="X739" s="107"/>
      <c r="Y739" s="107"/>
      <c r="Z739" s="107"/>
      <c r="AA739" s="167"/>
      <c r="AB739" s="109">
        <f>_xlfn.DAYS(AA739,B739)</f>
        <v>-44042</v>
      </c>
      <c r="AC739" s="110"/>
      <c r="AD739" s="110"/>
      <c r="AE739" s="110"/>
      <c r="AF739" s="110"/>
      <c r="AG739" s="107">
        <f>COUNTIFS(F:F,"Culled",A:A,LEFT(A739,LEN(A739)-3)&amp;"*")/COUNTIF(A:A,LEFT(A739,LEN(A739)-3)&amp;"*")*100</f>
        <v>100</v>
      </c>
      <c r="AH739" s="107"/>
    </row>
    <row r="740" spans="1:35" ht="15.75" hidden="1" customHeight="1">
      <c r="A740" s="110" t="s">
        <v>982</v>
      </c>
      <c r="B740" s="229">
        <v>44042</v>
      </c>
      <c r="C740" s="110">
        <v>10000</v>
      </c>
      <c r="D740" s="110">
        <v>3.5</v>
      </c>
      <c r="E740" s="110"/>
      <c r="F740" s="107" t="s">
        <v>323</v>
      </c>
      <c r="G740" s="107"/>
      <c r="H740" s="107"/>
      <c r="I740" s="178">
        <v>44110</v>
      </c>
      <c r="J740" s="178">
        <v>44113</v>
      </c>
      <c r="K740" s="107"/>
      <c r="L740" s="107"/>
      <c r="M740" s="107"/>
      <c r="N740" s="178">
        <v>44120</v>
      </c>
      <c r="O740" s="178">
        <v>44123</v>
      </c>
      <c r="P740" s="107"/>
      <c r="Q740" s="107"/>
      <c r="R740" s="107"/>
      <c r="S740" s="107"/>
      <c r="T740" s="107"/>
      <c r="U740" s="107"/>
      <c r="V740" s="107"/>
      <c r="W740" s="107"/>
      <c r="X740" s="107"/>
      <c r="Y740" s="107"/>
      <c r="Z740" s="107"/>
      <c r="AA740" s="167"/>
      <c r="AB740" s="109">
        <f>_xlfn.DAYS(AA740,B740)</f>
        <v>-44042</v>
      </c>
      <c r="AC740" s="110"/>
      <c r="AD740" s="110"/>
      <c r="AE740" s="110"/>
      <c r="AF740" s="110"/>
      <c r="AG740" s="107">
        <f>COUNTIFS(F:F,"Culled",A:A,LEFT(A740,LEN(A740)-3)&amp;"*")/COUNTIF(A:A,LEFT(A740,LEN(A740)-3)&amp;"*")*100</f>
        <v>100</v>
      </c>
      <c r="AH740" s="107"/>
    </row>
    <row r="741" spans="1:35" ht="15.75" hidden="1" customHeight="1">
      <c r="A741" s="110" t="s">
        <v>983</v>
      </c>
      <c r="B741" s="229">
        <v>44042</v>
      </c>
      <c r="C741" s="110">
        <v>10000</v>
      </c>
      <c r="D741" s="110">
        <v>3.5</v>
      </c>
      <c r="E741" s="110"/>
      <c r="F741" s="107" t="s">
        <v>323</v>
      </c>
      <c r="G741" s="107"/>
      <c r="H741" s="107"/>
      <c r="I741" s="178">
        <v>44110</v>
      </c>
      <c r="J741" s="178">
        <v>44113</v>
      </c>
      <c r="K741" s="107"/>
      <c r="L741" s="107"/>
      <c r="M741" s="107"/>
      <c r="N741" s="178">
        <v>44120</v>
      </c>
      <c r="O741" s="178">
        <v>44123</v>
      </c>
      <c r="P741" s="107"/>
      <c r="Q741" s="107"/>
      <c r="R741" s="107"/>
      <c r="S741" s="107"/>
      <c r="T741" s="107"/>
      <c r="U741" s="107"/>
      <c r="V741" s="107"/>
      <c r="W741" s="107"/>
      <c r="X741" s="107"/>
      <c r="Y741" s="107"/>
      <c r="Z741" s="107"/>
      <c r="AA741" s="167"/>
      <c r="AB741" s="109">
        <f>_xlfn.DAYS(AA741,B741)</f>
        <v>-44042</v>
      </c>
      <c r="AC741" s="110"/>
      <c r="AD741" s="110"/>
      <c r="AE741" s="110"/>
      <c r="AF741" s="110"/>
      <c r="AG741" s="107">
        <f>COUNTIFS(F:F,"Culled",A:A,LEFT(A741,LEN(A741)-3)&amp;"*")/COUNTIF(A:A,LEFT(A741,LEN(A741)-3)&amp;"*")*100</f>
        <v>100</v>
      </c>
      <c r="AH741" s="107"/>
    </row>
    <row r="742" spans="1:35" ht="15.75" hidden="1" customHeight="1">
      <c r="A742" s="107" t="s">
        <v>984</v>
      </c>
      <c r="B742" s="226" t="s">
        <v>702</v>
      </c>
      <c r="C742" s="230">
        <v>10146.357147429429</v>
      </c>
      <c r="D742" s="107">
        <f>COUNTA(G742:Z742)*0.5</f>
        <v>5</v>
      </c>
      <c r="F742" s="107" t="s">
        <v>263</v>
      </c>
      <c r="G742" s="178">
        <v>44104</v>
      </c>
      <c r="H742" s="178">
        <v>44104</v>
      </c>
      <c r="I742" s="178">
        <v>44110</v>
      </c>
      <c r="J742" s="178">
        <v>44113</v>
      </c>
      <c r="K742" s="178">
        <v>44116</v>
      </c>
      <c r="L742" s="178">
        <v>44118</v>
      </c>
      <c r="M742" s="178">
        <v>44118</v>
      </c>
      <c r="N742" s="178">
        <v>44120</v>
      </c>
      <c r="O742" s="178">
        <v>44123</v>
      </c>
      <c r="P742" s="178">
        <v>44125</v>
      </c>
      <c r="AA742" s="166">
        <v>44131</v>
      </c>
      <c r="AG742" s="107">
        <f>COUNTIFS(F:F,"Culled",A:A,LEFT(A742,LEN(A742)-3)&amp;"*")/COUNTIF(A:A,LEFT(A742,LEN(A742)-3)&amp;"*")*100</f>
        <v>0</v>
      </c>
      <c r="AH742" s="108">
        <f>(AD742-AF742)/(D742*$K$1*2)%</f>
        <v>0</v>
      </c>
      <c r="AI742" s="108">
        <f>(AE742+AF742)/(D742*$K$1*2)%</f>
        <v>0</v>
      </c>
    </row>
    <row r="743" spans="1:35" ht="15.75" hidden="1" customHeight="1">
      <c r="A743" s="110" t="s">
        <v>985</v>
      </c>
      <c r="B743" s="229">
        <v>44042</v>
      </c>
      <c r="C743" s="110">
        <v>10000</v>
      </c>
      <c r="D743" s="110">
        <v>3.5</v>
      </c>
      <c r="E743" s="110"/>
      <c r="F743" s="107" t="s">
        <v>323</v>
      </c>
      <c r="G743" s="107"/>
      <c r="H743" s="107"/>
      <c r="I743" s="178">
        <v>44110</v>
      </c>
      <c r="J743" s="178">
        <v>44113</v>
      </c>
      <c r="K743" s="107"/>
      <c r="L743" s="107"/>
      <c r="M743" s="107"/>
      <c r="N743" s="178">
        <v>44120</v>
      </c>
      <c r="O743" s="107"/>
      <c r="P743" s="107"/>
      <c r="Q743" s="107"/>
      <c r="R743" s="107"/>
      <c r="S743" s="107"/>
      <c r="T743" s="107"/>
      <c r="U743" s="107"/>
      <c r="V743" s="107"/>
      <c r="W743" s="107"/>
      <c r="X743" s="107"/>
      <c r="Y743" s="107"/>
      <c r="Z743" s="107"/>
      <c r="AA743" s="167"/>
      <c r="AB743" s="109">
        <f>_xlfn.DAYS(AA743,B743)</f>
        <v>-44042</v>
      </c>
      <c r="AC743" s="110"/>
      <c r="AD743" s="110"/>
      <c r="AE743" s="110"/>
      <c r="AF743" s="110"/>
      <c r="AG743" s="107">
        <f>COUNTIFS(F:F,"Culled",A:A,LEFT(A743,LEN(A743)-3)&amp;"*")/COUNTIF(A:A,LEFT(A743,LEN(A743)-3)&amp;"*")*100</f>
        <v>100</v>
      </c>
      <c r="AH743" s="107"/>
    </row>
    <row r="744" spans="1:35" ht="15.75" hidden="1" customHeight="1">
      <c r="A744" s="107" t="s">
        <v>986</v>
      </c>
      <c r="B744" s="226">
        <v>44105</v>
      </c>
      <c r="C744" s="111">
        <v>19943.830000000002</v>
      </c>
      <c r="D744" s="107">
        <f>COUNTA(G744:Z744)*0.5</f>
        <v>6</v>
      </c>
      <c r="F744" s="107" t="s">
        <v>323</v>
      </c>
      <c r="G744" s="178">
        <v>44105</v>
      </c>
      <c r="H744" s="178">
        <v>44105</v>
      </c>
      <c r="I744" s="178">
        <v>44110</v>
      </c>
      <c r="J744" s="178">
        <v>44113</v>
      </c>
      <c r="K744" s="178">
        <v>44116</v>
      </c>
      <c r="L744" s="178">
        <v>44118</v>
      </c>
      <c r="M744" s="178">
        <v>44118</v>
      </c>
      <c r="N744" s="178">
        <v>44120</v>
      </c>
      <c r="O744" s="178">
        <v>44123</v>
      </c>
      <c r="P744" s="178">
        <v>44125</v>
      </c>
      <c r="Q744" s="178">
        <v>44127</v>
      </c>
      <c r="R744" s="178">
        <v>44130</v>
      </c>
      <c r="AG744" s="107">
        <f>COUNTIFS(F:F,"Culled",A:A,LEFT(A744,LEN(A744)-3)&amp;"*")/COUNTIF(A:A,LEFT(A744,LEN(A744)-3)&amp;"*")*100</f>
        <v>100</v>
      </c>
      <c r="AH744" s="107"/>
    </row>
    <row r="745" spans="1:35" ht="15.75" hidden="1" customHeight="1">
      <c r="A745" s="110" t="s">
        <v>987</v>
      </c>
      <c r="B745" s="229">
        <v>44042</v>
      </c>
      <c r="C745" s="110">
        <v>10000</v>
      </c>
      <c r="D745" s="110">
        <v>3.5</v>
      </c>
      <c r="E745" s="110"/>
      <c r="F745" s="107" t="s">
        <v>323</v>
      </c>
      <c r="G745" s="107"/>
      <c r="H745" s="107"/>
      <c r="I745" s="178">
        <v>44110</v>
      </c>
      <c r="J745" s="178">
        <v>44113</v>
      </c>
      <c r="K745" s="107"/>
      <c r="L745" s="107"/>
      <c r="M745" s="107"/>
      <c r="N745" s="107"/>
      <c r="O745" s="107"/>
      <c r="P745" s="107"/>
      <c r="Q745" s="107"/>
      <c r="R745" s="107"/>
      <c r="S745" s="107"/>
      <c r="T745" s="107"/>
      <c r="U745" s="107"/>
      <c r="V745" s="107"/>
      <c r="W745" s="107"/>
      <c r="X745" s="107"/>
      <c r="Y745" s="107"/>
      <c r="Z745" s="107"/>
      <c r="AA745" s="167"/>
      <c r="AB745" s="109">
        <f>_xlfn.DAYS(AA745,B745)</f>
        <v>-44042</v>
      </c>
      <c r="AC745" s="110"/>
      <c r="AD745" s="110"/>
      <c r="AE745" s="110"/>
      <c r="AF745" s="110"/>
      <c r="AG745" s="107">
        <f>COUNTIFS(F:F,"Culled",A:A,LEFT(A745,LEN(A745)-3)&amp;"*")/COUNTIF(A:A,LEFT(A745,LEN(A745)-3)&amp;"*")*100</f>
        <v>100</v>
      </c>
      <c r="AH745" s="107"/>
    </row>
    <row r="746" spans="1:35" ht="15.75" hidden="1" customHeight="1">
      <c r="A746" s="110" t="s">
        <v>988</v>
      </c>
      <c r="B746" s="229">
        <v>44042</v>
      </c>
      <c r="C746" s="110">
        <v>10000</v>
      </c>
      <c r="D746" s="110">
        <v>3.5</v>
      </c>
      <c r="E746" s="110"/>
      <c r="F746" s="107" t="s">
        <v>323</v>
      </c>
      <c r="G746" s="107"/>
      <c r="H746" s="107"/>
      <c r="I746" s="178">
        <v>44110</v>
      </c>
      <c r="J746" s="178">
        <v>44113</v>
      </c>
      <c r="K746" s="107"/>
      <c r="L746" s="107"/>
      <c r="M746" s="107"/>
      <c r="N746" s="107"/>
      <c r="O746" s="107"/>
      <c r="P746" s="107"/>
      <c r="Q746" s="107"/>
      <c r="R746" s="107"/>
      <c r="S746" s="107"/>
      <c r="T746" s="107"/>
      <c r="U746" s="107"/>
      <c r="V746" s="107"/>
      <c r="W746" s="107"/>
      <c r="X746" s="107"/>
      <c r="Y746" s="107"/>
      <c r="Z746" s="107"/>
      <c r="AA746" s="167"/>
      <c r="AB746" s="109">
        <f>_xlfn.DAYS(AA746,B746)</f>
        <v>-44042</v>
      </c>
      <c r="AC746" s="110"/>
      <c r="AD746" s="110"/>
      <c r="AE746" s="110"/>
      <c r="AF746" s="110"/>
      <c r="AG746" s="107">
        <f>COUNTIFS(F:F,"Culled",A:A,LEFT(A746,LEN(A746)-3)&amp;"*")/COUNTIF(A:A,LEFT(A746,LEN(A746)-3)&amp;"*")*100</f>
        <v>100</v>
      </c>
      <c r="AH746" s="107" t="s">
        <v>989</v>
      </c>
    </row>
    <row r="747" spans="1:35" ht="15.75" hidden="1" customHeight="1">
      <c r="A747" s="107" t="s">
        <v>990</v>
      </c>
      <c r="B747" s="226">
        <v>44085</v>
      </c>
      <c r="C747" s="231">
        <v>10962.467059263039</v>
      </c>
      <c r="D747" s="107">
        <f>COUNTA(G747:Z747)*0.5</f>
        <v>4.5</v>
      </c>
      <c r="F747" s="107" t="s">
        <v>263</v>
      </c>
      <c r="G747" s="178">
        <v>44085</v>
      </c>
      <c r="H747" s="178">
        <v>44085</v>
      </c>
      <c r="I747" s="178">
        <v>44088</v>
      </c>
      <c r="J747" s="178">
        <v>44090</v>
      </c>
      <c r="K747" s="178" t="s">
        <v>375</v>
      </c>
      <c r="L747" s="178" t="s">
        <v>376</v>
      </c>
      <c r="M747" s="178">
        <v>44099</v>
      </c>
      <c r="N747" s="178">
        <v>44102</v>
      </c>
      <c r="O747" s="178">
        <v>44104</v>
      </c>
      <c r="AA747" s="166">
        <v>44118</v>
      </c>
      <c r="AG747" s="107">
        <f>COUNTIFS(F:F,"Culled",A:A,LEFT(A747,LEN(A747)-3)&amp;"*")/COUNTIF(A:A,LEFT(A747,LEN(A747)-3)&amp;"*")*100</f>
        <v>0</v>
      </c>
      <c r="AH747" s="108">
        <f>(AD747-AF747)/(D747*$K$1*2)%</f>
        <v>0</v>
      </c>
      <c r="AI747" s="108">
        <f>(AE747+AF747)/(D747*$K$1*2)%</f>
        <v>0</v>
      </c>
    </row>
    <row r="748" spans="1:35" ht="15.75" hidden="1" customHeight="1">
      <c r="A748" s="107" t="s">
        <v>991</v>
      </c>
      <c r="B748" s="226">
        <v>44085</v>
      </c>
      <c r="C748" s="231">
        <v>10962.467059263039</v>
      </c>
      <c r="D748" s="107">
        <f>COUNTA(G748:Z748)*0.5</f>
        <v>5.5</v>
      </c>
      <c r="F748" s="107" t="s">
        <v>263</v>
      </c>
      <c r="G748" s="178">
        <v>44085</v>
      </c>
      <c r="H748" s="178">
        <v>44085</v>
      </c>
      <c r="I748" s="178">
        <v>44088</v>
      </c>
      <c r="J748" s="178">
        <v>44090</v>
      </c>
      <c r="K748" s="178" t="s">
        <v>375</v>
      </c>
      <c r="L748" s="178" t="s">
        <v>376</v>
      </c>
      <c r="M748" s="178">
        <v>44099</v>
      </c>
      <c r="N748" s="178">
        <v>44102</v>
      </c>
      <c r="O748" s="178">
        <v>44104</v>
      </c>
      <c r="P748" s="178">
        <v>44106</v>
      </c>
      <c r="Q748" s="178">
        <v>44110</v>
      </c>
      <c r="AA748" s="166">
        <v>44118</v>
      </c>
      <c r="AC748" s="107">
        <f>AVERAGE(20/29,11/15)*100</f>
        <v>71.149425287356323</v>
      </c>
      <c r="AD748" s="107">
        <v>678.5</v>
      </c>
      <c r="AE748" s="107">
        <v>233.5</v>
      </c>
      <c r="AG748" s="107">
        <f>COUNTIFS(F:F,"Culled",A:A,LEFT(A748,LEN(A748)-3)&amp;"*")/COUNTIF(A:A,LEFT(A748,LEN(A748)-3)&amp;"*")*100</f>
        <v>0</v>
      </c>
      <c r="AH748" s="108">
        <f>(AD748-AF748)/(D748*$K$1*2)%</f>
        <v>11.214876033057852</v>
      </c>
      <c r="AI748" s="108">
        <f>(AE748+AF748)/(D748*$K$1*2)%</f>
        <v>3.8595041322314048</v>
      </c>
    </row>
    <row r="749" spans="1:35" ht="15.75" hidden="1" customHeight="1">
      <c r="A749" s="107" t="s">
        <v>992</v>
      </c>
      <c r="B749" s="226">
        <v>44085</v>
      </c>
      <c r="C749" s="231">
        <v>10962.467059263039</v>
      </c>
      <c r="D749" s="107">
        <f>COUNTA(G749:Z749)*0.5</f>
        <v>6</v>
      </c>
      <c r="F749" s="107" t="s">
        <v>263</v>
      </c>
      <c r="G749" s="178">
        <v>44085</v>
      </c>
      <c r="H749" s="178">
        <v>44085</v>
      </c>
      <c r="I749" s="178">
        <v>44088</v>
      </c>
      <c r="J749" s="178">
        <v>44090</v>
      </c>
      <c r="K749" s="178" t="s">
        <v>375</v>
      </c>
      <c r="L749" s="178" t="s">
        <v>376</v>
      </c>
      <c r="M749" s="178">
        <v>44099</v>
      </c>
      <c r="N749" s="178">
        <v>44102</v>
      </c>
      <c r="O749" s="178">
        <v>44104</v>
      </c>
      <c r="P749" s="178">
        <v>44106</v>
      </c>
      <c r="Q749" s="178">
        <v>44110</v>
      </c>
      <c r="R749" s="178">
        <v>44113</v>
      </c>
      <c r="AA749" s="166">
        <v>44118</v>
      </c>
      <c r="AC749" s="107">
        <f>AVERAGE(5/13,16/27)*100</f>
        <v>48.86039886039886</v>
      </c>
      <c r="AD749" s="107">
        <v>597</v>
      </c>
      <c r="AE749" s="107">
        <v>220.5</v>
      </c>
      <c r="AG749" s="107">
        <f>COUNTIFS(F:F,"Culled",A:A,LEFT(A749,LEN(A749)-3)&amp;"*")/COUNTIF(A:A,LEFT(A749,LEN(A749)-3)&amp;"*")*100</f>
        <v>0</v>
      </c>
      <c r="AH749" s="108">
        <f>(AD749-AF749)/(D749*$K$1*2)%</f>
        <v>9.045454545454545</v>
      </c>
      <c r="AI749" s="108">
        <f>(AE749+AF749)/(D749*$K$1*2)%</f>
        <v>3.3409090909090908</v>
      </c>
    </row>
    <row r="750" spans="1:35" ht="15.75" hidden="1" customHeight="1">
      <c r="A750" s="107" t="s">
        <v>993</v>
      </c>
      <c r="B750" s="226">
        <v>44085</v>
      </c>
      <c r="C750" s="231">
        <v>10962.467059263039</v>
      </c>
      <c r="D750" s="107">
        <f>COUNTA(G750:Z750)*0.5</f>
        <v>4.5</v>
      </c>
      <c r="F750" s="107" t="s">
        <v>263</v>
      </c>
      <c r="G750" s="178">
        <v>44085</v>
      </c>
      <c r="H750" s="178">
        <v>44085</v>
      </c>
      <c r="I750" s="178">
        <v>44088</v>
      </c>
      <c r="J750" s="178">
        <v>44090</v>
      </c>
      <c r="K750" s="178" t="s">
        <v>375</v>
      </c>
      <c r="L750" s="178" t="s">
        <v>376</v>
      </c>
      <c r="M750" s="178">
        <v>44099</v>
      </c>
      <c r="N750" s="178">
        <v>44102</v>
      </c>
      <c r="O750" s="178">
        <v>44104</v>
      </c>
      <c r="AA750" s="166">
        <v>44118</v>
      </c>
      <c r="AG750" s="107">
        <f>COUNTIFS(F:F,"Culled",A:A,LEFT(A750,LEN(A750)-3)&amp;"*")/COUNTIF(A:A,LEFT(A750,LEN(A750)-3)&amp;"*")*100</f>
        <v>0</v>
      </c>
      <c r="AH750" s="108">
        <f>(AD750-AF750)/(D750*$K$1*2)%</f>
        <v>0</v>
      </c>
      <c r="AI750" s="108">
        <f>(AE750+AF750)/(D750*$K$1*2)%</f>
        <v>0</v>
      </c>
    </row>
    <row r="751" spans="1:35" ht="15.75" hidden="1" customHeight="1">
      <c r="A751" s="107" t="s">
        <v>994</v>
      </c>
      <c r="B751" s="226">
        <v>44085</v>
      </c>
      <c r="C751" s="231">
        <v>10962.467059263039</v>
      </c>
      <c r="D751" s="107">
        <f>COUNTA(G751:Z751)*0.5</f>
        <v>5.5</v>
      </c>
      <c r="F751" s="107" t="s">
        <v>263</v>
      </c>
      <c r="G751" s="178">
        <v>44085</v>
      </c>
      <c r="H751" s="178">
        <v>44085</v>
      </c>
      <c r="I751" s="178">
        <v>44088</v>
      </c>
      <c r="J751" s="178">
        <v>44090</v>
      </c>
      <c r="K751" s="178" t="s">
        <v>375</v>
      </c>
      <c r="L751" s="178" t="s">
        <v>376</v>
      </c>
      <c r="M751" s="178">
        <v>44099</v>
      </c>
      <c r="N751" s="178">
        <v>44102</v>
      </c>
      <c r="O751" s="178">
        <v>44104</v>
      </c>
      <c r="P751" s="178">
        <v>44106</v>
      </c>
      <c r="Q751" s="178">
        <v>44110</v>
      </c>
      <c r="AA751" s="166">
        <v>44118</v>
      </c>
      <c r="AC751" s="107">
        <f>AVERAGE(17/24,10/11)*100</f>
        <v>80.871212121212125</v>
      </c>
      <c r="AD751" s="107">
        <v>553</v>
      </c>
      <c r="AE751" s="107">
        <v>219.5</v>
      </c>
      <c r="AG751" s="107">
        <f>COUNTIFS(F:F,"Culled",A:A,LEFT(A751,LEN(A751)-3)&amp;"*")/COUNTIF(A:A,LEFT(A751,LEN(A751)-3)&amp;"*")*100</f>
        <v>0</v>
      </c>
      <c r="AH751" s="108">
        <f>(AD751-AF751)/(D751*$K$1*2)%</f>
        <v>9.1404958677685944</v>
      </c>
      <c r="AI751" s="108">
        <f>(AE751+AF751)/(D751*$K$1*2)%</f>
        <v>3.6280991735537191</v>
      </c>
    </row>
    <row r="752" spans="1:35" ht="15.75" hidden="1" customHeight="1">
      <c r="A752" s="107" t="s">
        <v>995</v>
      </c>
      <c r="B752" s="226" t="s">
        <v>708</v>
      </c>
      <c r="C752" s="230">
        <f>81772/8</f>
        <v>10221.5</v>
      </c>
      <c r="D752" s="107">
        <f>COUNTA(G752:Z752)*0.5</f>
        <v>4.5</v>
      </c>
      <c r="F752" s="107" t="s">
        <v>263</v>
      </c>
      <c r="G752" s="178">
        <v>44088</v>
      </c>
      <c r="H752" s="178">
        <v>44088</v>
      </c>
      <c r="I752" s="178" t="s">
        <v>375</v>
      </c>
      <c r="J752" s="178" t="s">
        <v>376</v>
      </c>
      <c r="K752" s="178">
        <v>44099</v>
      </c>
      <c r="L752" s="178">
        <v>44102</v>
      </c>
      <c r="M752" s="178">
        <v>44104</v>
      </c>
      <c r="N752" s="178">
        <v>44106</v>
      </c>
      <c r="O752" s="178">
        <v>44110</v>
      </c>
      <c r="AA752" s="166">
        <v>44118</v>
      </c>
      <c r="AG752" s="107">
        <f>COUNTIFS(F:F,"Culled",A:A,LEFT(A752,LEN(A752)-3)&amp;"*")/COUNTIF(A:A,LEFT(A752,LEN(A752)-3)&amp;"*")*100</f>
        <v>37.5</v>
      </c>
      <c r="AH752" s="108">
        <f>(AD752-AF752)/(D752*$K$1*2)%</f>
        <v>0</v>
      </c>
      <c r="AI752" s="108">
        <f>(AE752+AF752)/(D752*$K$1*2)%</f>
        <v>0</v>
      </c>
    </row>
    <row r="753" spans="1:36" ht="15.75" hidden="1" customHeight="1">
      <c r="A753" s="110" t="s">
        <v>996</v>
      </c>
      <c r="B753" s="229">
        <v>43903</v>
      </c>
      <c r="C753" s="110">
        <v>10000</v>
      </c>
      <c r="D753" s="110">
        <v>8</v>
      </c>
      <c r="E753" s="110"/>
      <c r="F753" s="107" t="s">
        <v>263</v>
      </c>
      <c r="G753" s="107"/>
      <c r="H753" s="107"/>
      <c r="J753" s="107"/>
      <c r="K753" s="107"/>
      <c r="L753" s="107"/>
      <c r="M753" s="107"/>
      <c r="P753" s="107"/>
      <c r="Q753" s="107"/>
      <c r="R753" s="107"/>
      <c r="S753" s="107"/>
      <c r="T753" s="107"/>
      <c r="U753" s="107"/>
      <c r="V753" s="107"/>
      <c r="W753" s="107"/>
      <c r="X753" s="107"/>
      <c r="Y753" s="107"/>
      <c r="Z753" s="107"/>
      <c r="AA753" s="167">
        <v>43931</v>
      </c>
      <c r="AB753" s="109">
        <f>_xlfn.DAYS(AA753,B753)</f>
        <v>28</v>
      </c>
      <c r="AC753" s="110">
        <v>15</v>
      </c>
      <c r="AD753" s="110">
        <v>1340</v>
      </c>
      <c r="AE753" s="110">
        <v>416</v>
      </c>
      <c r="AF753" s="110">
        <v>54.5</v>
      </c>
      <c r="AG753" s="110">
        <v>0</v>
      </c>
      <c r="AH753" s="108">
        <f>(AD753-AF753)/(D753*$K$1*2)%</f>
        <v>14.607954545454545</v>
      </c>
      <c r="AI753" s="108">
        <f>(AE753+AF753)/(D753*$K$1*2)%</f>
        <v>5.3465909090909092</v>
      </c>
      <c r="AJ753" s="110"/>
    </row>
    <row r="754" spans="1:36" ht="15.75" hidden="1" customHeight="1">
      <c r="A754" s="110" t="s">
        <v>997</v>
      </c>
      <c r="B754" s="229">
        <v>43903</v>
      </c>
      <c r="C754" s="110">
        <v>10000</v>
      </c>
      <c r="D754" s="110">
        <v>7.5</v>
      </c>
      <c r="E754" s="110"/>
      <c r="F754" s="107" t="s">
        <v>263</v>
      </c>
      <c r="G754" s="107"/>
      <c r="H754" s="107"/>
      <c r="J754" s="107"/>
      <c r="K754" s="107"/>
      <c r="L754" s="107"/>
      <c r="M754" s="107"/>
      <c r="P754" s="107"/>
      <c r="Q754" s="107"/>
      <c r="R754" s="107"/>
      <c r="S754" s="107"/>
      <c r="T754" s="107"/>
      <c r="U754" s="107"/>
      <c r="V754" s="107"/>
      <c r="W754" s="107"/>
      <c r="X754" s="107"/>
      <c r="Y754" s="107"/>
      <c r="Z754" s="107"/>
      <c r="AA754" s="167">
        <v>43931</v>
      </c>
      <c r="AB754" s="109">
        <f>_xlfn.DAYS(AA754,B754)</f>
        <v>28</v>
      </c>
      <c r="AC754" s="110">
        <v>19</v>
      </c>
      <c r="AD754" s="110">
        <v>1372</v>
      </c>
      <c r="AE754" s="110">
        <v>361.5</v>
      </c>
      <c r="AF754" s="110">
        <v>117</v>
      </c>
      <c r="AG754" s="110">
        <v>0</v>
      </c>
      <c r="AH754" s="108">
        <f>(AD754-AF754)/(D754*$K$1*2)%</f>
        <v>15.212121212121213</v>
      </c>
      <c r="AI754" s="108">
        <f>(AE754+AF754)/(D754*$K$1*2)%</f>
        <v>5.8</v>
      </c>
      <c r="AJ754" s="110"/>
    </row>
    <row r="755" spans="1:36" ht="15.75" hidden="1" customHeight="1">
      <c r="A755" s="107" t="s">
        <v>998</v>
      </c>
      <c r="B755" s="226" t="s">
        <v>708</v>
      </c>
      <c r="C755" s="230">
        <f>81772/8</f>
        <v>10221.5</v>
      </c>
      <c r="D755" s="107">
        <f>COUNTA(G755:Z755)*0.5</f>
        <v>5</v>
      </c>
      <c r="F755" s="107" t="s">
        <v>263</v>
      </c>
      <c r="G755" s="178">
        <v>44088</v>
      </c>
      <c r="H755" s="178">
        <v>44088</v>
      </c>
      <c r="I755" s="178" t="s">
        <v>375</v>
      </c>
      <c r="J755" s="178" t="s">
        <v>376</v>
      </c>
      <c r="K755" s="178">
        <v>44099</v>
      </c>
      <c r="L755" s="178">
        <v>44102</v>
      </c>
      <c r="M755" s="178">
        <v>44104</v>
      </c>
      <c r="N755" s="178">
        <v>44106</v>
      </c>
      <c r="O755" s="178">
        <v>44110</v>
      </c>
      <c r="P755" s="178">
        <v>44113</v>
      </c>
      <c r="AA755" s="166">
        <v>44118</v>
      </c>
      <c r="AC755" s="107">
        <f>AVERAGE(2/7,4/16)*100</f>
        <v>26.785714285714285</v>
      </c>
      <c r="AD755" s="107">
        <v>654</v>
      </c>
      <c r="AE755" s="107">
        <v>220</v>
      </c>
      <c r="AG755" s="107">
        <f>COUNTIFS(F:F,"Culled",A:A,LEFT(A755,LEN(A755)-3)&amp;"*")/COUNTIF(A:A,LEFT(A755,LEN(A755)-3)&amp;"*")*100</f>
        <v>37.5</v>
      </c>
      <c r="AH755" s="108">
        <f>(AD755-AF755)/(D755*$K$1*2)%</f>
        <v>11.890909090909091</v>
      </c>
      <c r="AI755" s="108">
        <f>(AE755+AF755)/(D755*$K$1*2)%</f>
        <v>4</v>
      </c>
    </row>
    <row r="756" spans="1:36" ht="15.75" hidden="1" customHeight="1">
      <c r="A756" s="107" t="s">
        <v>999</v>
      </c>
      <c r="B756" s="226" t="s">
        <v>708</v>
      </c>
      <c r="C756" s="230">
        <f>81772/8</f>
        <v>10221.5</v>
      </c>
      <c r="D756" s="107">
        <f>COUNTA(G756:Z756)*0.5</f>
        <v>4.5</v>
      </c>
      <c r="F756" s="107" t="s">
        <v>263</v>
      </c>
      <c r="G756" s="178">
        <v>44088</v>
      </c>
      <c r="H756" s="178">
        <v>44088</v>
      </c>
      <c r="I756" s="178" t="s">
        <v>375</v>
      </c>
      <c r="J756" s="178" t="s">
        <v>376</v>
      </c>
      <c r="K756" s="178">
        <v>44099</v>
      </c>
      <c r="L756" s="178">
        <v>44102</v>
      </c>
      <c r="M756" s="178">
        <v>44104</v>
      </c>
      <c r="N756" s="178">
        <v>44106</v>
      </c>
      <c r="O756" s="178">
        <v>44110</v>
      </c>
      <c r="AA756" s="166">
        <v>44118</v>
      </c>
      <c r="AC756" s="107">
        <f>AVERAGE(11/18,16/33)*100</f>
        <v>54.797979797979799</v>
      </c>
      <c r="AD756" s="107">
        <v>642.5</v>
      </c>
      <c r="AE756" s="107">
        <v>228</v>
      </c>
      <c r="AG756" s="107">
        <f>COUNTIFS(F:F,"Culled",A:A,LEFT(A756,LEN(A756)-3)&amp;"*")/COUNTIF(A:A,LEFT(A756,LEN(A756)-3)&amp;"*")*100</f>
        <v>37.5</v>
      </c>
      <c r="AH756" s="108">
        <f>(AD756-AF756)/(D756*$K$1*2)%</f>
        <v>12.979797979797979</v>
      </c>
      <c r="AI756" s="108">
        <f>(AE756+AF756)/(D756*$K$1*2)%</f>
        <v>4.6060606060606064</v>
      </c>
    </row>
    <row r="757" spans="1:36" ht="15.75" hidden="1" customHeight="1">
      <c r="A757" s="107" t="s">
        <v>1000</v>
      </c>
      <c r="B757" s="226" t="s">
        <v>708</v>
      </c>
      <c r="C757" s="230">
        <f>81772/8</f>
        <v>10221.5</v>
      </c>
      <c r="D757" s="107">
        <f>COUNTA(G757:Z757)*0.5</f>
        <v>4.5</v>
      </c>
      <c r="F757" s="107" t="s">
        <v>263</v>
      </c>
      <c r="G757" s="178">
        <v>44088</v>
      </c>
      <c r="H757" s="178">
        <v>44088</v>
      </c>
      <c r="I757" s="178" t="s">
        <v>375</v>
      </c>
      <c r="J757" s="178" t="s">
        <v>376</v>
      </c>
      <c r="K757" s="178">
        <v>44099</v>
      </c>
      <c r="L757" s="178">
        <v>44102</v>
      </c>
      <c r="M757" s="178">
        <v>44104</v>
      </c>
      <c r="N757" s="178">
        <v>44106</v>
      </c>
      <c r="O757" s="178">
        <v>44110</v>
      </c>
      <c r="AA757" s="166">
        <v>44118</v>
      </c>
      <c r="AG757" s="107">
        <f>COUNTIFS(F:F,"Culled",A:A,LEFT(A757,LEN(A757)-3)&amp;"*")/COUNTIF(A:A,LEFT(A757,LEN(A757)-3)&amp;"*")*100</f>
        <v>37.5</v>
      </c>
      <c r="AH757" s="108">
        <f>(AD757-AF757)/(D757*$K$1*2)%</f>
        <v>0</v>
      </c>
      <c r="AI757" s="108">
        <f>(AE757+AF757)/(D757*$K$1*2)%</f>
        <v>0</v>
      </c>
    </row>
    <row r="758" spans="1:36" ht="15.75" hidden="1" customHeight="1">
      <c r="A758" s="107" t="s">
        <v>1001</v>
      </c>
      <c r="B758" s="114">
        <v>44047</v>
      </c>
      <c r="C758" s="110">
        <v>10000</v>
      </c>
      <c r="D758" s="107">
        <f>COUNTA(G758:Z758)*0.5</f>
        <v>7</v>
      </c>
      <c r="F758" s="107" t="s">
        <v>323</v>
      </c>
      <c r="G758" s="177">
        <v>44047</v>
      </c>
      <c r="H758" s="177">
        <v>44047</v>
      </c>
      <c r="I758" s="178">
        <v>44110</v>
      </c>
      <c r="J758" s="178">
        <v>44113</v>
      </c>
      <c r="K758" s="177">
        <v>44055</v>
      </c>
      <c r="L758" s="177">
        <v>44057</v>
      </c>
      <c r="M758" s="177">
        <v>44061</v>
      </c>
      <c r="N758" s="177">
        <v>44061</v>
      </c>
      <c r="O758" s="177">
        <v>44064</v>
      </c>
      <c r="P758" s="177">
        <v>44064</v>
      </c>
      <c r="Q758" s="177">
        <v>44064</v>
      </c>
      <c r="R758" s="177">
        <v>44067</v>
      </c>
      <c r="S758" s="177">
        <v>44069</v>
      </c>
      <c r="T758" s="177">
        <v>44069</v>
      </c>
      <c r="U758" s="177"/>
      <c r="V758" s="177"/>
      <c r="W758" s="179"/>
      <c r="X758" s="179"/>
      <c r="Y758" s="179"/>
      <c r="AB758" s="109">
        <f>_xlfn.DAYS(AA758,B758)</f>
        <v>-44047</v>
      </c>
      <c r="AG758" s="107">
        <f>COUNTIFS(F:F,"Culled",A:A,LEFT(A758,LEN(A758)-3)&amp;"*")/COUNTIF(A:A,LEFT(A758,LEN(A758)-3)&amp;"*")*100</f>
        <v>23.076923076923077</v>
      </c>
      <c r="AH758" s="107"/>
    </row>
    <row r="759" spans="1:36" ht="15.75" hidden="1" customHeight="1">
      <c r="A759" s="107" t="s">
        <v>1002</v>
      </c>
      <c r="B759" s="226" t="s">
        <v>708</v>
      </c>
      <c r="C759" s="230">
        <f>81772/8</f>
        <v>10221.5</v>
      </c>
      <c r="D759" s="107">
        <f>COUNTA(G759:Z759)*0.5</f>
        <v>5</v>
      </c>
      <c r="F759" s="107" t="s">
        <v>263</v>
      </c>
      <c r="G759" s="178">
        <v>44088</v>
      </c>
      <c r="H759" s="178">
        <v>44088</v>
      </c>
      <c r="I759" s="178" t="s">
        <v>375</v>
      </c>
      <c r="J759" s="178" t="s">
        <v>376</v>
      </c>
      <c r="K759" s="178">
        <v>44099</v>
      </c>
      <c r="L759" s="178">
        <v>44102</v>
      </c>
      <c r="M759" s="178">
        <v>44104</v>
      </c>
      <c r="N759" s="178">
        <v>44106</v>
      </c>
      <c r="O759" s="178">
        <v>44110</v>
      </c>
      <c r="P759" s="178">
        <v>44116</v>
      </c>
      <c r="AA759" s="166">
        <v>44118</v>
      </c>
      <c r="AC759" s="107">
        <f>AVERAGE(6/16,6/16)*100</f>
        <v>37.5</v>
      </c>
      <c r="AD759" s="107">
        <v>608.5</v>
      </c>
      <c r="AE759" s="107">
        <v>218</v>
      </c>
      <c r="AG759" s="107">
        <f>COUNTIFS(F:F,"Culled",A:A,LEFT(A759,LEN(A759)-3)&amp;"*")/COUNTIF(A:A,LEFT(A759,LEN(A759)-3)&amp;"*")*100</f>
        <v>37.5</v>
      </c>
      <c r="AH759" s="108">
        <f>(AD759-AF759)/(D759*$K$1*2)%</f>
        <v>11.063636363636364</v>
      </c>
      <c r="AI759" s="108">
        <f>(AE759+AF759)/(D759*$K$1*2)%</f>
        <v>3.9636363636363638</v>
      </c>
    </row>
    <row r="760" spans="1:36" ht="15.75" hidden="1" customHeight="1">
      <c r="A760" s="110" t="s">
        <v>1003</v>
      </c>
      <c r="B760" s="229">
        <v>43909</v>
      </c>
      <c r="C760" s="110">
        <v>10000</v>
      </c>
      <c r="D760" s="110">
        <v>8</v>
      </c>
      <c r="E760" s="110"/>
      <c r="F760" s="107" t="s">
        <v>263</v>
      </c>
      <c r="G760" s="107"/>
      <c r="H760" s="107"/>
      <c r="J760" s="107"/>
      <c r="K760" s="107"/>
      <c r="L760" s="107"/>
      <c r="M760" s="107"/>
      <c r="O760" s="107"/>
      <c r="P760" s="107"/>
      <c r="Q760" s="107"/>
      <c r="R760" s="107"/>
      <c r="S760" s="107"/>
      <c r="T760" s="107"/>
      <c r="U760" s="107"/>
      <c r="V760" s="107"/>
      <c r="W760" s="107"/>
      <c r="X760" s="107"/>
      <c r="Y760" s="107"/>
      <c r="Z760" s="107"/>
      <c r="AA760" s="167">
        <v>43935</v>
      </c>
      <c r="AB760" s="109">
        <f>_xlfn.DAYS(AA760,B760)</f>
        <v>26</v>
      </c>
      <c r="AC760" s="110">
        <v>59.1</v>
      </c>
      <c r="AD760" s="110">
        <v>1324</v>
      </c>
      <c r="AE760" s="110">
        <v>324.5</v>
      </c>
      <c r="AF760" s="110">
        <v>105</v>
      </c>
      <c r="AG760" s="110">
        <v>0</v>
      </c>
      <c r="AH760" s="108">
        <f>(AD760-AF760)/(D760*$K$1*2)%</f>
        <v>13.852272727272727</v>
      </c>
      <c r="AI760" s="108">
        <f>(AE760+AF760)/(D760*$K$1*2)%</f>
        <v>4.8806818181818183</v>
      </c>
      <c r="AJ760" s="110"/>
    </row>
    <row r="761" spans="1:36" ht="15.75" hidden="1" customHeight="1">
      <c r="A761" s="110" t="s">
        <v>1004</v>
      </c>
      <c r="B761" s="229">
        <v>43909</v>
      </c>
      <c r="C761" s="110">
        <v>10000</v>
      </c>
      <c r="D761" s="110">
        <v>8</v>
      </c>
      <c r="E761" s="110"/>
      <c r="F761" s="107" t="s">
        <v>263</v>
      </c>
      <c r="G761" s="107"/>
      <c r="H761" s="107"/>
      <c r="J761" s="107"/>
      <c r="K761" s="107"/>
      <c r="L761" s="107"/>
      <c r="M761" s="107"/>
      <c r="O761" s="107"/>
      <c r="P761" s="107"/>
      <c r="Q761" s="107"/>
      <c r="R761" s="107"/>
      <c r="S761" s="107"/>
      <c r="T761" s="107"/>
      <c r="U761" s="107"/>
      <c r="V761" s="107"/>
      <c r="W761" s="107"/>
      <c r="X761" s="107"/>
      <c r="Y761" s="107"/>
      <c r="Z761" s="107"/>
      <c r="AA761" s="167">
        <v>43935</v>
      </c>
      <c r="AB761" s="109">
        <f>_xlfn.DAYS(AA761,B761)</f>
        <v>26</v>
      </c>
      <c r="AC761" s="110">
        <v>60</v>
      </c>
      <c r="AD761" s="110">
        <v>1287</v>
      </c>
      <c r="AE761" s="110">
        <v>332.5</v>
      </c>
      <c r="AF761" s="110">
        <v>226</v>
      </c>
      <c r="AG761" s="110">
        <v>0</v>
      </c>
      <c r="AH761" s="108">
        <f>(AD761-AF761)/(D761*$K$1*2)%</f>
        <v>12.056818181818182</v>
      </c>
      <c r="AI761" s="108">
        <f>(AE761+AF761)/(D761*$K$1*2)%</f>
        <v>6.3465909090909092</v>
      </c>
      <c r="AJ761" s="110"/>
    </row>
    <row r="762" spans="1:36" ht="15.75" hidden="1" customHeight="1">
      <c r="A762" s="110" t="s">
        <v>1005</v>
      </c>
      <c r="B762" s="229">
        <v>43909</v>
      </c>
      <c r="C762" s="110">
        <v>10000</v>
      </c>
      <c r="D762" s="110">
        <v>8</v>
      </c>
      <c r="E762" s="110"/>
      <c r="F762" s="107" t="s">
        <v>263</v>
      </c>
      <c r="G762" s="107"/>
      <c r="H762" s="107"/>
      <c r="J762" s="107"/>
      <c r="K762" s="107"/>
      <c r="L762" s="107"/>
      <c r="M762" s="107"/>
      <c r="O762" s="107"/>
      <c r="P762" s="107"/>
      <c r="Q762" s="107"/>
      <c r="R762" s="107"/>
      <c r="S762" s="107"/>
      <c r="T762" s="107"/>
      <c r="U762" s="107"/>
      <c r="V762" s="107"/>
      <c r="W762" s="107"/>
      <c r="X762" s="107"/>
      <c r="Y762" s="107"/>
      <c r="Z762" s="107"/>
      <c r="AA762" s="167">
        <v>43935</v>
      </c>
      <c r="AB762" s="109">
        <f>_xlfn.DAYS(AA762,B762)</f>
        <v>26</v>
      </c>
      <c r="AC762" s="110">
        <v>54.6</v>
      </c>
      <c r="AD762" s="110">
        <v>1271.5</v>
      </c>
      <c r="AE762" s="110">
        <v>316</v>
      </c>
      <c r="AF762" s="110">
        <v>159.5</v>
      </c>
      <c r="AG762" s="110">
        <v>0</v>
      </c>
      <c r="AH762" s="108">
        <f>(AD762-AF762)/(D762*$K$1*2)%</f>
        <v>12.636363636363637</v>
      </c>
      <c r="AI762" s="108">
        <f>(AE762+AF762)/(D762*$K$1*2)%</f>
        <v>5.4034090909090908</v>
      </c>
      <c r="AJ762" s="110"/>
    </row>
    <row r="763" spans="1:36" ht="15.75" hidden="1" customHeight="1">
      <c r="A763" s="110" t="s">
        <v>1006</v>
      </c>
      <c r="B763" s="229">
        <v>43909</v>
      </c>
      <c r="C763" s="110">
        <v>10000</v>
      </c>
      <c r="D763" s="110">
        <v>8</v>
      </c>
      <c r="E763" s="110"/>
      <c r="F763" s="107" t="s">
        <v>263</v>
      </c>
      <c r="G763" s="107"/>
      <c r="H763" s="107"/>
      <c r="J763" s="107"/>
      <c r="K763" s="107"/>
      <c r="L763" s="107"/>
      <c r="M763" s="107"/>
      <c r="O763" s="107"/>
      <c r="P763" s="107"/>
      <c r="Q763" s="107"/>
      <c r="R763" s="107"/>
      <c r="S763" s="107"/>
      <c r="T763" s="107"/>
      <c r="U763" s="107"/>
      <c r="V763" s="107"/>
      <c r="W763" s="107"/>
      <c r="X763" s="107"/>
      <c r="Y763" s="107"/>
      <c r="Z763" s="107"/>
      <c r="AA763" s="167">
        <v>43935</v>
      </c>
      <c r="AB763" s="109">
        <f>_xlfn.DAYS(AA763,B763)</f>
        <v>26</v>
      </c>
      <c r="AC763" s="110">
        <v>58.8</v>
      </c>
      <c r="AD763" s="110">
        <v>1166</v>
      </c>
      <c r="AE763" s="110">
        <v>393.5</v>
      </c>
      <c r="AF763" s="110">
        <v>154</v>
      </c>
      <c r="AG763" s="110">
        <v>0</v>
      </c>
      <c r="AH763" s="108">
        <f>(AD763-AF763)/(D763*$K$1*2)%</f>
        <v>11.5</v>
      </c>
      <c r="AI763" s="108">
        <f>(AE763+AF763)/(D763*$K$1*2)%</f>
        <v>6.2215909090909092</v>
      </c>
      <c r="AJ763" s="110"/>
    </row>
    <row r="764" spans="1:36" ht="15.75" hidden="1" customHeight="1">
      <c r="A764" s="110" t="s">
        <v>1007</v>
      </c>
      <c r="B764" s="229">
        <v>43909</v>
      </c>
      <c r="C764" s="110">
        <v>10000</v>
      </c>
      <c r="D764" s="110">
        <v>8</v>
      </c>
      <c r="E764" s="110"/>
      <c r="F764" s="107" t="s">
        <v>263</v>
      </c>
      <c r="G764" s="107"/>
      <c r="H764" s="107"/>
      <c r="J764" s="107"/>
      <c r="K764" s="107"/>
      <c r="L764" s="107"/>
      <c r="M764" s="107"/>
      <c r="O764" s="107"/>
      <c r="P764" s="107"/>
      <c r="Q764" s="107"/>
      <c r="R764" s="107"/>
      <c r="S764" s="107"/>
      <c r="T764" s="107"/>
      <c r="U764" s="107"/>
      <c r="V764" s="107"/>
      <c r="W764" s="107"/>
      <c r="X764" s="107"/>
      <c r="Y764" s="107"/>
      <c r="Z764" s="107"/>
      <c r="AA764" s="167">
        <v>43935</v>
      </c>
      <c r="AB764" s="109">
        <f>_xlfn.DAYS(AA764,B764)</f>
        <v>26</v>
      </c>
      <c r="AC764" s="110">
        <v>62.5</v>
      </c>
      <c r="AD764" s="110">
        <v>1333.5</v>
      </c>
      <c r="AE764" s="110">
        <v>350.5</v>
      </c>
      <c r="AF764" s="110">
        <v>175</v>
      </c>
      <c r="AG764" s="110">
        <v>0</v>
      </c>
      <c r="AH764" s="108">
        <f>(AD764-AF764)/(D764*$K$1*2)%</f>
        <v>13.164772727272727</v>
      </c>
      <c r="AI764" s="108">
        <f>(AE764+AF764)/(D764*$K$1*2)%</f>
        <v>5.9715909090909092</v>
      </c>
      <c r="AJ764" s="110"/>
    </row>
    <row r="765" spans="1:36" ht="15.75" hidden="1" customHeight="1">
      <c r="A765" s="110" t="s">
        <v>1008</v>
      </c>
      <c r="B765" s="229">
        <v>43916</v>
      </c>
      <c r="C765" s="110">
        <v>10000</v>
      </c>
      <c r="D765" s="110">
        <v>7</v>
      </c>
      <c r="E765" s="110"/>
      <c r="F765" s="107" t="s">
        <v>263</v>
      </c>
      <c r="G765" s="107"/>
      <c r="H765" s="107"/>
      <c r="J765" s="107"/>
      <c r="K765" s="107"/>
      <c r="L765" s="107"/>
      <c r="M765" s="107"/>
      <c r="O765" s="107"/>
      <c r="P765" s="107"/>
      <c r="Q765" s="107"/>
      <c r="R765" s="107"/>
      <c r="S765" s="107"/>
      <c r="T765" s="107"/>
      <c r="U765" s="107"/>
      <c r="V765" s="107"/>
      <c r="W765" s="107"/>
      <c r="X765" s="107"/>
      <c r="Y765" s="107"/>
      <c r="Z765" s="107"/>
      <c r="AA765" s="167">
        <v>43942</v>
      </c>
      <c r="AB765" s="109">
        <f>_xlfn.DAYS(AA765,B765)</f>
        <v>26</v>
      </c>
      <c r="AC765" s="110">
        <v>31.25</v>
      </c>
      <c r="AD765" s="110">
        <v>1033.5</v>
      </c>
      <c r="AE765" s="110">
        <v>383.5</v>
      </c>
      <c r="AF765" s="110">
        <v>179</v>
      </c>
      <c r="AG765" s="110">
        <v>0</v>
      </c>
      <c r="AH765" s="108">
        <f>(AD765-AF765)/(D765*$K$1*2)%</f>
        <v>11.097402597402597</v>
      </c>
      <c r="AI765" s="108">
        <f>(AE765+AF765)/(D765*$K$1*2)%</f>
        <v>7.3051948051948052</v>
      </c>
      <c r="AJ765" s="110"/>
    </row>
    <row r="766" spans="1:36" ht="15.75" hidden="1" customHeight="1">
      <c r="A766" s="110" t="s">
        <v>1009</v>
      </c>
      <c r="B766" s="229">
        <v>43916</v>
      </c>
      <c r="C766" s="110">
        <v>10000</v>
      </c>
      <c r="D766" s="110">
        <v>7</v>
      </c>
      <c r="E766" s="110"/>
      <c r="F766" s="107" t="s">
        <v>263</v>
      </c>
      <c r="G766" s="107"/>
      <c r="H766" s="107"/>
      <c r="J766" s="107"/>
      <c r="K766" s="107"/>
      <c r="L766" s="107"/>
      <c r="M766" s="107"/>
      <c r="O766" s="107"/>
      <c r="P766" s="107"/>
      <c r="Q766" s="107"/>
      <c r="R766" s="107"/>
      <c r="S766" s="107"/>
      <c r="T766" s="107"/>
      <c r="U766" s="107"/>
      <c r="V766" s="107"/>
      <c r="W766" s="107"/>
      <c r="X766" s="107"/>
      <c r="Y766" s="107"/>
      <c r="Z766" s="107"/>
      <c r="AA766" s="167">
        <v>43942</v>
      </c>
      <c r="AB766" s="109">
        <f>_xlfn.DAYS(AA766,B766)</f>
        <v>26</v>
      </c>
      <c r="AC766" s="110">
        <v>40</v>
      </c>
      <c r="AD766" s="110">
        <v>1151</v>
      </c>
      <c r="AE766" s="110">
        <v>476.5</v>
      </c>
      <c r="AF766" s="110">
        <v>266</v>
      </c>
      <c r="AG766" s="110">
        <v>0</v>
      </c>
      <c r="AH766" s="108">
        <f>(AD766-AF766)/(D766*$K$1*2)%</f>
        <v>11.493506493506494</v>
      </c>
      <c r="AI766" s="108">
        <f>(AE766+AF766)/(D766*$K$1*2)%</f>
        <v>9.6428571428571423</v>
      </c>
      <c r="AJ766" s="110"/>
    </row>
    <row r="767" spans="1:36" ht="15.75" hidden="1" customHeight="1">
      <c r="A767" s="110" t="s">
        <v>1010</v>
      </c>
      <c r="B767" s="229">
        <v>43916</v>
      </c>
      <c r="C767" s="110">
        <v>10000</v>
      </c>
      <c r="D767" s="110">
        <v>7</v>
      </c>
      <c r="E767" s="110"/>
      <c r="F767" s="107" t="s">
        <v>263</v>
      </c>
      <c r="G767" s="107"/>
      <c r="H767" s="107"/>
      <c r="I767" s="107"/>
      <c r="J767" s="107"/>
      <c r="K767" s="107"/>
      <c r="L767" s="107"/>
      <c r="M767" s="107"/>
      <c r="N767" s="107"/>
      <c r="O767" s="107"/>
      <c r="P767" s="107"/>
      <c r="Q767" s="107"/>
      <c r="R767" s="107"/>
      <c r="S767" s="107"/>
      <c r="T767" s="107"/>
      <c r="U767" s="107"/>
      <c r="V767" s="107"/>
      <c r="W767" s="107"/>
      <c r="X767" s="107"/>
      <c r="Y767" s="107"/>
      <c r="Z767" s="107"/>
      <c r="AA767" s="167">
        <v>43942</v>
      </c>
      <c r="AB767" s="109">
        <f>_xlfn.DAYS(AA767,B767)</f>
        <v>26</v>
      </c>
      <c r="AC767" s="110">
        <v>28.6</v>
      </c>
      <c r="AD767" s="110">
        <v>973.5</v>
      </c>
      <c r="AE767" s="110">
        <v>393.5</v>
      </c>
      <c r="AF767" s="110">
        <v>191.5</v>
      </c>
      <c r="AG767" s="110">
        <v>0</v>
      </c>
      <c r="AH767" s="108">
        <f>(AD767-AF767)/(D767*$K$1*2)%</f>
        <v>10.155844155844155</v>
      </c>
      <c r="AI767" s="108">
        <f>(AE767+AF767)/(D767*$K$1*2)%</f>
        <v>7.5974025974025974</v>
      </c>
      <c r="AJ767" s="110"/>
    </row>
    <row r="768" spans="1:36" ht="15.75" hidden="1" customHeight="1">
      <c r="A768" s="110" t="s">
        <v>1011</v>
      </c>
      <c r="B768" s="229">
        <v>43916</v>
      </c>
      <c r="C768" s="110">
        <v>10000</v>
      </c>
      <c r="D768" s="110">
        <v>7</v>
      </c>
      <c r="E768" s="110"/>
      <c r="F768" s="107" t="s">
        <v>263</v>
      </c>
      <c r="G768" s="107"/>
      <c r="H768" s="107"/>
      <c r="I768" s="107"/>
      <c r="J768" s="107"/>
      <c r="K768" s="107"/>
      <c r="L768" s="107"/>
      <c r="M768" s="107"/>
      <c r="N768" s="107"/>
      <c r="O768" s="107"/>
      <c r="P768" s="107"/>
      <c r="Q768" s="107"/>
      <c r="R768" s="107"/>
      <c r="S768" s="107"/>
      <c r="T768" s="107"/>
      <c r="U768" s="107"/>
      <c r="V768" s="107"/>
      <c r="W768" s="107"/>
      <c r="X768" s="107"/>
      <c r="Y768" s="107"/>
      <c r="Z768" s="107"/>
      <c r="AA768" s="167">
        <v>43942</v>
      </c>
      <c r="AB768" s="109">
        <f>_xlfn.DAYS(AA768,B768)</f>
        <v>26</v>
      </c>
      <c r="AC768" s="110">
        <v>47</v>
      </c>
      <c r="AD768" s="110">
        <v>881</v>
      </c>
      <c r="AE768" s="110">
        <v>490.5</v>
      </c>
      <c r="AF768" s="110">
        <v>193</v>
      </c>
      <c r="AG768" s="110">
        <v>0</v>
      </c>
      <c r="AH768" s="108">
        <f>(AD768-AF768)/(D768*$K$1*2)%</f>
        <v>8.9350649350649345</v>
      </c>
      <c r="AI768" s="108">
        <f>(AE768+AF768)/(D768*$K$1*2)%</f>
        <v>8.8766233766233764</v>
      </c>
      <c r="AJ768" s="110"/>
    </row>
    <row r="769" spans="1:36" ht="15.75" hidden="1" customHeight="1">
      <c r="A769" s="110" t="s">
        <v>1012</v>
      </c>
      <c r="B769" s="229">
        <v>43916</v>
      </c>
      <c r="C769" s="110">
        <v>10000</v>
      </c>
      <c r="D769" s="110">
        <v>7</v>
      </c>
      <c r="E769" s="110"/>
      <c r="F769" s="107" t="s">
        <v>263</v>
      </c>
      <c r="G769" s="107"/>
      <c r="H769" s="107"/>
      <c r="I769" s="107"/>
      <c r="J769" s="107"/>
      <c r="K769" s="107"/>
      <c r="L769" s="107"/>
      <c r="M769" s="107"/>
      <c r="N769" s="107"/>
      <c r="O769" s="107"/>
      <c r="P769" s="107"/>
      <c r="Q769" s="107"/>
      <c r="R769" s="107"/>
      <c r="S769" s="107"/>
      <c r="T769" s="107"/>
      <c r="U769" s="107"/>
      <c r="V769" s="107"/>
      <c r="W769" s="107"/>
      <c r="X769" s="107"/>
      <c r="Y769" s="107"/>
      <c r="Z769" s="107"/>
      <c r="AA769" s="167">
        <v>43942</v>
      </c>
      <c r="AB769" s="109">
        <f>_xlfn.DAYS(AA769,B769)</f>
        <v>26</v>
      </c>
      <c r="AC769" s="110">
        <v>34.799999999999997</v>
      </c>
      <c r="AD769" s="110">
        <v>993.5</v>
      </c>
      <c r="AE769" s="110">
        <v>400</v>
      </c>
      <c r="AF769" s="110">
        <v>180</v>
      </c>
      <c r="AG769" s="110">
        <v>0</v>
      </c>
      <c r="AH769" s="108">
        <f>(AD769-AF769)/(D769*$K$1*2)%</f>
        <v>10.564935064935066</v>
      </c>
      <c r="AI769" s="108">
        <f>(AE769+AF769)/(D769*$K$1*2)%</f>
        <v>7.5324675324675328</v>
      </c>
      <c r="AJ769" s="110"/>
    </row>
    <row r="770" spans="1:36" ht="15.75" hidden="1" customHeight="1">
      <c r="A770" s="110" t="s">
        <v>1013</v>
      </c>
      <c r="B770" s="229">
        <v>44036</v>
      </c>
      <c r="C770" s="110">
        <v>10000</v>
      </c>
      <c r="D770" s="110">
        <v>7.5</v>
      </c>
      <c r="E770" s="110"/>
      <c r="F770" s="107" t="s">
        <v>323</v>
      </c>
      <c r="G770" s="107"/>
      <c r="H770" s="107"/>
      <c r="I770" s="178">
        <v>44110</v>
      </c>
      <c r="J770" s="178">
        <v>44113</v>
      </c>
      <c r="K770" s="107"/>
      <c r="L770" s="107"/>
      <c r="M770" s="107"/>
      <c r="N770" s="107"/>
      <c r="O770" s="107"/>
      <c r="P770" s="107"/>
      <c r="Q770" s="107"/>
      <c r="R770" s="107"/>
      <c r="S770" s="107"/>
      <c r="T770" s="107"/>
      <c r="U770" s="107"/>
      <c r="V770" s="107"/>
      <c r="W770" s="107"/>
      <c r="X770" s="107"/>
      <c r="Y770" s="107"/>
      <c r="Z770" s="107"/>
      <c r="AA770" s="167"/>
      <c r="AB770" s="109">
        <f>_xlfn.DAYS(AA770,B770)</f>
        <v>-44036</v>
      </c>
      <c r="AC770" s="110"/>
      <c r="AD770" s="110"/>
      <c r="AE770" s="110"/>
      <c r="AF770" s="110"/>
      <c r="AG770" s="107">
        <f>COUNTIFS(F:F,"Culled",A:A,LEFT(A770,LEN(A770)-3)&amp;"*")/COUNTIF(A:A,LEFT(A770,LEN(A770)-3)&amp;"*")*100</f>
        <v>100</v>
      </c>
      <c r="AH770" s="107"/>
    </row>
    <row r="771" spans="1:36" ht="15.75" hidden="1" customHeight="1">
      <c r="A771" s="107" t="s">
        <v>1014</v>
      </c>
      <c r="B771" s="226">
        <v>44110</v>
      </c>
      <c r="C771" s="230">
        <v>9704</v>
      </c>
      <c r="D771" s="107">
        <f>COUNTA(G771:Z771)*0.5</f>
        <v>5.5</v>
      </c>
      <c r="F771" s="107" t="s">
        <v>323</v>
      </c>
      <c r="G771" s="178">
        <v>44110</v>
      </c>
      <c r="H771" s="178">
        <v>44110</v>
      </c>
      <c r="I771" s="178">
        <v>44116</v>
      </c>
      <c r="J771" s="178">
        <v>44118</v>
      </c>
      <c r="K771" s="178">
        <v>44118</v>
      </c>
      <c r="L771" s="178">
        <v>44120</v>
      </c>
      <c r="M771" s="178">
        <v>44123</v>
      </c>
      <c r="N771" s="178">
        <v>44127</v>
      </c>
      <c r="O771" s="178">
        <v>44130</v>
      </c>
      <c r="P771" s="178">
        <v>44132</v>
      </c>
      <c r="Q771" s="178">
        <v>44137</v>
      </c>
      <c r="AA771" s="166">
        <v>44153</v>
      </c>
      <c r="AH771" s="107"/>
    </row>
    <row r="772" spans="1:36" ht="15.75" hidden="1" customHeight="1">
      <c r="A772" s="107" t="s">
        <v>1015</v>
      </c>
      <c r="B772" s="226" t="s">
        <v>713</v>
      </c>
      <c r="C772" s="230">
        <v>10469</v>
      </c>
      <c r="D772" s="107">
        <f>COUNTA(G772:Z772)*0.5</f>
        <v>2.5</v>
      </c>
      <c r="F772" s="107" t="s">
        <v>263</v>
      </c>
      <c r="G772" s="178" t="s">
        <v>714</v>
      </c>
      <c r="H772" s="178" t="s">
        <v>714</v>
      </c>
      <c r="I772" s="178">
        <v>44099</v>
      </c>
      <c r="J772" s="178">
        <v>44102</v>
      </c>
      <c r="K772" s="178">
        <v>44104</v>
      </c>
      <c r="AA772" s="166">
        <v>44118</v>
      </c>
      <c r="AG772" s="107">
        <f>COUNTIFS(F:F,"Culled",A:A,LEFT(A772,LEN(A772)-3)&amp;"*")/COUNTIF(A:A,LEFT(A772,LEN(A772)-3)&amp;"*")*100</f>
        <v>15.384615384615385</v>
      </c>
      <c r="AH772" s="108">
        <f>(AD772-AF772)/(D772*$K$1*2)%</f>
        <v>0</v>
      </c>
      <c r="AI772" s="108">
        <f>(AE772+AF772)/(D772*$K$1*2)%</f>
        <v>0</v>
      </c>
    </row>
    <row r="773" spans="1:36" ht="15.75" hidden="1" customHeight="1">
      <c r="A773" s="107" t="s">
        <v>1016</v>
      </c>
      <c r="B773" s="226" t="s">
        <v>713</v>
      </c>
      <c r="C773" s="230">
        <v>10469</v>
      </c>
      <c r="D773" s="107">
        <f>COUNTA(G773:Z773)*0.5</f>
        <v>2.5</v>
      </c>
      <c r="F773" s="107" t="s">
        <v>263</v>
      </c>
      <c r="G773" s="178" t="s">
        <v>714</v>
      </c>
      <c r="H773" s="178" t="s">
        <v>714</v>
      </c>
      <c r="I773" s="178">
        <v>44099</v>
      </c>
      <c r="J773" s="178">
        <v>44102</v>
      </c>
      <c r="K773" s="178">
        <v>44104</v>
      </c>
      <c r="AA773" s="166">
        <v>44118</v>
      </c>
      <c r="AG773" s="107">
        <f>COUNTIFS(F:F,"Culled",A:A,LEFT(A773,LEN(A773)-3)&amp;"*")/COUNTIF(A:A,LEFT(A773,LEN(A773)-3)&amp;"*")*100</f>
        <v>15.384615384615385</v>
      </c>
      <c r="AH773" s="108">
        <f>(AD773-AF773)/(D773*$K$1*2)%</f>
        <v>0</v>
      </c>
      <c r="AI773" s="108">
        <f>(AE773+AF773)/(D773*$K$1*2)%</f>
        <v>0</v>
      </c>
    </row>
    <row r="774" spans="1:36" ht="15.75" hidden="1" customHeight="1">
      <c r="A774" s="107" t="s">
        <v>1017</v>
      </c>
      <c r="B774" s="226" t="s">
        <v>713</v>
      </c>
      <c r="C774" s="230">
        <v>10469</v>
      </c>
      <c r="D774" s="107">
        <f>COUNTA(G774:Z774)*0.5</f>
        <v>2.5</v>
      </c>
      <c r="F774" s="107" t="s">
        <v>263</v>
      </c>
      <c r="G774" s="178" t="s">
        <v>714</v>
      </c>
      <c r="H774" s="178" t="s">
        <v>714</v>
      </c>
      <c r="I774" s="178">
        <v>44099</v>
      </c>
      <c r="J774" s="178">
        <v>44102</v>
      </c>
      <c r="K774" s="178">
        <v>44104</v>
      </c>
      <c r="AA774" s="166">
        <v>44118</v>
      </c>
      <c r="AG774" s="107">
        <f>COUNTIFS(F:F,"Culled",A:A,LEFT(A774,LEN(A774)-3)&amp;"*")/COUNTIF(A:A,LEFT(A774,LEN(A774)-3)&amp;"*")*100</f>
        <v>15.384615384615385</v>
      </c>
      <c r="AH774" s="108">
        <f>(AD774-AF774)/(D774*$K$1*2)%</f>
        <v>0</v>
      </c>
      <c r="AI774" s="108">
        <f>(AE774+AF774)/(D774*$K$1*2)%</f>
        <v>0</v>
      </c>
    </row>
    <row r="775" spans="1:36" ht="15.75" hidden="1" customHeight="1">
      <c r="A775" s="107" t="s">
        <v>1018</v>
      </c>
      <c r="B775" s="226" t="s">
        <v>713</v>
      </c>
      <c r="C775" s="230">
        <v>10469</v>
      </c>
      <c r="D775" s="107">
        <f>COUNTA(G775:Z775)*0.5</f>
        <v>2.5</v>
      </c>
      <c r="F775" s="107" t="s">
        <v>263</v>
      </c>
      <c r="G775" s="178" t="s">
        <v>714</v>
      </c>
      <c r="H775" s="178" t="s">
        <v>714</v>
      </c>
      <c r="I775" s="178">
        <v>44099</v>
      </c>
      <c r="J775" s="178">
        <v>44102</v>
      </c>
      <c r="K775" s="178">
        <v>44104</v>
      </c>
      <c r="AA775" s="166">
        <v>44118</v>
      </c>
      <c r="AG775" s="107">
        <f>COUNTIFS(F:F,"Culled",A:A,LEFT(A775,LEN(A775)-3)&amp;"*")/COUNTIF(A:A,LEFT(A775,LEN(A775)-3)&amp;"*")*100</f>
        <v>15.384615384615385</v>
      </c>
      <c r="AH775" s="108">
        <f>(AD775-AF775)/(D775*$K$1*2)%</f>
        <v>0</v>
      </c>
      <c r="AI775" s="108">
        <f>(AE775+AF775)/(D775*$K$1*2)%</f>
        <v>0</v>
      </c>
    </row>
    <row r="776" spans="1:36" ht="15.75" hidden="1" customHeight="1">
      <c r="A776" s="107" t="s">
        <v>1019</v>
      </c>
      <c r="B776" s="226" t="s">
        <v>713</v>
      </c>
      <c r="C776" s="230">
        <v>10469</v>
      </c>
      <c r="D776" s="107">
        <f>COUNTA(G776:Z776)*0.5</f>
        <v>2.5</v>
      </c>
      <c r="F776" s="107" t="s">
        <v>263</v>
      </c>
      <c r="G776" s="178" t="s">
        <v>714</v>
      </c>
      <c r="H776" s="178" t="s">
        <v>714</v>
      </c>
      <c r="I776" s="178">
        <v>44099</v>
      </c>
      <c r="J776" s="178">
        <v>44102</v>
      </c>
      <c r="K776" s="178">
        <v>44104</v>
      </c>
      <c r="AA776" s="166">
        <v>44118</v>
      </c>
      <c r="AG776" s="107">
        <f>COUNTIFS(F:F,"Culled",A:A,LEFT(A776,LEN(A776)-3)&amp;"*")/COUNTIF(A:A,LEFT(A776,LEN(A776)-3)&amp;"*")*100</f>
        <v>15.384615384615385</v>
      </c>
      <c r="AH776" s="108">
        <f>(AD776-AF776)/(D776*$K$1*2)%</f>
        <v>0</v>
      </c>
      <c r="AI776" s="108">
        <f>(AE776+AF776)/(D776*$K$1*2)%</f>
        <v>0</v>
      </c>
    </row>
    <row r="777" spans="1:36" ht="15.75" hidden="1" customHeight="1">
      <c r="A777" s="110" t="s">
        <v>1020</v>
      </c>
      <c r="B777" s="229">
        <v>44036</v>
      </c>
      <c r="C777" s="110">
        <v>10000</v>
      </c>
      <c r="D777" s="110">
        <v>7</v>
      </c>
      <c r="E777" s="110"/>
      <c r="F777" s="107" t="s">
        <v>323</v>
      </c>
      <c r="G777" s="107"/>
      <c r="H777" s="107"/>
      <c r="I777" s="178">
        <v>44110</v>
      </c>
      <c r="J777" s="178">
        <v>44113</v>
      </c>
      <c r="K777" s="107"/>
      <c r="L777" s="107"/>
      <c r="M777" s="107"/>
      <c r="N777" s="107"/>
      <c r="O777" s="107"/>
      <c r="P777" s="107"/>
      <c r="Q777" s="107"/>
      <c r="R777" s="107"/>
      <c r="S777" s="107"/>
      <c r="T777" s="107"/>
      <c r="U777" s="107"/>
      <c r="V777" s="107"/>
      <c r="W777" s="107"/>
      <c r="X777" s="107"/>
      <c r="Y777" s="107"/>
      <c r="Z777" s="107"/>
      <c r="AA777" s="167"/>
      <c r="AB777" s="109">
        <f>_xlfn.DAYS(AA777,B777)</f>
        <v>-44036</v>
      </c>
      <c r="AC777" s="110"/>
      <c r="AD777" s="110"/>
      <c r="AE777" s="110"/>
      <c r="AF777" s="110"/>
      <c r="AG777" s="107">
        <f>COUNTIFS(F:F,"Culled",A:A,LEFT(A777,LEN(A777)-3)&amp;"*")/COUNTIF(A:A,LEFT(A777,LEN(A777)-3)&amp;"*")*100</f>
        <v>100</v>
      </c>
      <c r="AH777" s="107"/>
    </row>
    <row r="778" spans="1:36" ht="15.75" hidden="1" customHeight="1">
      <c r="A778" s="107" t="s">
        <v>1021</v>
      </c>
      <c r="B778" s="226" t="s">
        <v>713</v>
      </c>
      <c r="C778" s="230">
        <v>10469</v>
      </c>
      <c r="D778" s="107">
        <f>COUNTA(G778:Z778)*0.5</f>
        <v>2.5</v>
      </c>
      <c r="F778" s="107" t="s">
        <v>263</v>
      </c>
      <c r="G778" s="178" t="s">
        <v>714</v>
      </c>
      <c r="H778" s="178" t="s">
        <v>714</v>
      </c>
      <c r="I778" s="178">
        <v>44099</v>
      </c>
      <c r="J778" s="178">
        <v>44102</v>
      </c>
      <c r="K778" s="178">
        <v>44104</v>
      </c>
      <c r="AA778" s="166">
        <v>44118</v>
      </c>
      <c r="AG778" s="107">
        <f>COUNTIFS(F:F,"Culled",A:A,LEFT(A778,LEN(A778)-3)&amp;"*")/COUNTIF(A:A,LEFT(A778,LEN(A778)-3)&amp;"*")*100</f>
        <v>15.384615384615385</v>
      </c>
      <c r="AH778" s="108">
        <f>(AD778-AF778)/(D778*$K$1*2)%</f>
        <v>0</v>
      </c>
      <c r="AI778" s="108">
        <f>(AE778+AF778)/(D778*$K$1*2)%</f>
        <v>0</v>
      </c>
    </row>
    <row r="779" spans="1:36" ht="15.75" hidden="1" customHeight="1">
      <c r="A779" s="110" t="s">
        <v>1022</v>
      </c>
      <c r="B779" s="229">
        <v>44036</v>
      </c>
      <c r="C779" s="110">
        <v>10000</v>
      </c>
      <c r="D779" s="110">
        <v>7.5</v>
      </c>
      <c r="E779" s="110"/>
      <c r="F779" s="107" t="s">
        <v>323</v>
      </c>
      <c r="G779" s="107"/>
      <c r="H779" s="107"/>
      <c r="I779" s="178">
        <v>44110</v>
      </c>
      <c r="J779" s="178">
        <v>44113</v>
      </c>
      <c r="K779" s="107"/>
      <c r="L779" s="107"/>
      <c r="M779" s="107"/>
      <c r="N779" s="107"/>
      <c r="O779" s="107"/>
      <c r="P779" s="107"/>
      <c r="Q779" s="107"/>
      <c r="R779" s="107"/>
      <c r="S779" s="107"/>
      <c r="T779" s="107"/>
      <c r="U779" s="107"/>
      <c r="V779" s="107"/>
      <c r="W779" s="107"/>
      <c r="X779" s="107"/>
      <c r="Y779" s="107"/>
      <c r="Z779" s="107"/>
      <c r="AA779" s="167"/>
      <c r="AB779" s="109">
        <f>_xlfn.DAYS(AA779,B779)</f>
        <v>-44036</v>
      </c>
      <c r="AC779" s="110"/>
      <c r="AD779" s="110"/>
      <c r="AE779" s="110"/>
      <c r="AF779" s="110"/>
      <c r="AG779" s="107">
        <f>COUNTIFS(F:F,"Culled",A:A,LEFT(A779,LEN(A779)-3)&amp;"*")/COUNTIF(A:A,LEFT(A779,LEN(A779)-3)&amp;"*")*100</f>
        <v>100</v>
      </c>
      <c r="AH779" s="107"/>
    </row>
    <row r="780" spans="1:36" ht="15.75" hidden="1" customHeight="1">
      <c r="A780" s="107" t="s">
        <v>1023</v>
      </c>
      <c r="B780" s="226" t="s">
        <v>713</v>
      </c>
      <c r="C780" s="230">
        <v>10469</v>
      </c>
      <c r="D780" s="107">
        <f>COUNTA(G780:Z780)*0.5</f>
        <v>2.5</v>
      </c>
      <c r="F780" s="107" t="s">
        <v>263</v>
      </c>
      <c r="G780" s="178" t="s">
        <v>714</v>
      </c>
      <c r="H780" s="178" t="s">
        <v>714</v>
      </c>
      <c r="I780" s="178">
        <v>44099</v>
      </c>
      <c r="J780" s="178">
        <v>44102</v>
      </c>
      <c r="K780" s="178">
        <v>44104</v>
      </c>
      <c r="AA780" s="166">
        <v>44118</v>
      </c>
      <c r="AC780" s="107">
        <f>AVERAGE(6/7,1)*100</f>
        <v>92.857142857142861</v>
      </c>
      <c r="AD780" s="107">
        <v>388.5</v>
      </c>
      <c r="AE780" s="107">
        <v>108.5</v>
      </c>
      <c r="AG780" s="107">
        <f>COUNTIFS(F:F,"Culled",A:A,LEFT(A780,LEN(A780)-3)&amp;"*")/COUNTIF(A:A,LEFT(A780,LEN(A780)-3)&amp;"*")*100</f>
        <v>15.384615384615385</v>
      </c>
      <c r="AH780" s="108">
        <f>(AD780-AF780)/(D780*$K$1*2)%</f>
        <v>14.127272727272727</v>
      </c>
      <c r="AI780" s="108">
        <f>(AE780+AF780)/(D780*$K$1*2)%</f>
        <v>3.9454545454545453</v>
      </c>
    </row>
    <row r="781" spans="1:36" ht="15.75" hidden="1" customHeight="1">
      <c r="A781" s="107" t="s">
        <v>1024</v>
      </c>
      <c r="B781" s="226" t="s">
        <v>713</v>
      </c>
      <c r="C781" s="230">
        <v>11338</v>
      </c>
      <c r="D781" s="107">
        <f>COUNTA(G781:Z781)*0.5</f>
        <v>4</v>
      </c>
      <c r="F781" s="107" t="s">
        <v>263</v>
      </c>
      <c r="G781" s="178" t="s">
        <v>714</v>
      </c>
      <c r="H781" s="178" t="s">
        <v>714</v>
      </c>
      <c r="I781" s="178">
        <v>44099</v>
      </c>
      <c r="J781" s="178">
        <v>44102</v>
      </c>
      <c r="K781" s="178">
        <v>44104</v>
      </c>
      <c r="L781" s="178">
        <v>44110</v>
      </c>
      <c r="M781" s="178">
        <v>44113</v>
      </c>
      <c r="N781" s="178">
        <v>44116</v>
      </c>
      <c r="AA781" s="166">
        <v>44118</v>
      </c>
      <c r="AC781" s="107">
        <f>AVERAGE(11/21,1/6)*100</f>
        <v>34.523809523809526</v>
      </c>
      <c r="AD781" s="107">
        <v>697</v>
      </c>
      <c r="AE781" s="107">
        <v>182</v>
      </c>
      <c r="AF781" s="107">
        <v>49</v>
      </c>
      <c r="AG781" s="107">
        <f>COUNTIFS(F:F,"Culled",A:A,LEFT(A781,LEN(A781)-3)&amp;"*")/COUNTIF(A:A,LEFT(A781,LEN(A781)-3)&amp;"*")*100</f>
        <v>15.384615384615385</v>
      </c>
      <c r="AH781" s="108">
        <f>(AD781-AF781)/(D781*$K$1*2)%</f>
        <v>14.727272727272727</v>
      </c>
      <c r="AI781" s="108">
        <f>(AE781+AF781)/(D781*$K$1*2)%</f>
        <v>5.25</v>
      </c>
    </row>
    <row r="782" spans="1:36" ht="15.75" hidden="1" customHeight="1">
      <c r="A782" s="107" t="s">
        <v>1025</v>
      </c>
      <c r="B782" s="226" t="s">
        <v>713</v>
      </c>
      <c r="C782" s="230">
        <v>11338</v>
      </c>
      <c r="D782" s="107">
        <f>COUNTA(G782:Z782)*0.5</f>
        <v>4.5</v>
      </c>
      <c r="F782" s="107" t="s">
        <v>263</v>
      </c>
      <c r="G782" s="178" t="s">
        <v>714</v>
      </c>
      <c r="H782" s="178" t="s">
        <v>714</v>
      </c>
      <c r="I782" s="178">
        <v>44099</v>
      </c>
      <c r="J782" s="178">
        <v>44102</v>
      </c>
      <c r="K782" s="178">
        <v>44104</v>
      </c>
      <c r="L782" s="178">
        <v>44106</v>
      </c>
      <c r="M782" s="178">
        <v>44110</v>
      </c>
      <c r="N782" s="178">
        <v>44113</v>
      </c>
      <c r="O782" s="178">
        <v>44116</v>
      </c>
      <c r="AA782" s="166">
        <v>44118</v>
      </c>
      <c r="AG782" s="107">
        <f>COUNTIFS(F:F,"Culled",A:A,LEFT(A782,LEN(A782)-3)&amp;"*")/COUNTIF(A:A,LEFT(A782,LEN(A782)-3)&amp;"*")*100</f>
        <v>15.384615384615385</v>
      </c>
      <c r="AH782" s="108">
        <f>(AD782-AF782)/(D782*$K$1*2)%</f>
        <v>0</v>
      </c>
      <c r="AI782" s="108">
        <f>(AE782+AF782)/(D782*$K$1*2)%</f>
        <v>0</v>
      </c>
    </row>
    <row r="783" spans="1:36" ht="15.75" hidden="1" customHeight="1">
      <c r="A783" s="110" t="s">
        <v>1026</v>
      </c>
      <c r="B783" s="223">
        <v>44039</v>
      </c>
      <c r="C783" s="224">
        <v>10000</v>
      </c>
      <c r="D783" s="110">
        <v>8</v>
      </c>
      <c r="E783" s="110"/>
      <c r="F783" s="107" t="s">
        <v>323</v>
      </c>
      <c r="G783" s="226"/>
      <c r="H783" s="226"/>
      <c r="I783" s="178">
        <v>44110</v>
      </c>
      <c r="J783" s="178">
        <v>44113</v>
      </c>
      <c r="K783" s="226"/>
      <c r="L783" s="226"/>
      <c r="M783" s="226"/>
      <c r="N783" s="226"/>
      <c r="O783" s="226"/>
      <c r="P783" s="226"/>
      <c r="Q783" s="226"/>
      <c r="R783" s="226"/>
      <c r="S783" s="226"/>
      <c r="T783" s="226"/>
      <c r="U783" s="226"/>
      <c r="V783" s="226"/>
      <c r="W783" s="226"/>
      <c r="X783" s="226"/>
      <c r="Y783" s="226"/>
      <c r="Z783" s="107"/>
      <c r="AA783" s="167"/>
      <c r="AB783" s="109">
        <f>_xlfn.DAYS(AA783,B783)</f>
        <v>-44039</v>
      </c>
      <c r="AC783" s="110"/>
      <c r="AD783" s="110"/>
      <c r="AE783" s="110"/>
      <c r="AF783" s="110"/>
      <c r="AG783" s="107">
        <f>COUNTIFS(F:F,"Culled",A:A,LEFT(A783,LEN(A783)-3)&amp;"*")/COUNTIF(A:A,LEFT(A783,LEN(A783)-3)&amp;"*")*100</f>
        <v>87.5</v>
      </c>
      <c r="AH783" s="107"/>
    </row>
    <row r="784" spans="1:36" ht="15.75" hidden="1" customHeight="1">
      <c r="A784" s="107" t="s">
        <v>1027</v>
      </c>
      <c r="B784" s="226" t="s">
        <v>713</v>
      </c>
      <c r="C784" s="230">
        <v>11338</v>
      </c>
      <c r="D784" s="107">
        <f>COUNTA(G784:Z784)*0.5</f>
        <v>4</v>
      </c>
      <c r="F784" s="107" t="s">
        <v>263</v>
      </c>
      <c r="G784" s="178" t="s">
        <v>714</v>
      </c>
      <c r="H784" s="178" t="s">
        <v>714</v>
      </c>
      <c r="I784" s="178">
        <v>44099</v>
      </c>
      <c r="J784" s="178">
        <v>44102</v>
      </c>
      <c r="K784" s="178">
        <v>44104</v>
      </c>
      <c r="L784" s="178">
        <v>44106</v>
      </c>
      <c r="M784" s="178">
        <v>44110</v>
      </c>
      <c r="N784" s="178">
        <v>44113</v>
      </c>
      <c r="AA784" s="166">
        <v>44118</v>
      </c>
      <c r="AC784" s="107">
        <f>AVERAGE(2/14,2/4)*100</f>
        <v>32.142857142857139</v>
      </c>
      <c r="AD784" s="107">
        <v>568.5</v>
      </c>
      <c r="AE784" s="107">
        <v>158.5</v>
      </c>
      <c r="AF784" s="107">
        <v>32.5</v>
      </c>
      <c r="AG784" s="107">
        <f>COUNTIFS(F:F,"Culled",A:A,LEFT(A784,LEN(A784)-3)&amp;"*")/COUNTIF(A:A,LEFT(A784,LEN(A784)-3)&amp;"*")*100</f>
        <v>15.384615384615385</v>
      </c>
      <c r="AH784" s="108">
        <f>(AD784-AF784)/(D784*$K$1*2)%</f>
        <v>12.181818181818182</v>
      </c>
      <c r="AI784" s="108">
        <f>(AE784+AF784)/(D784*$K$1*2)%</f>
        <v>4.3409090909090908</v>
      </c>
    </row>
    <row r="785" spans="1:35" ht="15.75" hidden="1" customHeight="1">
      <c r="A785" s="107" t="s">
        <v>1028</v>
      </c>
      <c r="B785" s="226" t="s">
        <v>713</v>
      </c>
      <c r="C785" s="230">
        <v>11338</v>
      </c>
      <c r="D785" s="107">
        <f>COUNTA(G785:Z785)*0.5</f>
        <v>4</v>
      </c>
      <c r="F785" s="107" t="s">
        <v>263</v>
      </c>
      <c r="G785" s="178" t="s">
        <v>714</v>
      </c>
      <c r="H785" s="178" t="s">
        <v>714</v>
      </c>
      <c r="I785" s="178">
        <v>44099</v>
      </c>
      <c r="J785" s="178">
        <v>44102</v>
      </c>
      <c r="K785" s="178">
        <v>44104</v>
      </c>
      <c r="L785" s="178">
        <v>44110</v>
      </c>
      <c r="M785" s="178">
        <v>44113</v>
      </c>
      <c r="N785" s="178">
        <v>44116</v>
      </c>
      <c r="AA785" s="166">
        <v>44118</v>
      </c>
      <c r="AG785" s="107">
        <f>COUNTIFS(F:F,"Culled",A:A,LEFT(A785,LEN(A785)-3)&amp;"*")/COUNTIF(A:A,LEFT(A785,LEN(A785)-3)&amp;"*")*100</f>
        <v>15.384615384615385</v>
      </c>
      <c r="AH785" s="108">
        <f>(AD785-AF785)/(D785*$K$1*2)%</f>
        <v>0</v>
      </c>
      <c r="AI785" s="108">
        <f>(AE785+AF785)/(D785*$K$1*2)%</f>
        <v>0</v>
      </c>
    </row>
    <row r="786" spans="1:35" ht="15.75" hidden="1" customHeight="1">
      <c r="A786" s="110" t="s">
        <v>1029</v>
      </c>
      <c r="B786" s="229">
        <v>44039</v>
      </c>
      <c r="C786" s="110">
        <v>10000</v>
      </c>
      <c r="D786" s="110">
        <v>8</v>
      </c>
      <c r="E786" s="110"/>
      <c r="F786" s="107" t="s">
        <v>323</v>
      </c>
      <c r="G786" s="107"/>
      <c r="H786" s="107"/>
      <c r="I786" s="178">
        <v>44110</v>
      </c>
      <c r="J786" s="178">
        <v>44113</v>
      </c>
      <c r="K786" s="107"/>
      <c r="L786" s="107"/>
      <c r="M786" s="107"/>
      <c r="N786" s="107"/>
      <c r="O786" s="107"/>
      <c r="P786" s="107"/>
      <c r="Q786" s="107"/>
      <c r="R786" s="107"/>
      <c r="S786" s="107"/>
      <c r="T786" s="107"/>
      <c r="U786" s="107"/>
      <c r="V786" s="107"/>
      <c r="W786" s="107"/>
      <c r="X786" s="107"/>
      <c r="Y786" s="107"/>
      <c r="Z786" s="107"/>
      <c r="AA786" s="167"/>
      <c r="AB786" s="109">
        <f>_xlfn.DAYS(AA786,B786)</f>
        <v>-44039</v>
      </c>
      <c r="AC786" s="110"/>
      <c r="AD786" s="110"/>
      <c r="AE786" s="110"/>
      <c r="AF786" s="110"/>
      <c r="AG786" s="107">
        <f>COUNTIFS(F:F,"Culled",A:A,LEFT(A786,LEN(A786)-3)&amp;"*")/COUNTIF(A:A,LEFT(A786,LEN(A786)-3)&amp;"*")*100</f>
        <v>87.5</v>
      </c>
      <c r="AH786" s="107"/>
    </row>
    <row r="787" spans="1:35" ht="15.75" hidden="1" customHeight="1">
      <c r="A787" s="107" t="s">
        <v>1030</v>
      </c>
      <c r="B787" s="226">
        <v>44116</v>
      </c>
      <c r="C787" s="237">
        <v>11095</v>
      </c>
      <c r="D787" s="107">
        <f>COUNTA(G787:Z787)*0.5</f>
        <v>6</v>
      </c>
      <c r="F787" s="107" t="s">
        <v>263</v>
      </c>
      <c r="G787" s="178">
        <v>44117</v>
      </c>
      <c r="H787" s="178">
        <v>44117</v>
      </c>
      <c r="I787" s="178">
        <v>44120</v>
      </c>
      <c r="J787" s="178">
        <v>44123</v>
      </c>
      <c r="K787" s="178">
        <v>44125</v>
      </c>
      <c r="L787" s="178">
        <v>44127</v>
      </c>
      <c r="M787" s="178">
        <v>44127</v>
      </c>
      <c r="N787" s="178">
        <v>44130</v>
      </c>
      <c r="O787" s="178">
        <v>44132</v>
      </c>
      <c r="P787" s="178">
        <v>44134</v>
      </c>
      <c r="Q787" s="178">
        <v>44137</v>
      </c>
      <c r="R787" s="178">
        <v>44139</v>
      </c>
      <c r="AA787" s="166">
        <v>44146</v>
      </c>
      <c r="AH787" s="108">
        <f>(AD787-AF787)/(D787*$K$1*2)%</f>
        <v>0</v>
      </c>
      <c r="AI787" s="108">
        <f>(AE787+AF787)/(D787*$K$1*2)%</f>
        <v>0</v>
      </c>
    </row>
    <row r="788" spans="1:35" ht="15.75" hidden="1" customHeight="1">
      <c r="A788" s="107" t="s">
        <v>1031</v>
      </c>
      <c r="B788" s="226">
        <v>44070</v>
      </c>
      <c r="C788" s="230">
        <v>12016</v>
      </c>
      <c r="D788" s="107">
        <f>COUNTA(G788:Z788)*0.5</f>
        <v>5.5</v>
      </c>
      <c r="F788" s="107" t="s">
        <v>263</v>
      </c>
      <c r="G788" s="178">
        <v>44070</v>
      </c>
      <c r="H788" s="178">
        <v>44070</v>
      </c>
      <c r="I788" s="178">
        <v>44074</v>
      </c>
      <c r="J788" s="178">
        <v>44123</v>
      </c>
      <c r="K788" s="178">
        <v>44078</v>
      </c>
      <c r="L788" s="178">
        <v>44081</v>
      </c>
      <c r="M788" s="178">
        <v>44085</v>
      </c>
      <c r="N788" s="178">
        <v>44088</v>
      </c>
      <c r="O788" s="178" t="s">
        <v>375</v>
      </c>
      <c r="P788" s="178">
        <v>44104</v>
      </c>
      <c r="Q788" s="178">
        <v>44106</v>
      </c>
      <c r="AB788" s="109">
        <f>_xlfn.DAYS(AA788,B788)</f>
        <v>-44070</v>
      </c>
      <c r="AG788" s="107">
        <f>COUNTIFS(F:F,"Culled",A:A,LEFT(A788,LEN(A788)-3)&amp;"*")/COUNTIF(A:A,LEFT(A788,LEN(A788)-3)&amp;"*")*100</f>
        <v>25</v>
      </c>
      <c r="AH788" s="108">
        <f>(AD788-AF788)/(D788*$K$1*2)%</f>
        <v>0</v>
      </c>
      <c r="AI788" s="108">
        <f>(AE788+AF788)/(D788*$K$1*2)%</f>
        <v>0</v>
      </c>
    </row>
    <row r="789" spans="1:35" ht="15.75" hidden="1" customHeight="1">
      <c r="A789" s="107" t="s">
        <v>1032</v>
      </c>
      <c r="B789" s="226">
        <v>44116</v>
      </c>
      <c r="C789" s="237">
        <v>11095</v>
      </c>
      <c r="D789" s="107">
        <f>COUNTA(G789:Z789)*0.5</f>
        <v>6</v>
      </c>
      <c r="F789" s="107" t="s">
        <v>263</v>
      </c>
      <c r="G789" s="178">
        <v>44117</v>
      </c>
      <c r="H789" s="178">
        <v>44117</v>
      </c>
      <c r="I789" s="178">
        <v>44120</v>
      </c>
      <c r="J789" s="178">
        <v>44123</v>
      </c>
      <c r="K789" s="178">
        <v>44125</v>
      </c>
      <c r="L789" s="178">
        <v>44127</v>
      </c>
      <c r="M789" s="178">
        <v>44127</v>
      </c>
      <c r="N789" s="178">
        <v>44130</v>
      </c>
      <c r="O789" s="178">
        <v>44132</v>
      </c>
      <c r="P789" s="178">
        <v>44134</v>
      </c>
      <c r="Q789" s="178">
        <v>44137</v>
      </c>
      <c r="R789" s="178">
        <v>44139</v>
      </c>
      <c r="AA789" s="166">
        <v>44151</v>
      </c>
      <c r="AH789" s="108">
        <f>(AD789-AF789)/(D789*$K$1*2)%</f>
        <v>0</v>
      </c>
      <c r="AI789" s="108">
        <f>(AE789+AF789)/(D789*$K$1*2)%</f>
        <v>0</v>
      </c>
    </row>
    <row r="790" spans="1:35" ht="15.75" hidden="1" customHeight="1">
      <c r="A790" s="107" t="s">
        <v>1033</v>
      </c>
      <c r="B790" s="226">
        <v>44116</v>
      </c>
      <c r="C790" s="237">
        <v>11095</v>
      </c>
      <c r="D790" s="107">
        <f>COUNTA(G790:Z790)*0.5</f>
        <v>5.5</v>
      </c>
      <c r="F790" s="107" t="s">
        <v>263</v>
      </c>
      <c r="G790" s="178">
        <v>44117</v>
      </c>
      <c r="H790" s="178">
        <v>44117</v>
      </c>
      <c r="I790" s="178">
        <v>44120</v>
      </c>
      <c r="J790" s="178">
        <v>44123</v>
      </c>
      <c r="K790" s="178">
        <v>44125</v>
      </c>
      <c r="L790" s="178">
        <v>44127</v>
      </c>
      <c r="M790" s="178">
        <v>44127</v>
      </c>
      <c r="N790" s="178">
        <v>44130</v>
      </c>
      <c r="O790" s="178">
        <v>44132</v>
      </c>
      <c r="P790" s="178">
        <v>44134</v>
      </c>
      <c r="Q790" s="178">
        <v>44137</v>
      </c>
      <c r="AA790" s="166">
        <v>44146</v>
      </c>
      <c r="AH790" s="108">
        <f>(AD790-AF790)/(D790*$K$1*2)%</f>
        <v>0</v>
      </c>
      <c r="AI790" s="108">
        <f>(AE790+AF790)/(D790*$K$1*2)%</f>
        <v>0</v>
      </c>
    </row>
    <row r="791" spans="1:35" ht="15.75" hidden="1" customHeight="1">
      <c r="A791" s="107" t="s">
        <v>1034</v>
      </c>
      <c r="B791" s="226">
        <v>44116</v>
      </c>
      <c r="C791" s="237">
        <v>11095</v>
      </c>
      <c r="D791" s="107">
        <f>COUNTA(G791:Z791)*0.5</f>
        <v>5.5</v>
      </c>
      <c r="F791" s="107" t="s">
        <v>263</v>
      </c>
      <c r="G791" s="178">
        <v>44117</v>
      </c>
      <c r="H791" s="178">
        <v>44117</v>
      </c>
      <c r="I791" s="178">
        <v>44120</v>
      </c>
      <c r="J791" s="178">
        <v>44123</v>
      </c>
      <c r="K791" s="178">
        <v>44125</v>
      </c>
      <c r="L791" s="178">
        <v>44127</v>
      </c>
      <c r="M791" s="178">
        <v>44127</v>
      </c>
      <c r="N791" s="178">
        <v>44130</v>
      </c>
      <c r="O791" s="178">
        <v>44132</v>
      </c>
      <c r="P791" s="178">
        <v>44134</v>
      </c>
      <c r="Q791" s="178">
        <v>44137</v>
      </c>
      <c r="AA791" s="166">
        <v>44146</v>
      </c>
      <c r="AH791" s="108">
        <f>(AD791-AF791)/(D791*$K$1*2)%</f>
        <v>0</v>
      </c>
      <c r="AI791" s="108">
        <f>(AE791+AF791)/(D791*$K$1*2)%</f>
        <v>0</v>
      </c>
    </row>
    <row r="792" spans="1:35" ht="15.75" hidden="1" customHeight="1">
      <c r="A792" s="107" t="s">
        <v>1035</v>
      </c>
      <c r="B792" s="226">
        <v>44116</v>
      </c>
      <c r="C792" s="237">
        <v>11095</v>
      </c>
      <c r="D792" s="107">
        <f>COUNTA(G792:Z792)*0.5</f>
        <v>5.5</v>
      </c>
      <c r="F792" s="107" t="s">
        <v>263</v>
      </c>
      <c r="G792" s="178">
        <v>44117</v>
      </c>
      <c r="H792" s="178">
        <v>44117</v>
      </c>
      <c r="I792" s="178">
        <v>44120</v>
      </c>
      <c r="J792" s="178">
        <v>44123</v>
      </c>
      <c r="K792" s="178">
        <v>44125</v>
      </c>
      <c r="L792" s="178">
        <v>44127</v>
      </c>
      <c r="M792" s="178">
        <v>44127</v>
      </c>
      <c r="N792" s="178">
        <v>44130</v>
      </c>
      <c r="O792" s="178">
        <v>44132</v>
      </c>
      <c r="P792" s="178">
        <v>44134</v>
      </c>
      <c r="Q792" s="178">
        <v>44137</v>
      </c>
      <c r="AA792" s="166">
        <v>44146</v>
      </c>
      <c r="AC792" s="107">
        <f>16/21</f>
        <v>0.76190476190476186</v>
      </c>
      <c r="AD792" s="107">
        <v>673</v>
      </c>
      <c r="AE792" s="107">
        <v>209</v>
      </c>
      <c r="AH792" s="108">
        <f>(AD792-AF792)/(D792*$K$1*2)%</f>
        <v>11.12396694214876</v>
      </c>
      <c r="AI792" s="108">
        <f>(AE792+AF792)/(D792*$K$1*2)%</f>
        <v>3.4545454545454546</v>
      </c>
    </row>
    <row r="793" spans="1:35" ht="15.75" hidden="1" customHeight="1">
      <c r="A793" s="107" t="s">
        <v>1036</v>
      </c>
      <c r="B793" s="226">
        <v>44116</v>
      </c>
      <c r="C793" s="237">
        <v>11095</v>
      </c>
      <c r="D793" s="107">
        <f>COUNTA(G793:Z793)*0.5</f>
        <v>5.5</v>
      </c>
      <c r="F793" s="107" t="s">
        <v>263</v>
      </c>
      <c r="G793" s="178">
        <v>44117</v>
      </c>
      <c r="H793" s="178">
        <v>44117</v>
      </c>
      <c r="I793" s="178">
        <v>44120</v>
      </c>
      <c r="J793" s="178">
        <v>44123</v>
      </c>
      <c r="K793" s="178">
        <v>44125</v>
      </c>
      <c r="L793" s="178">
        <v>44127</v>
      </c>
      <c r="M793" s="178">
        <v>44127</v>
      </c>
      <c r="N793" s="178">
        <v>44130</v>
      </c>
      <c r="O793" s="178">
        <v>44132</v>
      </c>
      <c r="P793" s="178">
        <v>44134</v>
      </c>
      <c r="Q793" s="178">
        <v>44137</v>
      </c>
      <c r="AA793" s="166">
        <v>44146</v>
      </c>
      <c r="AC793" s="107">
        <f>12/18</f>
        <v>0.66666666666666663</v>
      </c>
      <c r="AD793" s="107">
        <v>974</v>
      </c>
      <c r="AE793" s="107">
        <v>264</v>
      </c>
      <c r="AH793" s="108">
        <f>(AD793-AF793)/(D793*$K$1*2)%</f>
        <v>16.099173553719009</v>
      </c>
      <c r="AI793" s="108">
        <f>(AE793+AF793)/(D793*$K$1*2)%</f>
        <v>4.3636363636363633</v>
      </c>
    </row>
    <row r="794" spans="1:35" ht="15.75" hidden="1" customHeight="1">
      <c r="A794" s="107" t="s">
        <v>1037</v>
      </c>
      <c r="B794" s="226">
        <v>44116</v>
      </c>
      <c r="C794" s="237">
        <v>11095</v>
      </c>
      <c r="D794" s="107">
        <f>COUNTA(G794:Z794)*0.5</f>
        <v>6</v>
      </c>
      <c r="F794" s="107" t="s">
        <v>263</v>
      </c>
      <c r="G794" s="178">
        <v>44117</v>
      </c>
      <c r="H794" s="178">
        <v>44117</v>
      </c>
      <c r="I794" s="178">
        <v>44120</v>
      </c>
      <c r="J794" s="178">
        <v>44123</v>
      </c>
      <c r="K794" s="178">
        <v>44125</v>
      </c>
      <c r="L794" s="178">
        <v>44127</v>
      </c>
      <c r="M794" s="178">
        <v>44127</v>
      </c>
      <c r="N794" s="178">
        <v>44130</v>
      </c>
      <c r="O794" s="178">
        <v>44132</v>
      </c>
      <c r="P794" s="178">
        <v>44134</v>
      </c>
      <c r="Q794" s="178">
        <v>44137</v>
      </c>
      <c r="R794" s="178">
        <v>44139</v>
      </c>
      <c r="AA794" s="166">
        <v>44146</v>
      </c>
      <c r="AC794" s="107">
        <f>7/23</f>
        <v>0.30434782608695654</v>
      </c>
      <c r="AD794" s="107">
        <v>956</v>
      </c>
      <c r="AE794" s="107">
        <v>257</v>
      </c>
      <c r="AH794" s="108">
        <f>(AD794-AF794)/(D794*$K$1*2)%</f>
        <v>14.484848484848484</v>
      </c>
      <c r="AI794" s="108">
        <f>(AE794+AF794)/(D794*$K$1*2)%</f>
        <v>3.893939393939394</v>
      </c>
    </row>
    <row r="795" spans="1:35" ht="15.75" hidden="1" customHeight="1">
      <c r="A795" s="107" t="s">
        <v>1038</v>
      </c>
      <c r="B795" s="226">
        <v>44116</v>
      </c>
      <c r="C795" s="237">
        <v>11095</v>
      </c>
      <c r="D795" s="107">
        <f>COUNTA(G795:Z795)*0.5</f>
        <v>5.5</v>
      </c>
      <c r="F795" s="107" t="s">
        <v>263</v>
      </c>
      <c r="G795" s="178">
        <v>44117</v>
      </c>
      <c r="H795" s="178">
        <v>44117</v>
      </c>
      <c r="I795" s="178">
        <v>44120</v>
      </c>
      <c r="J795" s="178">
        <v>44123</v>
      </c>
      <c r="K795" s="178">
        <v>44125</v>
      </c>
      <c r="L795" s="178">
        <v>44127</v>
      </c>
      <c r="M795" s="178">
        <v>44127</v>
      </c>
      <c r="N795" s="178">
        <v>44130</v>
      </c>
      <c r="O795" s="178">
        <v>44132</v>
      </c>
      <c r="P795" s="178">
        <v>44134</v>
      </c>
      <c r="Q795" s="178">
        <v>44137</v>
      </c>
      <c r="AA795" s="166">
        <v>44146</v>
      </c>
      <c r="AH795" s="108">
        <f>(AD795-AF795)/(D795*$K$1*2)%</f>
        <v>0</v>
      </c>
      <c r="AI795" s="108">
        <f>(AE795+AF795)/(D795*$K$1*2)%</f>
        <v>0</v>
      </c>
    </row>
    <row r="796" spans="1:35" ht="15.75" hidden="1" customHeight="1">
      <c r="A796" s="107" t="s">
        <v>1039</v>
      </c>
      <c r="B796" s="226">
        <v>44116</v>
      </c>
      <c r="C796" s="237">
        <v>11071</v>
      </c>
      <c r="D796" s="107">
        <f>COUNTA(G796:Z796)*0.5</f>
        <v>5</v>
      </c>
      <c r="F796" s="107" t="s">
        <v>263</v>
      </c>
      <c r="G796" s="178">
        <v>44117</v>
      </c>
      <c r="H796" s="178">
        <v>44117</v>
      </c>
      <c r="I796" s="178">
        <v>44120</v>
      </c>
      <c r="J796" s="178">
        <v>44123</v>
      </c>
      <c r="K796" s="178">
        <v>44125</v>
      </c>
      <c r="L796" s="178">
        <v>44127</v>
      </c>
      <c r="M796" s="178">
        <v>44127</v>
      </c>
      <c r="N796" s="178">
        <v>44130</v>
      </c>
      <c r="O796" s="178">
        <v>44132</v>
      </c>
      <c r="P796" s="178">
        <v>44134</v>
      </c>
      <c r="AA796" s="166">
        <v>44146</v>
      </c>
      <c r="AH796" s="108">
        <f>(AD796-AF796)/(D796*$K$1*2)%</f>
        <v>0</v>
      </c>
      <c r="AI796" s="108">
        <f>(AE796+AF796)/(D796*$K$1*2)%</f>
        <v>0</v>
      </c>
    </row>
    <row r="797" spans="1:35" ht="15.75" hidden="1" customHeight="1">
      <c r="A797" s="107" t="s">
        <v>1040</v>
      </c>
      <c r="B797" s="226">
        <v>44116</v>
      </c>
      <c r="C797" s="237">
        <v>11071</v>
      </c>
      <c r="D797" s="107">
        <f>COUNTA(G797:Z797)*0.5</f>
        <v>4.5</v>
      </c>
      <c r="F797" s="107" t="s">
        <v>323</v>
      </c>
      <c r="G797" s="178">
        <v>44117</v>
      </c>
      <c r="H797" s="178">
        <v>44117</v>
      </c>
      <c r="I797" s="178">
        <v>44120</v>
      </c>
      <c r="J797" s="178">
        <v>44123</v>
      </c>
      <c r="K797" s="178">
        <v>44125</v>
      </c>
      <c r="L797" s="178">
        <v>44127</v>
      </c>
      <c r="M797" s="178">
        <v>44127</v>
      </c>
      <c r="N797" s="178">
        <v>44130</v>
      </c>
      <c r="O797" s="178">
        <v>44132</v>
      </c>
    </row>
    <row r="798" spans="1:35" ht="15.75" hidden="1" customHeight="1">
      <c r="A798" s="107" t="s">
        <v>1041</v>
      </c>
      <c r="B798" s="226">
        <v>44116</v>
      </c>
      <c r="C798" s="237">
        <v>11071</v>
      </c>
      <c r="D798" s="107">
        <f>COUNTA(G798:Z798)*0.5</f>
        <v>4.5</v>
      </c>
      <c r="F798" s="107" t="s">
        <v>323</v>
      </c>
      <c r="G798" s="178">
        <v>44117</v>
      </c>
      <c r="H798" s="178">
        <v>44117</v>
      </c>
      <c r="I798" s="178">
        <v>44120</v>
      </c>
      <c r="J798" s="178">
        <v>44123</v>
      </c>
      <c r="K798" s="178">
        <v>44125</v>
      </c>
      <c r="L798" s="178">
        <v>44127</v>
      </c>
      <c r="M798" s="178">
        <v>44127</v>
      </c>
      <c r="N798" s="178">
        <v>44130</v>
      </c>
      <c r="O798" s="178">
        <v>44132</v>
      </c>
    </row>
    <row r="799" spans="1:35" ht="15.75" hidden="1" customHeight="1">
      <c r="A799" s="107" t="s">
        <v>1042</v>
      </c>
      <c r="B799" s="226">
        <v>44116</v>
      </c>
      <c r="C799" s="237">
        <v>11071</v>
      </c>
      <c r="D799" s="107">
        <f>COUNTA(G799:Z799)*0.5</f>
        <v>4.5</v>
      </c>
      <c r="F799" s="107" t="s">
        <v>323</v>
      </c>
      <c r="G799" s="178">
        <v>44117</v>
      </c>
      <c r="H799" s="178">
        <v>44117</v>
      </c>
      <c r="I799" s="178">
        <v>44120</v>
      </c>
      <c r="J799" s="178">
        <v>44123</v>
      </c>
      <c r="K799" s="178">
        <v>44125</v>
      </c>
      <c r="L799" s="178">
        <v>44127</v>
      </c>
      <c r="M799" s="178">
        <v>44127</v>
      </c>
      <c r="N799" s="178">
        <v>44130</v>
      </c>
      <c r="O799" s="178">
        <v>44132</v>
      </c>
      <c r="AA799" s="166">
        <v>44137</v>
      </c>
    </row>
    <row r="800" spans="1:35" ht="15.75" hidden="1" customHeight="1">
      <c r="A800" s="107" t="s">
        <v>1043</v>
      </c>
      <c r="B800" s="226">
        <v>44116</v>
      </c>
      <c r="C800" s="237">
        <v>11390</v>
      </c>
      <c r="D800" s="107">
        <f>COUNTA(G800:Z800)*0.5</f>
        <v>5.5</v>
      </c>
      <c r="F800" s="107" t="s">
        <v>323</v>
      </c>
      <c r="G800" s="178">
        <v>44117</v>
      </c>
      <c r="H800" s="178">
        <v>44117</v>
      </c>
      <c r="I800" s="178">
        <v>44120</v>
      </c>
      <c r="J800" s="178">
        <v>44123</v>
      </c>
      <c r="K800" s="178">
        <v>44125</v>
      </c>
      <c r="L800" s="178">
        <v>44127</v>
      </c>
      <c r="M800" s="178">
        <v>44127</v>
      </c>
      <c r="N800" s="178">
        <v>44130</v>
      </c>
      <c r="O800" s="178">
        <v>44132</v>
      </c>
      <c r="P800" s="178">
        <v>44134</v>
      </c>
      <c r="Q800" s="178">
        <v>44137</v>
      </c>
      <c r="AA800" s="166">
        <v>44146</v>
      </c>
    </row>
    <row r="801" spans="1:35" ht="15.75" hidden="1" customHeight="1">
      <c r="A801" s="107" t="s">
        <v>1044</v>
      </c>
      <c r="B801" s="226">
        <v>44116</v>
      </c>
      <c r="C801" s="237">
        <v>11390</v>
      </c>
      <c r="D801" s="107">
        <f>COUNTA(G801:Z801)*0.5</f>
        <v>5</v>
      </c>
      <c r="F801" s="107" t="s">
        <v>323</v>
      </c>
      <c r="G801" s="178">
        <v>44117</v>
      </c>
      <c r="H801" s="178">
        <v>44117</v>
      </c>
      <c r="I801" s="178">
        <v>44120</v>
      </c>
      <c r="J801" s="178">
        <v>44123</v>
      </c>
      <c r="K801" s="178">
        <v>44125</v>
      </c>
      <c r="L801" s="178">
        <v>44127</v>
      </c>
      <c r="M801" s="178">
        <v>44127</v>
      </c>
      <c r="N801" s="178">
        <v>44130</v>
      </c>
      <c r="O801" s="178">
        <v>44132</v>
      </c>
      <c r="P801" s="178">
        <v>44134</v>
      </c>
      <c r="AA801" s="166">
        <v>44146</v>
      </c>
    </row>
    <row r="802" spans="1:35" ht="15.75" hidden="1" customHeight="1">
      <c r="A802" s="107" t="s">
        <v>1045</v>
      </c>
      <c r="B802" s="226">
        <v>44116</v>
      </c>
      <c r="C802" s="237">
        <v>11390</v>
      </c>
      <c r="D802" s="107">
        <f>COUNTA(G802:Z802)*0.5</f>
        <v>6</v>
      </c>
      <c r="F802" s="107" t="s">
        <v>323</v>
      </c>
      <c r="G802" s="178">
        <v>44117</v>
      </c>
      <c r="H802" s="178">
        <v>44117</v>
      </c>
      <c r="I802" s="178">
        <v>44120</v>
      </c>
      <c r="J802" s="178">
        <v>44123</v>
      </c>
      <c r="K802" s="178">
        <v>44125</v>
      </c>
      <c r="L802" s="178">
        <v>44127</v>
      </c>
      <c r="M802" s="178">
        <v>44127</v>
      </c>
      <c r="N802" s="178">
        <v>44130</v>
      </c>
      <c r="O802" s="178">
        <v>44132</v>
      </c>
      <c r="P802" s="178">
        <v>44134</v>
      </c>
      <c r="Q802" s="178">
        <v>44137</v>
      </c>
      <c r="R802" s="178">
        <v>44144</v>
      </c>
    </row>
    <row r="803" spans="1:35" ht="15.75" hidden="1" customHeight="1">
      <c r="A803" s="110" t="s">
        <v>1046</v>
      </c>
      <c r="B803" s="229">
        <v>44039</v>
      </c>
      <c r="C803" s="110">
        <v>10000</v>
      </c>
      <c r="D803" s="110">
        <v>8</v>
      </c>
      <c r="E803" s="110"/>
      <c r="F803" s="107" t="s">
        <v>323</v>
      </c>
      <c r="G803" s="107"/>
      <c r="H803" s="107"/>
      <c r="I803" s="178">
        <v>44110</v>
      </c>
      <c r="J803" s="178">
        <v>44123</v>
      </c>
      <c r="K803" s="107"/>
      <c r="L803" s="107"/>
      <c r="M803" s="107"/>
      <c r="N803" s="107"/>
      <c r="O803" s="107"/>
      <c r="P803" s="107"/>
      <c r="Q803" s="107"/>
      <c r="R803" s="107"/>
      <c r="S803" s="107"/>
      <c r="T803" s="107"/>
      <c r="U803" s="107"/>
      <c r="V803" s="107"/>
      <c r="W803" s="107"/>
      <c r="X803" s="107"/>
      <c r="Y803" s="107"/>
      <c r="Z803" s="107"/>
      <c r="AA803" s="167"/>
      <c r="AB803" s="109">
        <f>_xlfn.DAYS(AA803,B803)</f>
        <v>-44039</v>
      </c>
      <c r="AC803" s="110"/>
      <c r="AD803" s="110"/>
      <c r="AE803" s="110"/>
      <c r="AF803" s="110"/>
      <c r="AG803" s="107">
        <f>COUNTIFS(F:F,"Culled",A:A,LEFT(A803,LEN(A803)-3)&amp;"*")/COUNTIF(A:A,LEFT(A803,LEN(A803)-3)&amp;"*")*100</f>
        <v>87.5</v>
      </c>
      <c r="AH803" s="107"/>
    </row>
    <row r="804" spans="1:35" ht="15.75" hidden="1" customHeight="1">
      <c r="A804" s="110" t="s">
        <v>1047</v>
      </c>
      <c r="B804" s="229">
        <v>44039</v>
      </c>
      <c r="C804" s="110">
        <v>10000</v>
      </c>
      <c r="D804" s="110">
        <v>8</v>
      </c>
      <c r="E804" s="110"/>
      <c r="F804" s="107" t="s">
        <v>323</v>
      </c>
      <c r="G804" s="107"/>
      <c r="H804" s="107"/>
      <c r="I804" s="178">
        <v>44110</v>
      </c>
      <c r="J804" s="178">
        <v>44123</v>
      </c>
      <c r="K804" s="107"/>
      <c r="L804" s="107"/>
      <c r="M804" s="107"/>
      <c r="N804" s="107"/>
      <c r="O804" s="107"/>
      <c r="P804" s="107"/>
      <c r="Q804" s="107"/>
      <c r="R804" s="107"/>
      <c r="S804" s="107"/>
      <c r="T804" s="107"/>
      <c r="U804" s="107"/>
      <c r="V804" s="107"/>
      <c r="W804" s="107"/>
      <c r="X804" s="107"/>
      <c r="Y804" s="107"/>
      <c r="Z804" s="107"/>
      <c r="AA804" s="167"/>
      <c r="AB804" s="109">
        <f>_xlfn.DAYS(AA804,B804)</f>
        <v>-44039</v>
      </c>
      <c r="AC804" s="110"/>
      <c r="AD804" s="110"/>
      <c r="AE804" s="110"/>
      <c r="AF804" s="110"/>
      <c r="AG804" s="107">
        <f>COUNTIFS(F:F,"Culled",A:A,LEFT(A804,LEN(A804)-3)&amp;"*")/COUNTIF(A:A,LEFT(A804,LEN(A804)-3)&amp;"*")*100</f>
        <v>87.5</v>
      </c>
      <c r="AH804" s="107"/>
    </row>
    <row r="805" spans="1:35" ht="15.75" hidden="1" customHeight="1">
      <c r="A805" s="110" t="s">
        <v>1048</v>
      </c>
      <c r="B805" s="223">
        <v>44039</v>
      </c>
      <c r="C805" s="224">
        <v>10000</v>
      </c>
      <c r="D805" s="110">
        <v>8.5</v>
      </c>
      <c r="E805" s="110"/>
      <c r="F805" s="107" t="s">
        <v>323</v>
      </c>
      <c r="G805" s="226"/>
      <c r="H805" s="226"/>
      <c r="I805" s="178">
        <v>44110</v>
      </c>
      <c r="J805" s="178">
        <v>44123</v>
      </c>
      <c r="K805" s="226"/>
      <c r="L805" s="226"/>
      <c r="M805" s="226"/>
      <c r="N805" s="226"/>
      <c r="O805" s="226"/>
      <c r="P805" s="226"/>
      <c r="Q805" s="226"/>
      <c r="R805" s="226"/>
      <c r="S805" s="226"/>
      <c r="T805" s="226"/>
      <c r="U805" s="226"/>
      <c r="V805" s="226"/>
      <c r="W805" s="226"/>
      <c r="X805" s="226"/>
      <c r="Y805" s="226"/>
      <c r="Z805" s="107"/>
      <c r="AA805" s="167"/>
      <c r="AB805" s="109">
        <f>_xlfn.DAYS(AA805,B805)</f>
        <v>-44039</v>
      </c>
      <c r="AC805" s="110"/>
      <c r="AD805" s="110"/>
      <c r="AE805" s="110"/>
      <c r="AF805" s="110"/>
      <c r="AG805" s="107">
        <f>COUNTIFS(F:F,"Culled",A:A,LEFT(A805,LEN(A805)-3)&amp;"*")/COUNTIF(A:A,LEFT(A805,LEN(A805)-3)&amp;"*")*100</f>
        <v>87.5</v>
      </c>
      <c r="AH805" s="107"/>
    </row>
    <row r="806" spans="1:35" ht="15.75" hidden="1" customHeight="1">
      <c r="A806" s="107" t="s">
        <v>1049</v>
      </c>
      <c r="B806" s="226">
        <v>44116</v>
      </c>
      <c r="C806" s="237">
        <v>12683</v>
      </c>
      <c r="D806" s="107">
        <f>COUNTA(G806:Z806)*0.5</f>
        <v>5.5</v>
      </c>
      <c r="F806" s="107" t="s">
        <v>263</v>
      </c>
      <c r="G806" s="178">
        <v>44117</v>
      </c>
      <c r="H806" s="178">
        <v>44117</v>
      </c>
      <c r="I806" s="178">
        <v>44120</v>
      </c>
      <c r="J806" s="178">
        <v>44123</v>
      </c>
      <c r="K806" s="178">
        <v>44125</v>
      </c>
      <c r="L806" s="178">
        <v>44127</v>
      </c>
      <c r="M806" s="178">
        <v>44127</v>
      </c>
      <c r="N806" s="178">
        <v>44130</v>
      </c>
      <c r="O806" s="178">
        <v>44132</v>
      </c>
      <c r="P806" s="178">
        <v>44134</v>
      </c>
      <c r="Q806" s="178">
        <v>44137</v>
      </c>
      <c r="AA806" s="166">
        <v>44146</v>
      </c>
      <c r="AH806" s="108">
        <f>(AD806-AF806)/(D806*$K$1*2)%</f>
        <v>0</v>
      </c>
      <c r="AI806" s="108">
        <f>(AE806+AF806)/(D806*$K$1*2)%</f>
        <v>0</v>
      </c>
    </row>
    <row r="807" spans="1:35" ht="15.75" hidden="1" customHeight="1">
      <c r="A807" s="107" t="s">
        <v>1050</v>
      </c>
      <c r="B807" s="226">
        <v>44116</v>
      </c>
      <c r="C807" s="237">
        <v>12683</v>
      </c>
      <c r="D807" s="107">
        <f>COUNTA(G807:Z807)*0.5</f>
        <v>6.5</v>
      </c>
      <c r="F807" s="107" t="s">
        <v>263</v>
      </c>
      <c r="G807" s="178">
        <v>44117</v>
      </c>
      <c r="H807" s="178">
        <v>44117</v>
      </c>
      <c r="I807" s="178">
        <v>44120</v>
      </c>
      <c r="J807" s="178">
        <v>44123</v>
      </c>
      <c r="K807" s="178">
        <v>44125</v>
      </c>
      <c r="L807" s="178">
        <v>44127</v>
      </c>
      <c r="M807" s="178">
        <v>44127</v>
      </c>
      <c r="N807" s="178">
        <v>44130</v>
      </c>
      <c r="O807" s="178">
        <v>44132</v>
      </c>
      <c r="P807" s="178">
        <v>44134</v>
      </c>
      <c r="Q807" s="178">
        <v>44137</v>
      </c>
      <c r="R807" s="178">
        <v>44144</v>
      </c>
      <c r="S807" s="178">
        <v>44146</v>
      </c>
      <c r="AA807" s="166">
        <v>44151</v>
      </c>
      <c r="AH807" s="108">
        <f>(AD807-AF807)/(D807*$K$1*2)%</f>
        <v>0</v>
      </c>
      <c r="AI807" s="108">
        <f>(AE807+AF807)/(D807*$K$1*2)%</f>
        <v>0</v>
      </c>
    </row>
    <row r="808" spans="1:35" ht="15.75" hidden="1" customHeight="1">
      <c r="A808" s="107" t="s">
        <v>1051</v>
      </c>
      <c r="B808" s="226" t="s">
        <v>713</v>
      </c>
      <c r="C808" s="230">
        <v>11327</v>
      </c>
      <c r="D808" s="107">
        <f>COUNTA(G808:Z808)*0.5</f>
        <v>4.5</v>
      </c>
      <c r="F808" s="107" t="s">
        <v>263</v>
      </c>
      <c r="G808" s="178" t="s">
        <v>714</v>
      </c>
      <c r="H808" s="178" t="s">
        <v>714</v>
      </c>
      <c r="I808" s="178">
        <v>44099</v>
      </c>
      <c r="J808" s="178">
        <v>44102</v>
      </c>
      <c r="K808" s="178">
        <v>44104</v>
      </c>
      <c r="L808" s="178">
        <v>44106</v>
      </c>
      <c r="M808" s="178">
        <v>44110</v>
      </c>
      <c r="N808" s="178">
        <v>44113</v>
      </c>
      <c r="O808" s="178">
        <v>44118</v>
      </c>
      <c r="AA808" s="166">
        <v>44131</v>
      </c>
      <c r="AC808" s="107">
        <f>11/22*100</f>
        <v>50</v>
      </c>
      <c r="AD808" s="107">
        <v>573.5</v>
      </c>
      <c r="AE808" s="107">
        <v>200.5</v>
      </c>
      <c r="AG808" s="107">
        <f>COUNTIFS(F:F,"Culled",A:A,LEFT(A808,LEN(A808)-3)&amp;"*")/COUNTIF(A:A,LEFT(A808,LEN(A808)-3)&amp;"*")*100</f>
        <v>25</v>
      </c>
      <c r="AH808" s="108">
        <f>(AD808-AF808)/(D808*$K$1*2)%</f>
        <v>11.585858585858587</v>
      </c>
      <c r="AI808" s="108">
        <f>(AE808+AF808)/(D808*$K$1*2)%</f>
        <v>4.0505050505050502</v>
      </c>
    </row>
    <row r="809" spans="1:35" ht="15.75" hidden="1" customHeight="1">
      <c r="A809" s="107" t="s">
        <v>1052</v>
      </c>
      <c r="B809" s="226" t="s">
        <v>713</v>
      </c>
      <c r="C809" s="230">
        <v>11327</v>
      </c>
      <c r="D809" s="107">
        <f>COUNTA(G809:Z809)*0.5</f>
        <v>4.5</v>
      </c>
      <c r="F809" s="107" t="s">
        <v>323</v>
      </c>
      <c r="G809" s="178" t="s">
        <v>714</v>
      </c>
      <c r="H809" s="178" t="s">
        <v>714</v>
      </c>
      <c r="I809" s="178">
        <v>44099</v>
      </c>
      <c r="J809" s="178">
        <v>44102</v>
      </c>
      <c r="K809" s="178">
        <v>44104</v>
      </c>
      <c r="L809" s="178">
        <v>44106</v>
      </c>
      <c r="M809" s="178">
        <v>44110</v>
      </c>
      <c r="N809" s="178">
        <v>44113</v>
      </c>
      <c r="O809" s="178">
        <v>44118</v>
      </c>
      <c r="AG809" s="107">
        <f>COUNTIFS(F:F,"Culled",A:A,LEFT(A809,LEN(A809)-3)&amp;"*")/COUNTIF(A:A,LEFT(A809,LEN(A809)-3)&amp;"*")*100</f>
        <v>25</v>
      </c>
      <c r="AH809" s="107"/>
    </row>
    <row r="810" spans="1:35" ht="15.75" hidden="1" customHeight="1">
      <c r="A810" s="107" t="s">
        <v>1053</v>
      </c>
      <c r="B810" s="226" t="s">
        <v>713</v>
      </c>
      <c r="C810" s="230">
        <v>11327</v>
      </c>
      <c r="D810" s="107">
        <f>COUNTA(G810:Z810)*0.5</f>
        <v>5</v>
      </c>
      <c r="F810" s="107" t="s">
        <v>263</v>
      </c>
      <c r="G810" s="178" t="s">
        <v>714</v>
      </c>
      <c r="H810" s="178" t="s">
        <v>714</v>
      </c>
      <c r="I810" s="178">
        <v>44099</v>
      </c>
      <c r="J810" s="178">
        <v>44102</v>
      </c>
      <c r="K810" s="178">
        <v>44104</v>
      </c>
      <c r="L810" s="178">
        <v>44106</v>
      </c>
      <c r="M810" s="178">
        <v>44110</v>
      </c>
      <c r="N810" s="178">
        <v>44113</v>
      </c>
      <c r="O810" s="178">
        <v>44118</v>
      </c>
      <c r="P810" s="178">
        <v>44120</v>
      </c>
      <c r="AA810" s="166">
        <v>44131</v>
      </c>
      <c r="AC810" s="107">
        <f>20/32*100</f>
        <v>62.5</v>
      </c>
      <c r="AD810" s="107">
        <v>643.5</v>
      </c>
      <c r="AE810" s="107">
        <v>246.5</v>
      </c>
      <c r="AG810" s="107">
        <f>COUNTIFS(F:F,"Culled",A:A,LEFT(A810,LEN(A810)-3)&amp;"*")/COUNTIF(A:A,LEFT(A810,LEN(A810)-3)&amp;"*")*100</f>
        <v>25</v>
      </c>
      <c r="AH810" s="108">
        <f>(AD810-AF810)/(D810*$K$1*2)%</f>
        <v>11.7</v>
      </c>
      <c r="AI810" s="108">
        <f>(AE810+AF810)/(D810*$K$1*2)%</f>
        <v>4.4818181818181815</v>
      </c>
    </row>
    <row r="811" spans="1:35" ht="15.75" hidden="1" customHeight="1">
      <c r="A811" s="107" t="s">
        <v>1054</v>
      </c>
      <c r="B811" s="226">
        <v>44085</v>
      </c>
      <c r="C811" s="231">
        <v>10550.360403930443</v>
      </c>
      <c r="D811" s="107">
        <f>COUNTA(G811:Z811)*0.5</f>
        <v>4.5</v>
      </c>
      <c r="F811" s="107" t="s">
        <v>263</v>
      </c>
      <c r="G811" s="178">
        <v>44085</v>
      </c>
      <c r="H811" s="178">
        <v>44085</v>
      </c>
      <c r="I811" s="178">
        <v>44088</v>
      </c>
      <c r="J811" s="178">
        <v>44090</v>
      </c>
      <c r="K811" s="178" t="s">
        <v>375</v>
      </c>
      <c r="L811" s="178" t="s">
        <v>376</v>
      </c>
      <c r="M811" s="178">
        <v>44099</v>
      </c>
      <c r="N811" s="178">
        <v>44102</v>
      </c>
      <c r="O811" s="178">
        <v>44104</v>
      </c>
      <c r="AA811" s="178">
        <v>44113</v>
      </c>
      <c r="AG811" s="107">
        <f>COUNTIFS(F:F,"Culled",A:A,LEFT(A811,LEN(A811)-3)&amp;"*")/COUNTIF(A:A,LEFT(A811,LEN(A811)-3)&amp;"*")*100</f>
        <v>11.111111111111111</v>
      </c>
      <c r="AH811" s="108">
        <f>(AD811-AF811)/(D811*$K$1*2)%</f>
        <v>0</v>
      </c>
      <c r="AI811" s="108">
        <f>(AE811+AF811)/(D811*$K$1*2)%</f>
        <v>0</v>
      </c>
    </row>
    <row r="812" spans="1:35" ht="15.75" hidden="1" customHeight="1">
      <c r="A812" s="107" t="s">
        <v>1055</v>
      </c>
      <c r="B812" s="226">
        <v>44085</v>
      </c>
      <c r="C812" s="231">
        <v>10550.360403930443</v>
      </c>
      <c r="D812" s="107">
        <f>COUNTA(G812:Z812)*0.5</f>
        <v>4.5</v>
      </c>
      <c r="F812" s="107" t="s">
        <v>263</v>
      </c>
      <c r="G812" s="178">
        <v>44085</v>
      </c>
      <c r="H812" s="178">
        <v>44085</v>
      </c>
      <c r="I812" s="178">
        <v>44088</v>
      </c>
      <c r="J812" s="178">
        <v>44090</v>
      </c>
      <c r="K812" s="178" t="s">
        <v>375</v>
      </c>
      <c r="L812" s="178" t="s">
        <v>376</v>
      </c>
      <c r="M812" s="178">
        <v>44099</v>
      </c>
      <c r="N812" s="178">
        <v>44102</v>
      </c>
      <c r="O812" s="178">
        <v>44104</v>
      </c>
      <c r="AA812" s="178">
        <v>44113</v>
      </c>
      <c r="AG812" s="107">
        <f>COUNTIFS(F:F,"Culled",A:A,LEFT(A812,LEN(A812)-3)&amp;"*")/COUNTIF(A:A,LEFT(A812,LEN(A812)-3)&amp;"*")*100</f>
        <v>11.111111111111111</v>
      </c>
      <c r="AH812" s="108">
        <f>(AD812-AF812)/(D812*$K$1*2)%</f>
        <v>0</v>
      </c>
      <c r="AI812" s="108">
        <f>(AE812+AF812)/(D812*$K$1*2)%</f>
        <v>0</v>
      </c>
    </row>
    <row r="813" spans="1:35" ht="15.75" hidden="1" customHeight="1">
      <c r="A813" s="110" t="s">
        <v>1056</v>
      </c>
      <c r="B813" s="223">
        <v>44039</v>
      </c>
      <c r="C813" s="224">
        <v>10000</v>
      </c>
      <c r="D813" s="110">
        <v>8.5</v>
      </c>
      <c r="E813" s="110"/>
      <c r="F813" s="107" t="s">
        <v>323</v>
      </c>
      <c r="G813" s="226"/>
      <c r="H813" s="226"/>
      <c r="I813" s="178">
        <v>44110</v>
      </c>
      <c r="J813" s="178">
        <v>44113</v>
      </c>
      <c r="K813" s="226"/>
      <c r="L813" s="226"/>
      <c r="M813" s="226"/>
      <c r="N813" s="226"/>
      <c r="O813" s="226"/>
      <c r="P813" s="226"/>
      <c r="Q813" s="226"/>
      <c r="R813" s="226"/>
      <c r="S813" s="226"/>
      <c r="T813" s="226"/>
      <c r="U813" s="226"/>
      <c r="V813" s="226"/>
      <c r="W813" s="226"/>
      <c r="X813" s="226"/>
      <c r="Y813" s="226"/>
      <c r="Z813" s="107"/>
      <c r="AA813" s="167"/>
      <c r="AB813" s="109">
        <f>_xlfn.DAYS(AA813,B813)</f>
        <v>-44039</v>
      </c>
      <c r="AC813" s="110"/>
      <c r="AD813" s="110"/>
      <c r="AE813" s="110"/>
      <c r="AF813" s="110"/>
      <c r="AG813" s="107">
        <f>COUNTIFS(F:F,"Culled",A:A,LEFT(A813,LEN(A813)-3)&amp;"*")/COUNTIF(A:A,LEFT(A813,LEN(A813)-3)&amp;"*")*100</f>
        <v>87.5</v>
      </c>
      <c r="AH813" s="107"/>
    </row>
    <row r="814" spans="1:35" ht="15.75" hidden="1" customHeight="1">
      <c r="A814" s="107" t="s">
        <v>1057</v>
      </c>
      <c r="B814" s="226">
        <v>44085</v>
      </c>
      <c r="C814" s="231">
        <v>10550.360403930443</v>
      </c>
      <c r="D814" s="107">
        <f>COUNTA(G814:Z814)*0.5</f>
        <v>4.5</v>
      </c>
      <c r="F814" s="107" t="s">
        <v>263</v>
      </c>
      <c r="G814" s="178">
        <v>44085</v>
      </c>
      <c r="H814" s="178">
        <v>44085</v>
      </c>
      <c r="I814" s="178">
        <v>44088</v>
      </c>
      <c r="J814" s="178">
        <v>44090</v>
      </c>
      <c r="K814" s="178" t="s">
        <v>375</v>
      </c>
      <c r="L814" s="178" t="s">
        <v>376</v>
      </c>
      <c r="M814" s="178">
        <v>44099</v>
      </c>
      <c r="N814" s="178">
        <v>44102</v>
      </c>
      <c r="O814" s="178">
        <v>44104</v>
      </c>
      <c r="AA814" s="178">
        <v>44113</v>
      </c>
      <c r="AG814" s="107">
        <f>COUNTIFS(F:F,"Culled",A:A,LEFT(A814,LEN(A814)-3)&amp;"*")/COUNTIF(A:A,LEFT(A814,LEN(A814)-3)&amp;"*")*100</f>
        <v>11.111111111111111</v>
      </c>
      <c r="AH814" s="108">
        <f>(AD814-AF814)/(D814*$K$1*2)%</f>
        <v>0</v>
      </c>
      <c r="AI814" s="108">
        <f>(AE814+AF814)/(D814*$K$1*2)%</f>
        <v>0</v>
      </c>
    </row>
    <row r="815" spans="1:35" ht="15.75" hidden="1" customHeight="1">
      <c r="A815" s="107" t="s">
        <v>1058</v>
      </c>
      <c r="B815" s="226">
        <v>44085</v>
      </c>
      <c r="C815" s="231">
        <v>10550.360403930443</v>
      </c>
      <c r="D815" s="107">
        <f>COUNTA(G815:Z815)*0.5</f>
        <v>4.5</v>
      </c>
      <c r="F815" s="107" t="s">
        <v>263</v>
      </c>
      <c r="G815" s="178">
        <v>44085</v>
      </c>
      <c r="H815" s="178">
        <v>44085</v>
      </c>
      <c r="I815" s="178">
        <v>44088</v>
      </c>
      <c r="J815" s="178">
        <v>44090</v>
      </c>
      <c r="K815" s="178" t="s">
        <v>375</v>
      </c>
      <c r="L815" s="178" t="s">
        <v>376</v>
      </c>
      <c r="M815" s="178">
        <v>44099</v>
      </c>
      <c r="N815" s="178">
        <v>44102</v>
      </c>
      <c r="O815" s="178">
        <v>44104</v>
      </c>
      <c r="AA815" s="178">
        <v>44113</v>
      </c>
      <c r="AG815" s="107">
        <f>COUNTIFS(F:F,"Culled",A:A,LEFT(A815,LEN(A815)-3)&amp;"*")/COUNTIF(A:A,LEFT(A815,LEN(A815)-3)&amp;"*")*100</f>
        <v>11.111111111111111</v>
      </c>
      <c r="AH815" s="108">
        <f>(AD815-AF815)/(D815*$K$1*2)%</f>
        <v>0</v>
      </c>
      <c r="AI815" s="108">
        <f>(AE815+AF815)/(D815*$K$1*2)%</f>
        <v>0</v>
      </c>
    </row>
    <row r="816" spans="1:35" ht="15.75" hidden="1" customHeight="1">
      <c r="A816" s="107" t="s">
        <v>1059</v>
      </c>
      <c r="B816" s="226">
        <v>44085</v>
      </c>
      <c r="C816" s="231">
        <v>10593.602591896382</v>
      </c>
      <c r="D816" s="107">
        <f>COUNTA(G816:Z816)*0.5</f>
        <v>4</v>
      </c>
      <c r="F816" s="107" t="s">
        <v>263</v>
      </c>
      <c r="G816" s="178">
        <v>44085</v>
      </c>
      <c r="H816" s="178">
        <v>44085</v>
      </c>
      <c r="I816" s="178">
        <v>44088</v>
      </c>
      <c r="J816" s="178">
        <v>44090</v>
      </c>
      <c r="K816" s="178" t="s">
        <v>375</v>
      </c>
      <c r="L816" s="178" t="s">
        <v>376</v>
      </c>
      <c r="M816" s="178">
        <v>44099</v>
      </c>
      <c r="N816" s="178">
        <v>44102</v>
      </c>
      <c r="AA816" s="178">
        <v>44113</v>
      </c>
      <c r="AG816" s="107">
        <f>COUNTIFS(F:F,"Culled",A:A,LEFT(A816,LEN(A816)-3)&amp;"*")/COUNTIF(A:A,LEFT(A816,LEN(A816)-3)&amp;"*")*100</f>
        <v>11.111111111111111</v>
      </c>
      <c r="AH816" s="108">
        <f>(AD816-AF816)/(D816*$K$1*2)%</f>
        <v>0</v>
      </c>
      <c r="AI816" s="108">
        <f>(AE816+AF816)/(D816*$K$1*2)%</f>
        <v>0</v>
      </c>
    </row>
    <row r="817" spans="1:35" ht="15.75" hidden="1" customHeight="1">
      <c r="A817" s="107" t="s">
        <v>1060</v>
      </c>
      <c r="B817" s="226">
        <v>44085</v>
      </c>
      <c r="C817" s="231">
        <v>10593.602591896382</v>
      </c>
      <c r="D817" s="107">
        <f>COUNTA(G817:Z817)*0.5</f>
        <v>4.5</v>
      </c>
      <c r="F817" s="107" t="s">
        <v>263</v>
      </c>
      <c r="G817" s="178">
        <v>44085</v>
      </c>
      <c r="H817" s="178">
        <v>44085</v>
      </c>
      <c r="I817" s="178">
        <v>44088</v>
      </c>
      <c r="J817" s="178">
        <v>44090</v>
      </c>
      <c r="K817" s="178" t="s">
        <v>375</v>
      </c>
      <c r="L817" s="178" t="s">
        <v>376</v>
      </c>
      <c r="M817" s="178">
        <v>44099</v>
      </c>
      <c r="N817" s="178">
        <v>44102</v>
      </c>
      <c r="O817" s="178">
        <v>44104</v>
      </c>
      <c r="AA817" s="178">
        <v>44113</v>
      </c>
      <c r="AG817" s="107">
        <f>COUNTIFS(F:F,"Culled",A:A,LEFT(A817,LEN(A817)-3)&amp;"*")/COUNTIF(A:A,LEFT(A817,LEN(A817)-3)&amp;"*")*100</f>
        <v>11.111111111111111</v>
      </c>
      <c r="AH817" s="108">
        <f>(AD817-AF817)/(D817*$K$1*2)%</f>
        <v>0</v>
      </c>
      <c r="AI817" s="108">
        <f>(AE817+AF817)/(D817*$K$1*2)%</f>
        <v>0</v>
      </c>
    </row>
    <row r="818" spans="1:35" ht="15.75" hidden="1" customHeight="1">
      <c r="A818" s="107" t="s">
        <v>1061</v>
      </c>
      <c r="B818" s="226">
        <v>44085</v>
      </c>
      <c r="C818" s="231">
        <v>10593.602591896382</v>
      </c>
      <c r="D818" s="107">
        <f>COUNTA(G818:Z818)*0.5</f>
        <v>4.5</v>
      </c>
      <c r="F818" s="107" t="s">
        <v>263</v>
      </c>
      <c r="G818" s="178">
        <v>44085</v>
      </c>
      <c r="H818" s="178">
        <v>44085</v>
      </c>
      <c r="I818" s="178">
        <v>44088</v>
      </c>
      <c r="J818" s="178">
        <v>44090</v>
      </c>
      <c r="K818" s="178" t="s">
        <v>375</v>
      </c>
      <c r="L818" s="178" t="s">
        <v>376</v>
      </c>
      <c r="M818" s="178">
        <v>44099</v>
      </c>
      <c r="N818" s="178">
        <v>44102</v>
      </c>
      <c r="O818" s="178">
        <v>44104</v>
      </c>
      <c r="AA818" s="178">
        <v>44113</v>
      </c>
      <c r="AG818" s="107">
        <f>COUNTIFS(F:F,"Culled",A:A,LEFT(A818,LEN(A818)-3)&amp;"*")/COUNTIF(A:A,LEFT(A818,LEN(A818)-3)&amp;"*")*100</f>
        <v>11.111111111111111</v>
      </c>
      <c r="AH818" s="108">
        <f>(AD818-AF818)/(D818*$K$1*2)%</f>
        <v>0</v>
      </c>
      <c r="AI818" s="108">
        <f>(AE818+AF818)/(D818*$K$1*2)%</f>
        <v>0</v>
      </c>
    </row>
    <row r="819" spans="1:35" ht="15.75" hidden="1" customHeight="1">
      <c r="A819" s="107" t="s">
        <v>1062</v>
      </c>
      <c r="B819" s="226">
        <v>44085</v>
      </c>
      <c r="C819" s="231">
        <v>10593.602591896382</v>
      </c>
      <c r="D819" s="107">
        <f>COUNTA(G819:Z819)*0.5</f>
        <v>4.5</v>
      </c>
      <c r="F819" s="107" t="s">
        <v>263</v>
      </c>
      <c r="G819" s="178">
        <v>44085</v>
      </c>
      <c r="H819" s="178">
        <v>44085</v>
      </c>
      <c r="I819" s="178">
        <v>44088</v>
      </c>
      <c r="J819" s="178">
        <v>44090</v>
      </c>
      <c r="K819" s="178" t="s">
        <v>375</v>
      </c>
      <c r="L819" s="178" t="s">
        <v>376</v>
      </c>
      <c r="M819" s="178">
        <v>44099</v>
      </c>
      <c r="N819" s="178">
        <v>44102</v>
      </c>
      <c r="O819" s="178">
        <v>44104</v>
      </c>
      <c r="AA819" s="178">
        <v>44113</v>
      </c>
      <c r="AG819" s="107">
        <f>COUNTIFS(F:F,"Culled",A:A,LEFT(A819,LEN(A819)-3)&amp;"*")/COUNTIF(A:A,LEFT(A819,LEN(A819)-3)&amp;"*")*100</f>
        <v>11.111111111111111</v>
      </c>
      <c r="AH819" s="108">
        <f>(AD819-AF819)/(D819*$K$1*2)%</f>
        <v>0</v>
      </c>
      <c r="AI819" s="108">
        <f>(AE819+AF819)/(D819*$K$1*2)%</f>
        <v>0</v>
      </c>
    </row>
    <row r="820" spans="1:35" ht="15.75" hidden="1" customHeight="1">
      <c r="A820" s="107" t="s">
        <v>1063</v>
      </c>
      <c r="B820" s="226" t="s">
        <v>713</v>
      </c>
      <c r="C820" s="230">
        <v>9516</v>
      </c>
      <c r="D820" s="107">
        <f>COUNTA(G820:Z820)*0.5</f>
        <v>5</v>
      </c>
      <c r="F820" s="107" t="s">
        <v>263</v>
      </c>
      <c r="G820" s="178" t="s">
        <v>714</v>
      </c>
      <c r="H820" s="178" t="s">
        <v>714</v>
      </c>
      <c r="I820" s="178" t="s">
        <v>376</v>
      </c>
      <c r="J820" s="178">
        <v>44099</v>
      </c>
      <c r="K820" s="178">
        <v>44102</v>
      </c>
      <c r="L820" s="178">
        <v>44104</v>
      </c>
      <c r="M820" s="178">
        <v>44106</v>
      </c>
      <c r="N820" s="178">
        <v>44110</v>
      </c>
      <c r="O820" s="178">
        <v>44116</v>
      </c>
      <c r="P820" s="178">
        <v>44118</v>
      </c>
      <c r="AA820" s="166">
        <v>44131</v>
      </c>
      <c r="AC820" s="107">
        <f>16/24*100</f>
        <v>66.666666666666657</v>
      </c>
      <c r="AD820" s="107">
        <v>321</v>
      </c>
      <c r="AE820" s="107">
        <v>153.5</v>
      </c>
      <c r="AG820" s="107">
        <f>COUNTIFS(F:F,"Culled",A:A,LEFT(A820,LEN(A820)-3)&amp;"*")/COUNTIF(A:A,LEFT(A820,LEN(A820)-3)&amp;"*")*100</f>
        <v>25</v>
      </c>
      <c r="AH820" s="108">
        <f>(AD820-AF820)/(D820*$K$1*2)%</f>
        <v>5.836363636363636</v>
      </c>
      <c r="AI820" s="108">
        <f>(AE820+AF820)/(D820*$K$1*2)%</f>
        <v>2.790909090909091</v>
      </c>
    </row>
    <row r="821" spans="1:35" ht="15.75" hidden="1" customHeight="1">
      <c r="A821" s="107" t="s">
        <v>1064</v>
      </c>
      <c r="B821" s="226">
        <v>44105</v>
      </c>
      <c r="C821" s="111">
        <v>10802.47</v>
      </c>
      <c r="D821" s="107">
        <f>COUNTA(G821:Z821)*0.5</f>
        <v>2.5</v>
      </c>
      <c r="F821" s="107" t="s">
        <v>323</v>
      </c>
      <c r="G821" s="178">
        <v>44105</v>
      </c>
      <c r="H821" s="178">
        <v>44105</v>
      </c>
      <c r="I821" s="178">
        <v>44110</v>
      </c>
      <c r="J821" s="178">
        <v>44113</v>
      </c>
      <c r="K821" s="178">
        <v>44116</v>
      </c>
      <c r="AA821" s="166">
        <v>44123</v>
      </c>
      <c r="AG821" s="107">
        <f>COUNTIFS(F:F,"Culled",A:A,LEFT(A821,LEN(A821)-3)&amp;"*")/COUNTIF(A:A,LEFT(A821,LEN(A821)-3)&amp;"*")*100</f>
        <v>100</v>
      </c>
      <c r="AH821" s="107"/>
    </row>
    <row r="822" spans="1:35" ht="15.75" hidden="1" customHeight="1">
      <c r="A822" s="107" t="s">
        <v>1065</v>
      </c>
      <c r="B822" s="226">
        <v>44105</v>
      </c>
      <c r="C822" s="111">
        <v>10802.47</v>
      </c>
      <c r="D822" s="107">
        <f>COUNTA(G822:Z822)*0.5</f>
        <v>2.5</v>
      </c>
      <c r="F822" s="107" t="s">
        <v>323</v>
      </c>
      <c r="G822" s="178">
        <v>44105</v>
      </c>
      <c r="H822" s="178">
        <v>44105</v>
      </c>
      <c r="I822" s="178">
        <v>44110</v>
      </c>
      <c r="J822" s="178">
        <v>44113</v>
      </c>
      <c r="K822" s="178">
        <v>44116</v>
      </c>
      <c r="AA822" s="166">
        <v>44123</v>
      </c>
      <c r="AG822" s="107">
        <f>COUNTIFS(F:F,"Culled",A:A,LEFT(A822,LEN(A822)-3)&amp;"*")/COUNTIF(A:A,LEFT(A822,LEN(A822)-3)&amp;"*")*100</f>
        <v>100</v>
      </c>
      <c r="AH822" s="107"/>
    </row>
    <row r="823" spans="1:35" ht="15.75" hidden="1" customHeight="1">
      <c r="A823" s="107" t="s">
        <v>1066</v>
      </c>
      <c r="B823" s="226">
        <v>44105</v>
      </c>
      <c r="C823" s="111">
        <v>10802.47</v>
      </c>
      <c r="D823" s="107">
        <f>COUNTA(G823:Z823)*0.5</f>
        <v>2.5</v>
      </c>
      <c r="F823" s="107" t="s">
        <v>323</v>
      </c>
      <c r="G823" s="178">
        <v>44105</v>
      </c>
      <c r="H823" s="178">
        <v>44105</v>
      </c>
      <c r="I823" s="178">
        <v>44110</v>
      </c>
      <c r="J823" s="178">
        <v>44113</v>
      </c>
      <c r="K823" s="178">
        <v>44116</v>
      </c>
      <c r="AA823" s="166">
        <v>44123</v>
      </c>
      <c r="AG823" s="107">
        <f>COUNTIFS(F:F,"Culled",A:A,LEFT(A823,LEN(A823)-3)&amp;"*")/COUNTIF(A:A,LEFT(A823,LEN(A823)-3)&amp;"*")*100</f>
        <v>100</v>
      </c>
      <c r="AH823" s="107"/>
    </row>
    <row r="824" spans="1:35" ht="15.75" hidden="1" customHeight="1">
      <c r="A824" s="107" t="s">
        <v>1067</v>
      </c>
      <c r="B824" s="226">
        <v>44106</v>
      </c>
      <c r="C824" s="230">
        <v>15000</v>
      </c>
      <c r="D824" s="107">
        <f>COUNTA(G824:Z824)*0.5</f>
        <v>8.5</v>
      </c>
      <c r="F824" s="107" t="s">
        <v>323</v>
      </c>
      <c r="G824" s="178">
        <v>44106</v>
      </c>
      <c r="H824" s="178">
        <v>44106</v>
      </c>
      <c r="I824" s="178">
        <v>44110</v>
      </c>
      <c r="J824" s="178">
        <v>44113</v>
      </c>
      <c r="K824" s="178">
        <v>44116</v>
      </c>
      <c r="L824" s="178">
        <v>44118</v>
      </c>
      <c r="M824" s="178">
        <v>44120</v>
      </c>
      <c r="N824" s="178">
        <v>44123</v>
      </c>
      <c r="O824" s="178">
        <v>44125</v>
      </c>
      <c r="P824" s="178">
        <v>44127</v>
      </c>
      <c r="Q824" s="178">
        <v>44130</v>
      </c>
      <c r="R824" s="178">
        <v>44132</v>
      </c>
      <c r="S824" s="178">
        <v>44134</v>
      </c>
      <c r="T824" s="178">
        <v>44137</v>
      </c>
      <c r="U824" s="178">
        <v>44139</v>
      </c>
      <c r="V824" s="178">
        <v>44141</v>
      </c>
      <c r="W824" s="178">
        <v>44146</v>
      </c>
      <c r="AH824" s="107"/>
    </row>
    <row r="825" spans="1:35" ht="15.75" hidden="1" customHeight="1">
      <c r="A825" s="107" t="s">
        <v>1068</v>
      </c>
      <c r="B825" s="226">
        <v>44083</v>
      </c>
      <c r="C825" s="237">
        <v>10718.653228975038</v>
      </c>
      <c r="D825" s="107">
        <f>COUNTA(G825:Z825)*0.5</f>
        <v>4.5</v>
      </c>
      <c r="F825" s="107" t="s">
        <v>263</v>
      </c>
      <c r="G825" s="178">
        <v>44083</v>
      </c>
      <c r="H825" s="178">
        <v>44083</v>
      </c>
      <c r="I825" s="178">
        <v>44088</v>
      </c>
      <c r="J825" s="178">
        <v>44090</v>
      </c>
      <c r="K825" s="178" t="s">
        <v>375</v>
      </c>
      <c r="L825" s="178" t="s">
        <v>376</v>
      </c>
      <c r="M825" s="178">
        <v>44099</v>
      </c>
      <c r="N825" s="178">
        <v>44102</v>
      </c>
      <c r="O825" s="178">
        <v>44104</v>
      </c>
      <c r="AA825" s="166">
        <v>44131</v>
      </c>
      <c r="AC825" s="107">
        <v>100</v>
      </c>
      <c r="AD825" s="107">
        <v>284</v>
      </c>
      <c r="AE825" s="107">
        <v>174</v>
      </c>
      <c r="AG825" s="107">
        <f>COUNTIFS(F:F,"Culled",A:A,LEFT(A825,LEN(A825)-3)&amp;"*")/COUNTIF(A:A,LEFT(A825,LEN(A825)-3)&amp;"*")*100</f>
        <v>33.333333333333329</v>
      </c>
      <c r="AH825" s="108">
        <f>(AD825-AF825)/(D825*$K$1*2)%</f>
        <v>5.737373737373737</v>
      </c>
      <c r="AI825" s="108">
        <f>(AE825+AF825)/(D825*$K$1*2)%</f>
        <v>3.5151515151515151</v>
      </c>
    </row>
    <row r="826" spans="1:35" ht="15.75" hidden="1" customHeight="1">
      <c r="A826" s="107" t="s">
        <v>1069</v>
      </c>
      <c r="B826" s="226">
        <v>44083</v>
      </c>
      <c r="C826" s="237">
        <v>10718.653228975038</v>
      </c>
      <c r="D826" s="107">
        <f>COUNTA(G826:Z826)*0.5</f>
        <v>4</v>
      </c>
      <c r="F826" s="107" t="s">
        <v>263</v>
      </c>
      <c r="G826" s="178">
        <v>44083</v>
      </c>
      <c r="H826" s="178">
        <v>44083</v>
      </c>
      <c r="I826" s="178">
        <v>44088</v>
      </c>
      <c r="J826" s="178">
        <v>44090</v>
      </c>
      <c r="K826" s="178" t="s">
        <v>375</v>
      </c>
      <c r="L826" s="178" t="s">
        <v>376</v>
      </c>
      <c r="M826" s="178">
        <v>44099</v>
      </c>
      <c r="N826" s="178">
        <v>44102</v>
      </c>
      <c r="AA826" s="166">
        <v>44131</v>
      </c>
      <c r="AC826" s="107">
        <v>100</v>
      </c>
      <c r="AD826" s="107">
        <v>218</v>
      </c>
      <c r="AE826" s="107">
        <v>170.5</v>
      </c>
      <c r="AG826" s="107">
        <f>COUNTIFS(F:F,"Culled",A:A,LEFT(A826,LEN(A826)-3)&amp;"*")/COUNTIF(A:A,LEFT(A826,LEN(A826)-3)&amp;"*")*100</f>
        <v>33.333333333333329</v>
      </c>
      <c r="AH826" s="108">
        <f>(AD826-AF826)/(D826*$K$1*2)%</f>
        <v>4.9545454545454541</v>
      </c>
      <c r="AI826" s="108">
        <f>(AE826+AF826)/(D826*$K$1*2)%</f>
        <v>3.875</v>
      </c>
    </row>
    <row r="827" spans="1:35" ht="15.75" hidden="1" customHeight="1">
      <c r="A827" s="107" t="s">
        <v>1070</v>
      </c>
      <c r="B827" s="226" t="s">
        <v>708</v>
      </c>
      <c r="C827" s="230">
        <f>81772/8</f>
        <v>10221.5</v>
      </c>
      <c r="D827" s="107">
        <f>COUNTA(G827:Z827)*0.5</f>
        <v>3.5</v>
      </c>
      <c r="F827" s="107" t="s">
        <v>323</v>
      </c>
      <c r="G827" s="178">
        <v>44088</v>
      </c>
      <c r="H827" s="178">
        <v>44088</v>
      </c>
      <c r="I827" s="178">
        <v>44110</v>
      </c>
      <c r="J827" s="178">
        <v>44113</v>
      </c>
      <c r="K827" s="178">
        <v>44099</v>
      </c>
      <c r="L827" s="178">
        <v>44102</v>
      </c>
      <c r="O827" s="178">
        <v>44109</v>
      </c>
      <c r="AG827" s="107">
        <f>COUNTIFS(F:F,"Culled",A:A,LEFT(A827,LEN(A827)-3)&amp;"*")/COUNTIF(A:A,LEFT(A827,LEN(A827)-3)&amp;"*")*100</f>
        <v>37.5</v>
      </c>
      <c r="AH827" s="107"/>
    </row>
    <row r="828" spans="1:35" ht="15.75" hidden="1" customHeight="1">
      <c r="A828" s="107" t="s">
        <v>1071</v>
      </c>
      <c r="B828" s="226">
        <v>44113</v>
      </c>
      <c r="C828" s="230">
        <v>10905</v>
      </c>
      <c r="D828" s="107">
        <f>COUNTA(G828:Z828)*0.5</f>
        <v>5</v>
      </c>
      <c r="F828" s="107" t="s">
        <v>323</v>
      </c>
      <c r="G828" s="178">
        <v>44113</v>
      </c>
      <c r="H828" s="178">
        <v>44113</v>
      </c>
      <c r="I828" s="178">
        <v>44116</v>
      </c>
      <c r="J828" s="178">
        <v>44118</v>
      </c>
      <c r="K828" s="178">
        <v>44120</v>
      </c>
      <c r="L828" s="178">
        <v>44123</v>
      </c>
      <c r="M828" s="178">
        <v>44125</v>
      </c>
      <c r="N828" s="178">
        <v>44127</v>
      </c>
      <c r="O828" s="178">
        <v>44127</v>
      </c>
      <c r="P828" s="178">
        <v>44130</v>
      </c>
    </row>
    <row r="829" spans="1:35" ht="15.75" hidden="1" customHeight="1">
      <c r="A829" s="107" t="s">
        <v>1072</v>
      </c>
      <c r="B829" s="226">
        <v>44113</v>
      </c>
      <c r="C829" s="230">
        <v>10905</v>
      </c>
      <c r="D829" s="107">
        <f>COUNTA(G829:Z829)*0.5</f>
        <v>5.5</v>
      </c>
      <c r="F829" s="107" t="s">
        <v>323</v>
      </c>
      <c r="G829" s="178">
        <v>44113</v>
      </c>
      <c r="H829" s="178">
        <v>44113</v>
      </c>
      <c r="I829" s="178">
        <v>44116</v>
      </c>
      <c r="J829" s="178">
        <v>44118</v>
      </c>
      <c r="K829" s="178">
        <v>44120</v>
      </c>
      <c r="L829" s="178">
        <v>44123</v>
      </c>
      <c r="M829" s="178">
        <v>44125</v>
      </c>
      <c r="N829" s="178">
        <v>44127</v>
      </c>
      <c r="O829" s="178">
        <v>44130</v>
      </c>
      <c r="P829" s="178">
        <v>44132</v>
      </c>
      <c r="Q829" s="178">
        <v>44134</v>
      </c>
      <c r="AA829" s="166">
        <v>44153</v>
      </c>
    </row>
    <row r="830" spans="1:35" ht="15.75" hidden="1" customHeight="1">
      <c r="A830" s="107" t="s">
        <v>1073</v>
      </c>
      <c r="B830" s="226">
        <v>44113</v>
      </c>
      <c r="C830" s="230">
        <v>10905</v>
      </c>
      <c r="D830" s="107">
        <f>COUNTA(G830:Z830)*0.5</f>
        <v>5.5</v>
      </c>
      <c r="F830" s="107" t="s">
        <v>323</v>
      </c>
      <c r="G830" s="178">
        <v>44113</v>
      </c>
      <c r="H830" s="178">
        <v>44113</v>
      </c>
      <c r="I830" s="178">
        <v>44116</v>
      </c>
      <c r="J830" s="178">
        <v>44118</v>
      </c>
      <c r="K830" s="178">
        <v>44120</v>
      </c>
      <c r="L830" s="178">
        <v>44123</v>
      </c>
      <c r="M830" s="178">
        <v>44125</v>
      </c>
      <c r="N830" s="178">
        <v>44127</v>
      </c>
      <c r="O830" s="178">
        <v>44127</v>
      </c>
      <c r="P830" s="178">
        <v>44130</v>
      </c>
      <c r="Q830" s="178">
        <v>44132</v>
      </c>
      <c r="AA830" s="166">
        <v>44153</v>
      </c>
    </row>
    <row r="831" spans="1:35" ht="15.75" hidden="1" customHeight="1">
      <c r="A831" s="107" t="s">
        <v>1074</v>
      </c>
      <c r="B831" s="226">
        <v>44113</v>
      </c>
      <c r="C831" s="230">
        <v>10905</v>
      </c>
      <c r="D831" s="107">
        <f>COUNTA(G831:Z831)*0.5</f>
        <v>5</v>
      </c>
      <c r="F831" s="107" t="s">
        <v>323</v>
      </c>
      <c r="G831" s="178">
        <v>44113</v>
      </c>
      <c r="H831" s="178">
        <v>44113</v>
      </c>
      <c r="I831" s="178">
        <v>44116</v>
      </c>
      <c r="J831" s="178">
        <v>44118</v>
      </c>
      <c r="K831" s="178">
        <v>44120</v>
      </c>
      <c r="L831" s="178">
        <v>44123</v>
      </c>
      <c r="M831" s="178">
        <v>44125</v>
      </c>
      <c r="N831" s="178">
        <v>44127</v>
      </c>
      <c r="O831" s="178">
        <v>44130</v>
      </c>
      <c r="P831" s="178">
        <v>44132</v>
      </c>
      <c r="AA831" s="166">
        <v>44147</v>
      </c>
    </row>
    <row r="832" spans="1:35" ht="15.75" hidden="1" customHeight="1">
      <c r="A832" s="107" t="s">
        <v>1075</v>
      </c>
      <c r="B832" s="226">
        <v>44113</v>
      </c>
      <c r="C832" s="230">
        <v>10905</v>
      </c>
      <c r="D832" s="107">
        <f>COUNTA(G832:Z832)*0.5</f>
        <v>5</v>
      </c>
      <c r="F832" s="107" t="s">
        <v>323</v>
      </c>
      <c r="G832" s="178">
        <v>44113</v>
      </c>
      <c r="H832" s="178">
        <v>44113</v>
      </c>
      <c r="I832" s="178">
        <v>44116</v>
      </c>
      <c r="J832" s="178">
        <v>44118</v>
      </c>
      <c r="K832" s="178">
        <v>44120</v>
      </c>
      <c r="L832" s="178">
        <v>44123</v>
      </c>
      <c r="M832" s="178">
        <v>44125</v>
      </c>
      <c r="N832" s="178">
        <v>44127</v>
      </c>
      <c r="O832" s="178">
        <v>44130</v>
      </c>
      <c r="P832" s="178">
        <v>44134</v>
      </c>
    </row>
    <row r="833" spans="1:35" ht="15.75" hidden="1" customHeight="1">
      <c r="A833" s="107" t="s">
        <v>1076</v>
      </c>
      <c r="B833" s="226" t="s">
        <v>708</v>
      </c>
      <c r="C833" s="230">
        <f>81772/8</f>
        <v>10221.5</v>
      </c>
      <c r="D833" s="107">
        <f>COUNTA(G833:Z833)*0.5</f>
        <v>3.5</v>
      </c>
      <c r="F833" s="107" t="s">
        <v>323</v>
      </c>
      <c r="G833" s="178">
        <v>44088</v>
      </c>
      <c r="H833" s="178">
        <v>44088</v>
      </c>
      <c r="I833" s="178" t="s">
        <v>375</v>
      </c>
      <c r="J833" s="178" t="s">
        <v>376</v>
      </c>
      <c r="K833" s="178">
        <v>44099</v>
      </c>
      <c r="L833" s="178">
        <v>44123</v>
      </c>
      <c r="O833" s="178">
        <v>44109</v>
      </c>
      <c r="AG833" s="107">
        <f>COUNTIFS(F:F,"Culled",A:A,LEFT(A833,LEN(A833)-3)&amp;"*")/COUNTIF(A:A,LEFT(A833,LEN(A833)-3)&amp;"*")*100</f>
        <v>37.5</v>
      </c>
      <c r="AH833" s="107"/>
    </row>
    <row r="834" spans="1:35" ht="15.75" hidden="1" customHeight="1">
      <c r="A834" s="107" t="s">
        <v>1077</v>
      </c>
      <c r="B834" s="226">
        <v>44116</v>
      </c>
      <c r="C834" s="230" t="s">
        <v>23</v>
      </c>
      <c r="D834" s="107">
        <f>COUNTA(G834:Z834)*0.5</f>
        <v>4</v>
      </c>
      <c r="F834" s="107" t="s">
        <v>323</v>
      </c>
      <c r="G834" s="178">
        <v>44116</v>
      </c>
      <c r="H834" s="178">
        <v>44116</v>
      </c>
      <c r="I834" s="178">
        <v>44118</v>
      </c>
      <c r="J834" s="178">
        <v>44120</v>
      </c>
      <c r="K834" s="178">
        <v>44120</v>
      </c>
      <c r="L834" s="178">
        <v>44123</v>
      </c>
      <c r="M834" s="178">
        <v>44125</v>
      </c>
      <c r="N834" s="178">
        <v>44127</v>
      </c>
    </row>
    <row r="835" spans="1:35" ht="15.75" hidden="1" customHeight="1">
      <c r="A835" s="107" t="s">
        <v>1078</v>
      </c>
      <c r="B835" s="226" t="s">
        <v>710</v>
      </c>
      <c r="C835" s="230">
        <v>12229.75</v>
      </c>
      <c r="D835" s="107">
        <f>COUNTA(G835:Z835)*0.5</f>
        <v>6</v>
      </c>
      <c r="F835" s="107" t="s">
        <v>263</v>
      </c>
      <c r="G835" s="178">
        <v>44091</v>
      </c>
      <c r="H835" s="178">
        <v>44091</v>
      </c>
      <c r="I835" s="178" t="s">
        <v>376</v>
      </c>
      <c r="J835" s="178">
        <v>44099</v>
      </c>
      <c r="K835" s="178">
        <v>44102</v>
      </c>
      <c r="L835" s="178">
        <v>44104</v>
      </c>
      <c r="M835" s="178">
        <v>44106</v>
      </c>
      <c r="N835" s="178">
        <v>44110</v>
      </c>
      <c r="O835" s="178">
        <v>44113</v>
      </c>
      <c r="P835" s="178">
        <v>44116</v>
      </c>
      <c r="Q835" s="178">
        <v>44120</v>
      </c>
      <c r="R835" s="178">
        <v>44123</v>
      </c>
      <c r="AA835" s="166">
        <v>44131</v>
      </c>
      <c r="AC835" s="107">
        <f>17/25*100</f>
        <v>68</v>
      </c>
      <c r="AD835" s="107">
        <v>570.5</v>
      </c>
      <c r="AE835" s="107">
        <v>233.5</v>
      </c>
      <c r="AG835" s="107">
        <f>COUNTIFS(F:F,"Culled",A:A,LEFT(A835,LEN(A835)-3)&amp;"*")/COUNTIF(A:A,LEFT(A835,LEN(A835)-3)&amp;"*")*100</f>
        <v>66.666666666666657</v>
      </c>
      <c r="AH835" s="108">
        <f>(AD835-AF835)/(D835*$K$1*2)%</f>
        <v>8.6439393939393945</v>
      </c>
      <c r="AI835" s="108">
        <f>(AE835+AF835)/(D835*$K$1*2)%</f>
        <v>3.5378787878787881</v>
      </c>
    </row>
    <row r="836" spans="1:35" ht="15.75" hidden="1" customHeight="1">
      <c r="A836" s="107" t="s">
        <v>1079</v>
      </c>
      <c r="B836" s="226">
        <v>44098</v>
      </c>
      <c r="C836" s="230">
        <v>9478</v>
      </c>
      <c r="D836" s="107">
        <f>COUNTA(G836:Z836)*0.5</f>
        <v>7.5</v>
      </c>
      <c r="F836" s="107" t="s">
        <v>323</v>
      </c>
      <c r="G836" s="178" t="s">
        <v>326</v>
      </c>
      <c r="H836" s="178" t="s">
        <v>326</v>
      </c>
      <c r="I836" s="178">
        <v>44102</v>
      </c>
      <c r="J836" s="178">
        <v>44104</v>
      </c>
      <c r="K836" s="178">
        <v>44110</v>
      </c>
      <c r="L836" s="178">
        <v>44113</v>
      </c>
      <c r="M836" s="178">
        <v>44116</v>
      </c>
      <c r="N836" s="178">
        <v>44120</v>
      </c>
      <c r="O836" s="178">
        <v>44123</v>
      </c>
      <c r="P836" s="178">
        <v>44125</v>
      </c>
      <c r="Q836" s="178">
        <v>44130</v>
      </c>
      <c r="R836" s="178">
        <v>44132</v>
      </c>
      <c r="S836" s="178">
        <v>44134</v>
      </c>
      <c r="T836" s="178">
        <v>44137</v>
      </c>
      <c r="U836" s="178">
        <v>44139</v>
      </c>
      <c r="AA836" s="166">
        <v>44147</v>
      </c>
      <c r="AG836" s="107">
        <f>COUNTIFS(F:F,"Culled",A:A,LEFT(A836,LEN(A836)-3)&amp;"*")/COUNTIF(A:A,LEFT(A836,LEN(A836)-3)&amp;"*")*100</f>
        <v>100</v>
      </c>
      <c r="AH836" s="107"/>
    </row>
    <row r="837" spans="1:35" ht="15.75" hidden="1" customHeight="1">
      <c r="A837" s="107" t="s">
        <v>1080</v>
      </c>
      <c r="B837" s="226">
        <v>44105</v>
      </c>
      <c r="C837" s="111">
        <v>11145.18</v>
      </c>
      <c r="D837" s="107">
        <f>COUNTA(G837:Z837)*0.5</f>
        <v>6</v>
      </c>
      <c r="F837" s="107" t="s">
        <v>263</v>
      </c>
      <c r="G837" s="178">
        <v>44105</v>
      </c>
      <c r="H837" s="178">
        <v>44105</v>
      </c>
      <c r="I837" s="178">
        <v>44110</v>
      </c>
      <c r="J837" s="178">
        <v>44113</v>
      </c>
      <c r="K837" s="178">
        <v>44116</v>
      </c>
      <c r="L837" s="178">
        <v>44118</v>
      </c>
      <c r="M837" s="178">
        <v>44120</v>
      </c>
      <c r="N837" s="178">
        <v>44123</v>
      </c>
      <c r="O837" s="178">
        <v>44125</v>
      </c>
      <c r="P837" s="178">
        <v>44127</v>
      </c>
      <c r="Q837" s="178">
        <v>44130</v>
      </c>
      <c r="R837" s="178">
        <v>44132</v>
      </c>
      <c r="AA837" s="166">
        <v>44140</v>
      </c>
      <c r="AC837" s="107">
        <f>6/18*100</f>
        <v>33.333333333333329</v>
      </c>
      <c r="AD837" s="107">
        <v>1299</v>
      </c>
      <c r="AE837" s="107">
        <v>289.5</v>
      </c>
      <c r="AG837" s="107">
        <f>COUNTIFS(F:F,"Culled",A:A,LEFT(A837,LEN(A837)-3)&amp;"*")/COUNTIF(A:A,LEFT(A837,LEN(A837)-3)&amp;"*")*100</f>
        <v>0</v>
      </c>
      <c r="AH837" s="108">
        <f>(AD837-AF837)/(D837*$K$1*2)%</f>
        <v>19.681818181818183</v>
      </c>
      <c r="AI837" s="108">
        <f>(AE837+AF837)/(D837*$K$1*2)%</f>
        <v>4.3863636363636367</v>
      </c>
    </row>
    <row r="838" spans="1:35" ht="15.75" hidden="1" customHeight="1">
      <c r="A838" s="107" t="s">
        <v>1081</v>
      </c>
      <c r="B838" s="226">
        <v>44105</v>
      </c>
      <c r="C838" s="111">
        <v>11145.18</v>
      </c>
      <c r="D838" s="107">
        <f>COUNTA(G838:Z838)*0.5</f>
        <v>6</v>
      </c>
      <c r="F838" s="107" t="s">
        <v>263</v>
      </c>
      <c r="G838" s="178">
        <v>44105</v>
      </c>
      <c r="H838" s="178">
        <v>44105</v>
      </c>
      <c r="I838" s="178">
        <v>44110</v>
      </c>
      <c r="J838" s="178">
        <v>44113</v>
      </c>
      <c r="K838" s="178">
        <v>44116</v>
      </c>
      <c r="L838" s="178">
        <v>44118</v>
      </c>
      <c r="M838" s="178">
        <v>44120</v>
      </c>
      <c r="N838" s="178">
        <v>44123</v>
      </c>
      <c r="O838" s="178">
        <v>44125</v>
      </c>
      <c r="P838" s="178">
        <v>44127</v>
      </c>
      <c r="Q838" s="178">
        <v>44130</v>
      </c>
      <c r="R838" s="178">
        <v>44132</v>
      </c>
      <c r="AA838" s="166">
        <v>44140</v>
      </c>
      <c r="AC838" s="107">
        <f>12/24*100</f>
        <v>50</v>
      </c>
      <c r="AD838" s="107">
        <v>1509</v>
      </c>
      <c r="AE838" s="107">
        <v>256</v>
      </c>
      <c r="AG838" s="107">
        <f>COUNTIFS(F:F,"Culled",A:A,LEFT(A838,LEN(A838)-3)&amp;"*")/COUNTIF(A:A,LEFT(A838,LEN(A838)-3)&amp;"*")*100</f>
        <v>0</v>
      </c>
      <c r="AH838" s="108">
        <f>(AD838-AF838)/(D838*$K$1*2)%</f>
        <v>22.863636363636363</v>
      </c>
      <c r="AI838" s="108">
        <f>(AE838+AF838)/(D838*$K$1*2)%</f>
        <v>3.8787878787878789</v>
      </c>
    </row>
    <row r="839" spans="1:35" ht="15.75" hidden="1" customHeight="1">
      <c r="A839" s="107" t="s">
        <v>1082</v>
      </c>
      <c r="B839" s="226">
        <v>44105</v>
      </c>
      <c r="C839" s="111">
        <v>11145.18</v>
      </c>
      <c r="D839" s="107">
        <f>COUNTA(G839:Z839)*0.5</f>
        <v>6</v>
      </c>
      <c r="F839" s="107" t="s">
        <v>263</v>
      </c>
      <c r="G839" s="178">
        <v>44105</v>
      </c>
      <c r="H839" s="178">
        <v>44105</v>
      </c>
      <c r="I839" s="178">
        <v>44110</v>
      </c>
      <c r="J839" s="178">
        <v>44113</v>
      </c>
      <c r="K839" s="178">
        <v>44116</v>
      </c>
      <c r="L839" s="178">
        <v>44118</v>
      </c>
      <c r="M839" s="178">
        <v>44120</v>
      </c>
      <c r="N839" s="178">
        <v>44123</v>
      </c>
      <c r="O839" s="178">
        <v>44125</v>
      </c>
      <c r="P839" s="178">
        <v>44127</v>
      </c>
      <c r="Q839" s="178">
        <v>44130</v>
      </c>
      <c r="R839" s="178">
        <v>44132</v>
      </c>
      <c r="AA839" s="166">
        <v>44140</v>
      </c>
      <c r="AC839" s="107">
        <f>16/24*100</f>
        <v>66.666666666666657</v>
      </c>
      <c r="AD839" s="107">
        <v>1216.5</v>
      </c>
      <c r="AE839" s="107">
        <v>240</v>
      </c>
      <c r="AG839" s="107">
        <f>COUNTIFS(F:F,"Culled",A:A,LEFT(A839,LEN(A839)-3)&amp;"*")/COUNTIF(A:A,LEFT(A839,LEN(A839)-3)&amp;"*")*100</f>
        <v>0</v>
      </c>
      <c r="AH839" s="108">
        <f>(AD839-AF839)/(D839*$K$1*2)%</f>
        <v>18.431818181818183</v>
      </c>
      <c r="AI839" s="108">
        <f>(AE839+AF839)/(D839*$K$1*2)%</f>
        <v>3.6363636363636362</v>
      </c>
    </row>
    <row r="840" spans="1:35" ht="15.75" hidden="1" customHeight="1">
      <c r="A840" s="107" t="s">
        <v>1083</v>
      </c>
      <c r="B840" s="226">
        <v>44105</v>
      </c>
      <c r="C840" s="111">
        <v>11145.18</v>
      </c>
      <c r="D840" s="107">
        <f>COUNTA(G840:Z840)*0.5</f>
        <v>6</v>
      </c>
      <c r="F840" s="107" t="s">
        <v>263</v>
      </c>
      <c r="G840" s="178">
        <v>44105</v>
      </c>
      <c r="H840" s="178">
        <v>44105</v>
      </c>
      <c r="I840" s="178">
        <v>44110</v>
      </c>
      <c r="J840" s="178">
        <v>44113</v>
      </c>
      <c r="K840" s="178">
        <v>44116</v>
      </c>
      <c r="L840" s="178">
        <v>44118</v>
      </c>
      <c r="M840" s="178">
        <v>44120</v>
      </c>
      <c r="N840" s="178">
        <v>44123</v>
      </c>
      <c r="O840" s="178">
        <v>44125</v>
      </c>
      <c r="P840" s="178">
        <v>44127</v>
      </c>
      <c r="Q840" s="178">
        <v>44130</v>
      </c>
      <c r="R840" s="178">
        <v>44132</v>
      </c>
      <c r="AA840" s="166">
        <v>44140</v>
      </c>
      <c r="AC840" s="107">
        <f>8/20*100</f>
        <v>40</v>
      </c>
      <c r="AD840" s="107">
        <v>1346</v>
      </c>
      <c r="AE840" s="107">
        <v>312</v>
      </c>
      <c r="AG840" s="107">
        <f>COUNTIFS(F:F,"Culled",A:A,LEFT(A840,LEN(A840)-3)&amp;"*")/COUNTIF(A:A,LEFT(A840,LEN(A840)-3)&amp;"*")*100</f>
        <v>0</v>
      </c>
      <c r="AH840" s="108">
        <f>(AD840-AF840)/(D840*$K$1*2)%</f>
        <v>20.393939393939394</v>
      </c>
      <c r="AI840" s="108">
        <f>(AE840+AF840)/(D840*$K$1*2)%</f>
        <v>4.7272727272727275</v>
      </c>
    </row>
    <row r="841" spans="1:35" ht="15.75" hidden="1" customHeight="1">
      <c r="A841" s="107" t="s">
        <v>1084</v>
      </c>
      <c r="B841" s="226">
        <v>44106</v>
      </c>
      <c r="C841" s="111">
        <v>11087.13</v>
      </c>
      <c r="D841" s="107">
        <f>COUNTA(G841:Z841)*0.5</f>
        <v>3.5</v>
      </c>
      <c r="F841" s="107" t="s">
        <v>263</v>
      </c>
      <c r="G841" s="178">
        <v>44106</v>
      </c>
      <c r="H841" s="178">
        <v>44106</v>
      </c>
      <c r="I841" s="178">
        <v>44110</v>
      </c>
      <c r="J841" s="178">
        <v>44113</v>
      </c>
      <c r="K841" s="178">
        <v>44116</v>
      </c>
      <c r="L841" s="178">
        <v>44118</v>
      </c>
      <c r="M841" s="178">
        <v>44120</v>
      </c>
      <c r="AA841" s="166">
        <v>44131</v>
      </c>
      <c r="AC841" s="107">
        <f>9/10*100</f>
        <v>90</v>
      </c>
      <c r="AD841" s="107">
        <v>441</v>
      </c>
      <c r="AE841" s="107">
        <v>143</v>
      </c>
      <c r="AG841" s="107">
        <f t="shared" ref="AG841:AG845" si="0">COUNTIFS(F:F,"Culled",A:A,LEFT(A841,LEN(A841)-3)&amp;"*")/COUNTIF(A:A,LEFT(A841,LEN(A841)-3)&amp;"*")*100</f>
        <v>57.142857142857139</v>
      </c>
      <c r="AH841" s="108">
        <f>(AD841-AF841)/(D841*$K$1*2)%</f>
        <v>11.454545454545455</v>
      </c>
      <c r="AI841" s="108">
        <f>(AE841+AF841)/(D841*$K$1*2)%</f>
        <v>3.7142857142857144</v>
      </c>
    </row>
    <row r="842" spans="1:35" ht="15.75" hidden="1" customHeight="1">
      <c r="A842" s="107" t="s">
        <v>1085</v>
      </c>
      <c r="B842" s="226">
        <v>44106</v>
      </c>
      <c r="C842" s="111">
        <v>11087.13</v>
      </c>
      <c r="D842" s="107">
        <f>COUNTA(G842:Z842)*0.5</f>
        <v>3.5</v>
      </c>
      <c r="F842" s="107" t="s">
        <v>323</v>
      </c>
      <c r="G842" s="178">
        <v>44106</v>
      </c>
      <c r="H842" s="178">
        <v>44106</v>
      </c>
      <c r="I842" s="178">
        <v>44110</v>
      </c>
      <c r="J842" s="178">
        <v>44113</v>
      </c>
      <c r="K842" s="178">
        <v>44116</v>
      </c>
      <c r="L842" s="178">
        <v>44118</v>
      </c>
      <c r="M842" s="178">
        <v>44123</v>
      </c>
      <c r="AG842" s="107">
        <f t="shared" si="0"/>
        <v>57.142857142857139</v>
      </c>
      <c r="AH842" s="107"/>
    </row>
    <row r="843" spans="1:35" ht="15.75" hidden="1" customHeight="1">
      <c r="A843" s="107" t="s">
        <v>1086</v>
      </c>
      <c r="B843" s="226">
        <v>44106</v>
      </c>
      <c r="C843" s="111">
        <v>11087.13</v>
      </c>
      <c r="D843" s="107">
        <f>COUNTA(G843:Z843)*0.5</f>
        <v>3</v>
      </c>
      <c r="F843" s="107" t="s">
        <v>263</v>
      </c>
      <c r="G843" s="178">
        <v>44106</v>
      </c>
      <c r="H843" s="178">
        <v>44106</v>
      </c>
      <c r="I843" s="178">
        <v>44110</v>
      </c>
      <c r="J843" s="178">
        <v>44113</v>
      </c>
      <c r="K843" s="178">
        <v>44116</v>
      </c>
      <c r="L843" s="178">
        <v>44120</v>
      </c>
      <c r="AA843" s="166">
        <v>44131</v>
      </c>
      <c r="AC843" s="107">
        <f>8/11*100</f>
        <v>72.727272727272734</v>
      </c>
      <c r="AD843" s="107">
        <v>434</v>
      </c>
      <c r="AE843" s="107">
        <v>127</v>
      </c>
      <c r="AG843" s="107">
        <f t="shared" si="0"/>
        <v>57.142857142857139</v>
      </c>
      <c r="AH843" s="108">
        <f>(AD843-AF843)/(D843*$K$1*2)%</f>
        <v>13.151515151515152</v>
      </c>
      <c r="AI843" s="108">
        <f>(AE843+AF843)/(D843*$K$1*2)%</f>
        <v>3.8484848484848486</v>
      </c>
    </row>
    <row r="844" spans="1:35" ht="15.75" hidden="1" customHeight="1">
      <c r="A844" s="107" t="s">
        <v>1087</v>
      </c>
      <c r="B844" s="226">
        <v>44106</v>
      </c>
      <c r="C844" s="111">
        <v>11087.13</v>
      </c>
      <c r="D844" s="107">
        <f>COUNTA(G844:Z844)*0.5</f>
        <v>4</v>
      </c>
      <c r="F844" s="107" t="s">
        <v>263</v>
      </c>
      <c r="G844" s="178">
        <v>44106</v>
      </c>
      <c r="H844" s="178">
        <v>44106</v>
      </c>
      <c r="I844" s="178">
        <v>44110</v>
      </c>
      <c r="J844" s="178">
        <v>44113</v>
      </c>
      <c r="K844" s="178">
        <v>44116</v>
      </c>
      <c r="L844" s="178">
        <v>44118</v>
      </c>
      <c r="M844" s="178">
        <v>44120</v>
      </c>
      <c r="N844" s="178">
        <v>44123</v>
      </c>
      <c r="AA844" s="166">
        <v>44131</v>
      </c>
      <c r="AC844" s="107">
        <f>7/9*100</f>
        <v>77.777777777777786</v>
      </c>
      <c r="AD844" s="107">
        <v>415.5</v>
      </c>
      <c r="AE844" s="107">
        <v>113.5</v>
      </c>
      <c r="AG844" s="107">
        <f t="shared" si="0"/>
        <v>57.142857142857139</v>
      </c>
      <c r="AH844" s="108">
        <f>(AD844-AF844)/(D844*$K$1*2)%</f>
        <v>9.4431818181818183</v>
      </c>
      <c r="AI844" s="108">
        <f>(AE844+AF844)/(D844*$K$1*2)%</f>
        <v>2.5795454545454546</v>
      </c>
    </row>
    <row r="845" spans="1:35" ht="15.75" hidden="1" customHeight="1">
      <c r="A845" s="107" t="s">
        <v>1088</v>
      </c>
      <c r="B845" s="226">
        <v>44106</v>
      </c>
      <c r="C845" s="111">
        <v>12951.75</v>
      </c>
      <c r="D845" s="107">
        <f>COUNTA(G845:Z845)*0.5</f>
        <v>4.5</v>
      </c>
      <c r="F845" s="107" t="s">
        <v>323</v>
      </c>
      <c r="G845" s="178">
        <v>44106</v>
      </c>
      <c r="H845" s="178">
        <v>44106</v>
      </c>
      <c r="I845" s="178">
        <v>44110</v>
      </c>
      <c r="J845" s="178">
        <v>44113</v>
      </c>
      <c r="K845" s="178">
        <v>44116</v>
      </c>
      <c r="L845" s="178">
        <v>44118</v>
      </c>
      <c r="M845" s="178">
        <v>44120</v>
      </c>
      <c r="N845" s="178">
        <v>44123</v>
      </c>
      <c r="O845" s="178">
        <v>44125</v>
      </c>
      <c r="AG845" s="107">
        <f t="shared" si="0"/>
        <v>57.142857142857139</v>
      </c>
      <c r="AH845" s="107"/>
    </row>
    <row r="846" spans="1:35" ht="15.75" hidden="1" customHeight="1">
      <c r="A846" s="110" t="s">
        <v>1089</v>
      </c>
      <c r="B846" s="229">
        <v>44041</v>
      </c>
      <c r="C846" s="110">
        <v>10000</v>
      </c>
      <c r="D846" s="110">
        <v>7</v>
      </c>
      <c r="E846" s="110"/>
      <c r="F846" s="107" t="s">
        <v>323</v>
      </c>
      <c r="G846" s="107"/>
      <c r="H846" s="107"/>
      <c r="I846" s="107"/>
      <c r="J846" s="178" t="s">
        <v>376</v>
      </c>
      <c r="K846" s="225">
        <v>44085</v>
      </c>
      <c r="L846" s="107"/>
      <c r="M846" s="178">
        <v>44120</v>
      </c>
      <c r="N846" s="178">
        <v>44123</v>
      </c>
      <c r="O846" s="178">
        <v>44109</v>
      </c>
      <c r="P846" s="107"/>
      <c r="Q846" s="107"/>
      <c r="R846" s="107"/>
      <c r="S846" s="107"/>
      <c r="T846" s="107"/>
      <c r="U846" s="107"/>
      <c r="V846" s="107"/>
      <c r="W846" s="107"/>
      <c r="X846" s="107"/>
      <c r="Y846" s="107"/>
      <c r="Z846" s="107"/>
      <c r="AA846" s="167"/>
      <c r="AB846" s="109">
        <f>_xlfn.DAYS(AA846,B846)</f>
        <v>-44041</v>
      </c>
      <c r="AC846" s="110"/>
      <c r="AD846" s="110"/>
      <c r="AE846" s="110"/>
      <c r="AF846" s="110"/>
      <c r="AG846" s="107">
        <f>COUNTIFS(F:F,"Culled",A:A,LEFT(A846,LEN(A846)-3)&amp;"*")/COUNTIF(A:A,LEFT(A846,LEN(A846)-3)&amp;"*")*100</f>
        <v>18.181818181818183</v>
      </c>
      <c r="AH846" s="107"/>
    </row>
    <row r="847" spans="1:35" ht="15.75" hidden="1" customHeight="1">
      <c r="A847" s="110" t="s">
        <v>1090</v>
      </c>
      <c r="B847" s="229">
        <v>44041</v>
      </c>
      <c r="C847" s="110">
        <v>10000</v>
      </c>
      <c r="D847" s="110">
        <v>7</v>
      </c>
      <c r="E847" s="110"/>
      <c r="F847" s="107" t="s">
        <v>323</v>
      </c>
      <c r="G847" s="107"/>
      <c r="H847" s="107"/>
      <c r="I847" s="107"/>
      <c r="J847" s="178" t="s">
        <v>376</v>
      </c>
      <c r="K847" s="225">
        <v>44085</v>
      </c>
      <c r="L847" s="107"/>
      <c r="M847" s="178">
        <v>44120</v>
      </c>
      <c r="N847" s="178">
        <v>44123</v>
      </c>
      <c r="O847" s="178">
        <v>44109</v>
      </c>
      <c r="P847" s="107"/>
      <c r="Q847" s="107"/>
      <c r="R847" s="107"/>
      <c r="S847" s="107"/>
      <c r="T847" s="107"/>
      <c r="U847" s="107"/>
      <c r="V847" s="107"/>
      <c r="W847" s="107"/>
      <c r="X847" s="107"/>
      <c r="Y847" s="107"/>
      <c r="Z847" s="107"/>
      <c r="AA847" s="167"/>
      <c r="AB847" s="109">
        <f>_xlfn.DAYS(AA847,B847)</f>
        <v>-44041</v>
      </c>
      <c r="AC847" s="110"/>
      <c r="AD847" s="110"/>
      <c r="AE847" s="110"/>
      <c r="AF847" s="110"/>
      <c r="AG847" s="107">
        <f>COUNTIFS(F:F,"Culled",A:A,LEFT(A847,LEN(A847)-3)&amp;"*")/COUNTIF(A:A,LEFT(A847,LEN(A847)-3)&amp;"*")*100</f>
        <v>18.181818181818183</v>
      </c>
      <c r="AH847" s="107"/>
    </row>
    <row r="848" spans="1:35" ht="15.75" hidden="1" customHeight="1">
      <c r="A848" s="110" t="s">
        <v>1091</v>
      </c>
      <c r="B848" s="229">
        <v>44036</v>
      </c>
      <c r="C848" s="110">
        <v>10000</v>
      </c>
      <c r="D848" s="236">
        <v>8</v>
      </c>
      <c r="E848" s="236"/>
      <c r="F848" s="107" t="s">
        <v>323</v>
      </c>
      <c r="G848" s="107"/>
      <c r="H848" s="107"/>
      <c r="I848" s="107"/>
      <c r="J848" s="178" t="s">
        <v>376</v>
      </c>
      <c r="K848" s="225">
        <v>44085</v>
      </c>
      <c r="L848" s="107"/>
      <c r="M848" s="178">
        <v>44120</v>
      </c>
      <c r="N848" s="178">
        <v>44123</v>
      </c>
      <c r="O848" s="178">
        <v>44109</v>
      </c>
      <c r="P848" s="107"/>
      <c r="Q848" s="107"/>
      <c r="R848" s="107"/>
      <c r="S848" s="107"/>
      <c r="T848" s="107"/>
      <c r="U848" s="107"/>
      <c r="V848" s="107"/>
      <c r="W848" s="107"/>
      <c r="X848" s="107"/>
      <c r="Y848" s="107"/>
      <c r="Z848" s="107"/>
      <c r="AA848" s="167"/>
      <c r="AB848" s="109">
        <f>_xlfn.DAYS(AA848,B848)</f>
        <v>-44036</v>
      </c>
      <c r="AC848" s="110"/>
      <c r="AD848" s="110"/>
      <c r="AE848" s="110"/>
      <c r="AF848" s="110"/>
      <c r="AG848" s="107">
        <f>COUNTIFS(F:F,"Culled",A:A,LEFT(A848,LEN(A848)-3)&amp;"*")/COUNTIF(A:A,LEFT(A848,LEN(A848)-3)&amp;"*")*100</f>
        <v>100</v>
      </c>
      <c r="AH848" s="107"/>
    </row>
    <row r="849" spans="1:35" ht="15.75" hidden="1" customHeight="1">
      <c r="A849" s="110" t="s">
        <v>1092</v>
      </c>
      <c r="B849" s="229">
        <v>44036</v>
      </c>
      <c r="C849" s="110">
        <v>10000</v>
      </c>
      <c r="D849" s="236">
        <v>8</v>
      </c>
      <c r="E849" s="236"/>
      <c r="F849" s="107" t="s">
        <v>323</v>
      </c>
      <c r="G849" s="107"/>
      <c r="H849" s="107"/>
      <c r="I849" s="107"/>
      <c r="J849" s="178" t="s">
        <v>376</v>
      </c>
      <c r="K849" s="225">
        <v>44085</v>
      </c>
      <c r="L849" s="107"/>
      <c r="M849" s="178">
        <v>44120</v>
      </c>
      <c r="N849" s="178">
        <v>44123</v>
      </c>
      <c r="O849" s="178">
        <v>44109</v>
      </c>
      <c r="P849" s="107"/>
      <c r="Q849" s="107"/>
      <c r="R849" s="107"/>
      <c r="S849" s="107"/>
      <c r="T849" s="107"/>
      <c r="U849" s="107"/>
      <c r="V849" s="107"/>
      <c r="W849" s="107"/>
      <c r="X849" s="107"/>
      <c r="Y849" s="107"/>
      <c r="Z849" s="107"/>
      <c r="AA849" s="167"/>
      <c r="AB849" s="109">
        <f>_xlfn.DAYS(AA849,B849)</f>
        <v>-44036</v>
      </c>
      <c r="AC849" s="110"/>
      <c r="AD849" s="110"/>
      <c r="AE849" s="110"/>
      <c r="AF849" s="110"/>
      <c r="AG849" s="107">
        <f>COUNTIFS(F:F,"Culled",A:A,LEFT(A849,LEN(A849)-3)&amp;"*")/COUNTIF(A:A,LEFT(A849,LEN(A849)-3)&amp;"*")*100</f>
        <v>100</v>
      </c>
      <c r="AH849" s="107"/>
    </row>
    <row r="850" spans="1:35" ht="15.75" hidden="1" customHeight="1">
      <c r="A850" s="110" t="s">
        <v>1093</v>
      </c>
      <c r="B850" s="223">
        <v>44036</v>
      </c>
      <c r="C850" s="224">
        <v>10000</v>
      </c>
      <c r="D850" s="236">
        <v>9.5</v>
      </c>
      <c r="E850" s="236"/>
      <c r="F850" s="107" t="s">
        <v>323</v>
      </c>
      <c r="G850" s="226"/>
      <c r="H850" s="226"/>
      <c r="I850" s="226"/>
      <c r="J850" s="178" t="s">
        <v>376</v>
      </c>
      <c r="K850" s="225">
        <v>44085</v>
      </c>
      <c r="L850" s="226"/>
      <c r="M850" s="178">
        <v>44120</v>
      </c>
      <c r="N850" s="178">
        <v>44123</v>
      </c>
      <c r="O850" s="178">
        <v>44109</v>
      </c>
      <c r="P850" s="226"/>
      <c r="Q850" s="226"/>
      <c r="R850" s="226"/>
      <c r="S850" s="226"/>
      <c r="T850" s="226"/>
      <c r="U850" s="226"/>
      <c r="V850" s="226"/>
      <c r="W850" s="226"/>
      <c r="X850" s="226"/>
      <c r="Y850" s="226"/>
      <c r="Z850" s="107"/>
      <c r="AA850" s="167"/>
      <c r="AB850" s="109">
        <f>_xlfn.DAYS(AA850,B850)</f>
        <v>-44036</v>
      </c>
      <c r="AC850" s="110"/>
      <c r="AD850" s="110"/>
      <c r="AE850" s="110"/>
      <c r="AF850" s="110"/>
      <c r="AG850" s="107">
        <f>COUNTIFS(F:F,"Culled",A:A,LEFT(A850,LEN(A850)-3)&amp;"*")/COUNTIF(A:A,LEFT(A850,LEN(A850)-3)&amp;"*")*100</f>
        <v>100</v>
      </c>
      <c r="AH850" s="107"/>
    </row>
    <row r="851" spans="1:35" ht="15.75" hidden="1" customHeight="1">
      <c r="A851" s="107" t="s">
        <v>1094</v>
      </c>
      <c r="B851" s="226">
        <v>44106</v>
      </c>
      <c r="C851" s="111">
        <v>12951.75</v>
      </c>
      <c r="D851" s="107">
        <f>COUNTA(G851:Z851)*0.5</f>
        <v>4.5</v>
      </c>
      <c r="F851" s="107" t="s">
        <v>323</v>
      </c>
      <c r="G851" s="178">
        <v>44106</v>
      </c>
      <c r="H851" s="178">
        <v>44106</v>
      </c>
      <c r="I851" s="178">
        <v>44110</v>
      </c>
      <c r="J851" s="178">
        <v>44113</v>
      </c>
      <c r="K851" s="178">
        <v>44116</v>
      </c>
      <c r="L851" s="178">
        <v>44118</v>
      </c>
      <c r="M851" s="178">
        <v>44120</v>
      </c>
      <c r="N851" s="178">
        <v>44123</v>
      </c>
      <c r="O851" s="178">
        <v>44125</v>
      </c>
      <c r="AG851" s="107">
        <f>COUNTIFS(F:F,"Culled",A:A,LEFT(A851,LEN(A851)-3)&amp;"*")/COUNTIF(A:A,LEFT(A851,LEN(A851)-3)&amp;"*")*100</f>
        <v>57.142857142857139</v>
      </c>
      <c r="AH851" s="107"/>
    </row>
    <row r="852" spans="1:35" ht="15.75" hidden="1" customHeight="1">
      <c r="A852" s="107" t="s">
        <v>1095</v>
      </c>
      <c r="B852" s="226">
        <v>44083</v>
      </c>
      <c r="C852" s="230" t="s">
        <v>23</v>
      </c>
      <c r="D852" s="107">
        <f>COUNTA(G852:Z852)*0.5</f>
        <v>6.5</v>
      </c>
      <c r="F852" s="107" t="s">
        <v>323</v>
      </c>
      <c r="G852" s="178">
        <v>44083</v>
      </c>
      <c r="H852" s="178">
        <v>44083</v>
      </c>
      <c r="I852" s="178">
        <v>44088</v>
      </c>
      <c r="J852" s="178">
        <v>44090</v>
      </c>
      <c r="K852" s="178" t="s">
        <v>375</v>
      </c>
      <c r="L852" s="178" t="s">
        <v>376</v>
      </c>
      <c r="M852" s="178">
        <v>44099</v>
      </c>
      <c r="N852" s="178">
        <v>44104</v>
      </c>
      <c r="O852" s="178">
        <v>44106</v>
      </c>
      <c r="P852" s="178">
        <v>44116</v>
      </c>
      <c r="Q852" s="178">
        <v>44118</v>
      </c>
      <c r="R852" s="178">
        <v>44120</v>
      </c>
      <c r="S852" s="178">
        <v>44123</v>
      </c>
      <c r="AG852" s="107">
        <f>COUNTIFS(F:F,"Culled",A:A,LEFT(A852,LEN(A852)-3)&amp;"*")/COUNTIF(A:A,LEFT(A852,LEN(A852)-3)&amp;"*")*100</f>
        <v>100</v>
      </c>
      <c r="AH852" s="107"/>
    </row>
    <row r="853" spans="1:35" ht="15.75" hidden="1" customHeight="1">
      <c r="A853" s="107" t="s">
        <v>1096</v>
      </c>
      <c r="B853" s="226">
        <v>44083</v>
      </c>
      <c r="C853" s="230" t="s">
        <v>23</v>
      </c>
      <c r="D853" s="107">
        <f>COUNTA(G853:Z853)*0.5</f>
        <v>7</v>
      </c>
      <c r="F853" s="107" t="s">
        <v>323</v>
      </c>
      <c r="G853" s="178">
        <v>44083</v>
      </c>
      <c r="H853" s="178">
        <v>44083</v>
      </c>
      <c r="I853" s="178">
        <v>44088</v>
      </c>
      <c r="J853" s="178">
        <v>44090</v>
      </c>
      <c r="K853" s="178" t="s">
        <v>375</v>
      </c>
      <c r="L853" s="178" t="s">
        <v>376</v>
      </c>
      <c r="M853" s="178">
        <v>44099</v>
      </c>
      <c r="N853" s="178">
        <v>44104</v>
      </c>
      <c r="O853" s="178">
        <v>44106</v>
      </c>
      <c r="P853" s="178">
        <v>44110</v>
      </c>
      <c r="Q853" s="178">
        <v>44116</v>
      </c>
      <c r="R853" s="178">
        <v>44118</v>
      </c>
      <c r="S853" s="178">
        <v>44120</v>
      </c>
      <c r="T853" s="178">
        <v>44123</v>
      </c>
      <c r="AG853" s="107">
        <f>COUNTIFS(F:F,"Culled",A:A,LEFT(A853,LEN(A853)-3)&amp;"*")/COUNTIF(A:A,LEFT(A853,LEN(A853)-3)&amp;"*")*100</f>
        <v>100</v>
      </c>
      <c r="AH853" s="107"/>
    </row>
    <row r="854" spans="1:35" ht="15.75" hidden="1" customHeight="1">
      <c r="A854" s="107" t="s">
        <v>1097</v>
      </c>
      <c r="B854" s="226">
        <v>44083</v>
      </c>
      <c r="C854" s="230" t="s">
        <v>23</v>
      </c>
      <c r="D854" s="107">
        <f>COUNTA(G854:Z854)*0.5</f>
        <v>6.5</v>
      </c>
      <c r="F854" s="107" t="s">
        <v>323</v>
      </c>
      <c r="G854" s="178">
        <v>44083</v>
      </c>
      <c r="H854" s="178">
        <v>44083</v>
      </c>
      <c r="I854" s="178">
        <v>44088</v>
      </c>
      <c r="J854" s="178">
        <v>44090</v>
      </c>
      <c r="K854" s="178" t="s">
        <v>375</v>
      </c>
      <c r="L854" s="178" t="s">
        <v>376</v>
      </c>
      <c r="M854" s="178">
        <v>44099</v>
      </c>
      <c r="N854" s="178">
        <v>44104</v>
      </c>
      <c r="O854" s="178">
        <v>44106</v>
      </c>
      <c r="P854" s="178">
        <v>44116</v>
      </c>
      <c r="Q854" s="178">
        <v>44118</v>
      </c>
      <c r="R854" s="178">
        <v>44120</v>
      </c>
      <c r="S854" s="178">
        <v>44123</v>
      </c>
      <c r="AG854" s="107">
        <f>COUNTIFS(F:F,"Culled",A:A,LEFT(A854,LEN(A854)-3)&amp;"*")/COUNTIF(A:A,LEFT(A854,LEN(A854)-3)&amp;"*")*100</f>
        <v>100</v>
      </c>
      <c r="AH854" s="107"/>
    </row>
    <row r="855" spans="1:35" ht="15.75" hidden="1" customHeight="1">
      <c r="A855" s="107" t="s">
        <v>1098</v>
      </c>
      <c r="B855" s="226">
        <v>44083</v>
      </c>
      <c r="C855" s="230" t="s">
        <v>23</v>
      </c>
      <c r="D855" s="107">
        <f>COUNTA(G855:Z855)*0.5</f>
        <v>7</v>
      </c>
      <c r="F855" s="107" t="s">
        <v>323</v>
      </c>
      <c r="G855" s="178">
        <v>44083</v>
      </c>
      <c r="H855" s="178">
        <v>44083</v>
      </c>
      <c r="I855" s="178">
        <v>44088</v>
      </c>
      <c r="J855" s="178">
        <v>44090</v>
      </c>
      <c r="K855" s="178" t="s">
        <v>375</v>
      </c>
      <c r="L855" s="178" t="s">
        <v>376</v>
      </c>
      <c r="M855" s="178">
        <v>44099</v>
      </c>
      <c r="N855" s="178">
        <v>44104</v>
      </c>
      <c r="O855" s="178">
        <v>44106</v>
      </c>
      <c r="P855" s="178">
        <v>44110</v>
      </c>
      <c r="Q855" s="178">
        <v>44116</v>
      </c>
      <c r="R855" s="178">
        <v>44118</v>
      </c>
      <c r="S855" s="178">
        <v>44120</v>
      </c>
      <c r="T855" s="178">
        <v>44123</v>
      </c>
      <c r="AG855" s="107">
        <f>COUNTIFS(F:F,"Culled",A:A,LEFT(A855,LEN(A855)-3)&amp;"*")/COUNTIF(A:A,LEFT(A855,LEN(A855)-3)&amp;"*")*100</f>
        <v>100</v>
      </c>
      <c r="AH855" s="107"/>
    </row>
    <row r="856" spans="1:35" ht="15.75" hidden="1" customHeight="1">
      <c r="A856" s="107" t="s">
        <v>1099</v>
      </c>
      <c r="B856" s="226">
        <v>44083</v>
      </c>
      <c r="C856" s="230" t="s">
        <v>23</v>
      </c>
      <c r="D856" s="107">
        <f>COUNTA(G856:Z856)*0.5</f>
        <v>6.5</v>
      </c>
      <c r="F856" s="107" t="s">
        <v>323</v>
      </c>
      <c r="G856" s="178">
        <v>44083</v>
      </c>
      <c r="H856" s="178">
        <v>44083</v>
      </c>
      <c r="I856" s="178">
        <v>44088</v>
      </c>
      <c r="J856" s="178">
        <v>44090</v>
      </c>
      <c r="K856" s="178" t="s">
        <v>375</v>
      </c>
      <c r="L856" s="178" t="s">
        <v>376</v>
      </c>
      <c r="M856" s="178">
        <v>44099</v>
      </c>
      <c r="N856" s="178">
        <v>44104</v>
      </c>
      <c r="O856" s="178">
        <v>44106</v>
      </c>
      <c r="P856" s="178">
        <v>44116</v>
      </c>
      <c r="Q856" s="178">
        <v>44118</v>
      </c>
      <c r="R856" s="178">
        <v>44120</v>
      </c>
      <c r="S856" s="178">
        <v>44123</v>
      </c>
      <c r="AG856" s="107">
        <f>COUNTIFS(F:F,"Culled",A:A,LEFT(A856,LEN(A856)-3)&amp;"*")/COUNTIF(A:A,LEFT(A856,LEN(A856)-3)&amp;"*")*100</f>
        <v>100</v>
      </c>
      <c r="AH856" s="107"/>
    </row>
    <row r="857" spans="1:35" ht="15.75" hidden="1" customHeight="1">
      <c r="A857" s="107" t="s">
        <v>1100</v>
      </c>
      <c r="B857" s="226">
        <v>44083</v>
      </c>
      <c r="C857" s="230" t="s">
        <v>23</v>
      </c>
      <c r="D857" s="107">
        <f>COUNTA(G857:Z857)*0.5</f>
        <v>6.5</v>
      </c>
      <c r="F857" s="107" t="s">
        <v>323</v>
      </c>
      <c r="G857" s="178">
        <v>44083</v>
      </c>
      <c r="H857" s="178">
        <v>44083</v>
      </c>
      <c r="I857" s="178">
        <v>44088</v>
      </c>
      <c r="J857" s="178">
        <v>44090</v>
      </c>
      <c r="K857" s="178" t="s">
        <v>375</v>
      </c>
      <c r="L857" s="178" t="s">
        <v>376</v>
      </c>
      <c r="M857" s="178">
        <v>44099</v>
      </c>
      <c r="N857" s="178">
        <v>44104</v>
      </c>
      <c r="O857" s="178">
        <v>44106</v>
      </c>
      <c r="P857" s="178">
        <v>44116</v>
      </c>
      <c r="Q857" s="178">
        <v>44118</v>
      </c>
      <c r="R857" s="178">
        <v>44120</v>
      </c>
      <c r="S857" s="178">
        <v>44123</v>
      </c>
      <c r="AG857" s="107">
        <f>COUNTIFS(F:F,"Culled",A:A,LEFT(A857,LEN(A857)-3)&amp;"*")/COUNTIF(A:A,LEFT(A857,LEN(A857)-3)&amp;"*")*100</f>
        <v>100</v>
      </c>
      <c r="AH857" s="107"/>
    </row>
    <row r="858" spans="1:35" ht="15.75" hidden="1" customHeight="1">
      <c r="A858" s="107" t="s">
        <v>1101</v>
      </c>
      <c r="B858" s="226">
        <v>44083</v>
      </c>
      <c r="C858" s="230" t="s">
        <v>23</v>
      </c>
      <c r="D858" s="107">
        <f>COUNTA(G858:Z858)*0.5</f>
        <v>6</v>
      </c>
      <c r="F858" s="107" t="s">
        <v>323</v>
      </c>
      <c r="G858" s="178">
        <v>44083</v>
      </c>
      <c r="H858" s="178">
        <v>44083</v>
      </c>
      <c r="I858" s="178">
        <v>44088</v>
      </c>
      <c r="J858" s="178">
        <v>44090</v>
      </c>
      <c r="K858" s="178" t="s">
        <v>375</v>
      </c>
      <c r="L858" s="178" t="s">
        <v>376</v>
      </c>
      <c r="M858" s="178">
        <v>44099</v>
      </c>
      <c r="N858" s="178">
        <v>44104</v>
      </c>
      <c r="O858" s="178">
        <v>44116</v>
      </c>
      <c r="P858" s="178">
        <v>44118</v>
      </c>
      <c r="Q858" s="178">
        <v>44120</v>
      </c>
      <c r="R858" s="178">
        <v>44123</v>
      </c>
      <c r="AG858" s="107">
        <f>COUNTIFS(F:F,"Culled",A:A,LEFT(A858,LEN(A858)-3)&amp;"*")/COUNTIF(A:A,LEFT(A858,LEN(A858)-3)&amp;"*")*100</f>
        <v>100</v>
      </c>
      <c r="AH858" s="107"/>
    </row>
    <row r="859" spans="1:35" ht="15.75" hidden="1" customHeight="1">
      <c r="A859" s="107" t="s">
        <v>1102</v>
      </c>
      <c r="B859" s="226">
        <v>44083</v>
      </c>
      <c r="C859" s="230" t="s">
        <v>23</v>
      </c>
      <c r="D859" s="107">
        <f>COUNTA(G859:Z859)*0.5</f>
        <v>5.5</v>
      </c>
      <c r="F859" s="107" t="s">
        <v>323</v>
      </c>
      <c r="G859" s="178">
        <v>44083</v>
      </c>
      <c r="H859" s="178">
        <v>44083</v>
      </c>
      <c r="I859" s="178">
        <v>44088</v>
      </c>
      <c r="J859" s="178">
        <v>44090</v>
      </c>
      <c r="K859" s="178" t="s">
        <v>375</v>
      </c>
      <c r="L859" s="178" t="s">
        <v>376</v>
      </c>
      <c r="M859" s="178">
        <v>44099</v>
      </c>
      <c r="N859" s="178">
        <v>44116</v>
      </c>
      <c r="O859" s="178">
        <v>44118</v>
      </c>
      <c r="P859" s="178">
        <v>44120</v>
      </c>
      <c r="Q859" s="178">
        <v>44123</v>
      </c>
      <c r="AG859" s="107">
        <f>COUNTIFS(F:F,"Culled",A:A,LEFT(A859,LEN(A859)-3)&amp;"*")/COUNTIF(A:A,LEFT(A859,LEN(A859)-3)&amp;"*")*100</f>
        <v>100</v>
      </c>
      <c r="AH859" s="107"/>
    </row>
    <row r="860" spans="1:35" ht="15.75" hidden="1" customHeight="1">
      <c r="A860" s="107" t="s">
        <v>1103</v>
      </c>
      <c r="B860" s="226">
        <v>44083</v>
      </c>
      <c r="C860" s="230" t="s">
        <v>23</v>
      </c>
      <c r="D860" s="107">
        <f>COUNTA(G860:Z860)*0.5</f>
        <v>5.5</v>
      </c>
      <c r="F860" s="107" t="s">
        <v>323</v>
      </c>
      <c r="G860" s="178">
        <v>44083</v>
      </c>
      <c r="H860" s="178">
        <v>44083</v>
      </c>
      <c r="I860" s="178">
        <v>44088</v>
      </c>
      <c r="J860" s="178">
        <v>44090</v>
      </c>
      <c r="K860" s="178" t="s">
        <v>375</v>
      </c>
      <c r="L860" s="178" t="s">
        <v>376</v>
      </c>
      <c r="M860" s="178">
        <v>44099</v>
      </c>
      <c r="N860" s="178">
        <v>44116</v>
      </c>
      <c r="O860" s="178">
        <v>44118</v>
      </c>
      <c r="P860" s="178">
        <v>44120</v>
      </c>
      <c r="Q860" s="178">
        <v>44123</v>
      </c>
      <c r="AG860" s="107">
        <f>COUNTIFS(F:F,"Culled",A:A,LEFT(A860,LEN(A860)-3)&amp;"*")/COUNTIF(A:A,LEFT(A860,LEN(A860)-3)&amp;"*")*100</f>
        <v>100</v>
      </c>
      <c r="AH860" s="107"/>
    </row>
    <row r="861" spans="1:35" ht="15.75" hidden="1" customHeight="1">
      <c r="A861" s="107" t="s">
        <v>1104</v>
      </c>
      <c r="B861" s="226">
        <v>44116</v>
      </c>
      <c r="C861" s="230">
        <v>10274.712847051433</v>
      </c>
      <c r="D861" s="107">
        <f>COUNTA(G861:Z861)*0.5</f>
        <v>5</v>
      </c>
      <c r="F861" s="107" t="s">
        <v>263</v>
      </c>
      <c r="G861" s="178">
        <v>44116</v>
      </c>
      <c r="H861" s="178">
        <v>44116</v>
      </c>
      <c r="I861" s="178">
        <v>44120</v>
      </c>
      <c r="J861" s="178">
        <v>44123</v>
      </c>
      <c r="K861" s="178">
        <v>44125</v>
      </c>
      <c r="L861" s="178">
        <v>44127</v>
      </c>
      <c r="M861" s="178">
        <v>44127</v>
      </c>
      <c r="N861" s="178">
        <v>44130</v>
      </c>
      <c r="O861" s="178">
        <v>44132</v>
      </c>
      <c r="P861" s="178">
        <v>44134</v>
      </c>
      <c r="AA861" s="166">
        <v>44148</v>
      </c>
      <c r="AG861" s="107">
        <f t="shared" ref="AG861:AG862" si="1">COUNTIFS(F:F,"Culled",A:A,LEFT(A861,LEN(A861)-3)&amp;"*")/COUNTIF(A:A,LEFT(A861,LEN(A861)-3)&amp;"*")*100</f>
        <v>33.333333333333329</v>
      </c>
      <c r="AH861" s="108">
        <f>(AD861-AF861)/(D861*$K$1*2)%</f>
        <v>0</v>
      </c>
      <c r="AI861" s="108">
        <f>(AE861+AF861)/(D861*$K$1*2)%</f>
        <v>0</v>
      </c>
    </row>
    <row r="862" spans="1:35" ht="15.75" hidden="1" customHeight="1">
      <c r="A862" s="107" t="s">
        <v>1105</v>
      </c>
      <c r="B862" s="226">
        <v>44116</v>
      </c>
      <c r="C862" s="230">
        <v>10274.712847051433</v>
      </c>
      <c r="D862" s="107">
        <f>COUNTA(G862:Z862)*0.5</f>
        <v>5.5</v>
      </c>
      <c r="F862" s="107" t="s">
        <v>323</v>
      </c>
      <c r="G862" s="178">
        <v>44116</v>
      </c>
      <c r="H862" s="178">
        <v>44116</v>
      </c>
      <c r="I862" s="178">
        <v>44120</v>
      </c>
      <c r="J862" s="178">
        <v>44123</v>
      </c>
      <c r="K862" s="178">
        <v>44125</v>
      </c>
      <c r="L862" s="178">
        <v>44127</v>
      </c>
      <c r="M862" s="178">
        <v>44127</v>
      </c>
      <c r="N862" s="178">
        <v>44130</v>
      </c>
      <c r="O862" s="178">
        <v>44132</v>
      </c>
      <c r="P862" s="178">
        <v>44134</v>
      </c>
      <c r="Q862" s="178">
        <v>44144</v>
      </c>
      <c r="AG862" s="107">
        <f t="shared" si="1"/>
        <v>33.333333333333329</v>
      </c>
    </row>
    <row r="863" spans="1:35" ht="15.75" hidden="1" customHeight="1">
      <c r="A863" s="110" t="s">
        <v>1106</v>
      </c>
      <c r="B863" s="223">
        <v>44036</v>
      </c>
      <c r="C863" s="224">
        <v>10000</v>
      </c>
      <c r="D863" s="236">
        <v>9.5</v>
      </c>
      <c r="E863" s="236"/>
      <c r="F863" s="107" t="s">
        <v>323</v>
      </c>
      <c r="G863" s="226"/>
      <c r="H863" s="226"/>
      <c r="I863" s="226"/>
      <c r="J863" s="178">
        <v>44123</v>
      </c>
      <c r="K863" s="225">
        <v>44085</v>
      </c>
      <c r="L863" s="226"/>
      <c r="M863" s="226"/>
      <c r="N863" s="178" t="s">
        <v>375</v>
      </c>
      <c r="O863" s="178">
        <v>44109</v>
      </c>
      <c r="P863" s="226"/>
      <c r="Q863" s="226"/>
      <c r="R863" s="226"/>
      <c r="S863" s="226"/>
      <c r="T863" s="226"/>
      <c r="U863" s="226"/>
      <c r="V863" s="226"/>
      <c r="W863" s="226"/>
      <c r="X863" s="226"/>
      <c r="Y863" s="226"/>
      <c r="Z863" s="107"/>
      <c r="AA863" s="167"/>
      <c r="AB863" s="109">
        <f>_xlfn.DAYS(AA863,B863)</f>
        <v>-44036</v>
      </c>
      <c r="AC863" s="110"/>
      <c r="AD863" s="110"/>
      <c r="AE863" s="110"/>
      <c r="AF863" s="110"/>
      <c r="AG863" s="107">
        <f>COUNTIFS(F:F,"Culled",A:A,LEFT(A863,LEN(A863)-3)&amp;"*")/COUNTIF(A:A,LEFT(A863,LEN(A863)-3)&amp;"*")*100</f>
        <v>100</v>
      </c>
      <c r="AH863" s="107"/>
    </row>
    <row r="864" spans="1:35" ht="15.75" hidden="1" customHeight="1">
      <c r="A864" s="110" t="s">
        <v>1107</v>
      </c>
      <c r="B864" s="229">
        <v>44039</v>
      </c>
      <c r="C864" s="110">
        <v>10000</v>
      </c>
      <c r="D864" s="110">
        <v>7.5</v>
      </c>
      <c r="E864" s="110"/>
      <c r="F864" s="107" t="s">
        <v>323</v>
      </c>
      <c r="G864" s="107"/>
      <c r="H864" s="107"/>
      <c r="I864" s="107"/>
      <c r="J864" s="178">
        <v>44123</v>
      </c>
      <c r="K864" s="225">
        <v>44085</v>
      </c>
      <c r="L864" s="107"/>
      <c r="M864" s="107"/>
      <c r="N864" s="178" t="s">
        <v>375</v>
      </c>
      <c r="O864" s="178">
        <v>44109</v>
      </c>
      <c r="P864" s="107"/>
      <c r="Q864" s="107"/>
      <c r="R864" s="107"/>
      <c r="S864" s="107"/>
      <c r="T864" s="107"/>
      <c r="U864" s="107"/>
      <c r="V864" s="107"/>
      <c r="W864" s="107"/>
      <c r="X864" s="107"/>
      <c r="Y864" s="107"/>
      <c r="Z864" s="107"/>
      <c r="AA864" s="167"/>
      <c r="AB864" s="109"/>
      <c r="AC864" s="110"/>
      <c r="AD864" s="110"/>
      <c r="AE864" s="110"/>
      <c r="AF864" s="110"/>
      <c r="AG864" s="107">
        <f>COUNTIFS(F:F,"Culled",A:A,LEFT(A864,LEN(A864)-3)&amp;"*")/COUNTIF(A:A,LEFT(A864,LEN(A864)-3)&amp;"*")*100</f>
        <v>100</v>
      </c>
      <c r="AH864" s="107"/>
    </row>
    <row r="865" spans="1:35" ht="15.75" hidden="1" customHeight="1">
      <c r="A865" s="110" t="s">
        <v>1108</v>
      </c>
      <c r="B865" s="229">
        <v>44039</v>
      </c>
      <c r="C865" s="110">
        <v>10000</v>
      </c>
      <c r="D865" s="110">
        <v>7.5</v>
      </c>
      <c r="E865" s="110"/>
      <c r="F865" s="107" t="s">
        <v>323</v>
      </c>
      <c r="G865" s="107"/>
      <c r="H865" s="107"/>
      <c r="I865" s="107"/>
      <c r="J865" s="178">
        <v>44123</v>
      </c>
      <c r="K865" s="225">
        <v>44085</v>
      </c>
      <c r="L865" s="107"/>
      <c r="M865" s="107"/>
      <c r="N865" s="178" t="s">
        <v>375</v>
      </c>
      <c r="O865" s="178">
        <v>44109</v>
      </c>
      <c r="P865" s="107"/>
      <c r="Q865" s="107"/>
      <c r="R865" s="107"/>
      <c r="S865" s="107"/>
      <c r="T865" s="107"/>
      <c r="U865" s="107"/>
      <c r="V865" s="107"/>
      <c r="W865" s="107"/>
      <c r="X865" s="107"/>
      <c r="Y865" s="107"/>
      <c r="Z865" s="107"/>
      <c r="AA865" s="167"/>
      <c r="AB865" s="109"/>
      <c r="AC865" s="110"/>
      <c r="AD865" s="110"/>
      <c r="AE865" s="110"/>
      <c r="AF865" s="110"/>
      <c r="AG865" s="107">
        <f>COUNTIFS(F:F,"Culled",A:A,LEFT(A865,LEN(A865)-3)&amp;"*")/COUNTIF(A:A,LEFT(A865,LEN(A865)-3)&amp;"*")*100</f>
        <v>100</v>
      </c>
      <c r="AH865" s="107"/>
    </row>
    <row r="866" spans="1:35" ht="15.75" hidden="1" customHeight="1">
      <c r="A866" s="110" t="s">
        <v>1109</v>
      </c>
      <c r="B866" s="229">
        <v>44039</v>
      </c>
      <c r="C866" s="110">
        <v>10000</v>
      </c>
      <c r="D866" s="110">
        <v>7.5</v>
      </c>
      <c r="E866" s="110"/>
      <c r="F866" s="107" t="s">
        <v>323</v>
      </c>
      <c r="G866" s="107"/>
      <c r="H866" s="107"/>
      <c r="I866" s="107"/>
      <c r="J866" s="178">
        <v>44123</v>
      </c>
      <c r="K866" s="225">
        <v>44085</v>
      </c>
      <c r="L866" s="107"/>
      <c r="M866" s="107"/>
      <c r="N866" s="178" t="s">
        <v>375</v>
      </c>
      <c r="O866" s="178">
        <v>44109</v>
      </c>
      <c r="P866" s="107"/>
      <c r="Q866" s="107"/>
      <c r="R866" s="107"/>
      <c r="S866" s="107"/>
      <c r="T866" s="107"/>
      <c r="U866" s="107"/>
      <c r="V866" s="107"/>
      <c r="W866" s="107"/>
      <c r="X866" s="107"/>
      <c r="Y866" s="107"/>
      <c r="Z866" s="107"/>
      <c r="AA866" s="167"/>
      <c r="AB866" s="109"/>
      <c r="AC866" s="110"/>
      <c r="AD866" s="110"/>
      <c r="AE866" s="110"/>
      <c r="AF866" s="110"/>
      <c r="AG866" s="107">
        <f>COUNTIFS(F:F,"Culled",A:A,LEFT(A866,LEN(A866)-3)&amp;"*")/COUNTIF(A:A,LEFT(A866,LEN(A866)-3)&amp;"*")*100</f>
        <v>100</v>
      </c>
      <c r="AH866" s="107"/>
    </row>
    <row r="867" spans="1:35" ht="15.75" hidden="1" customHeight="1">
      <c r="A867" s="107" t="s">
        <v>1110</v>
      </c>
      <c r="B867" s="226">
        <v>44116</v>
      </c>
      <c r="C867" s="230">
        <v>10274.712847051433</v>
      </c>
      <c r="D867" s="107">
        <f>COUNTA(G867:Z867)*0.5</f>
        <v>5</v>
      </c>
      <c r="F867" s="107" t="s">
        <v>263</v>
      </c>
      <c r="G867" s="178">
        <v>44116</v>
      </c>
      <c r="H867" s="178">
        <v>44116</v>
      </c>
      <c r="I867" s="178">
        <v>44120</v>
      </c>
      <c r="J867" s="178">
        <v>44123</v>
      </c>
      <c r="K867" s="178">
        <v>44125</v>
      </c>
      <c r="L867" s="178">
        <v>44127</v>
      </c>
      <c r="M867" s="178">
        <v>44127</v>
      </c>
      <c r="N867" s="178">
        <v>44130</v>
      </c>
      <c r="O867" s="178">
        <v>44132</v>
      </c>
      <c r="P867" s="178">
        <v>44134</v>
      </c>
      <c r="AA867" s="166">
        <v>44148</v>
      </c>
      <c r="AG867" s="107">
        <f t="shared" ref="AG867:AG873" si="2">COUNTIFS(F:F,"Culled",A:A,LEFT(A867,LEN(A867)-3)&amp;"*")/COUNTIF(A:A,LEFT(A867,LEN(A867)-3)&amp;"*")*100</f>
        <v>33.333333333333329</v>
      </c>
      <c r="AH867" s="108">
        <f>(AD867-AF867)/(D867*$K$1*2)%</f>
        <v>0</v>
      </c>
      <c r="AI867" s="108">
        <f>(AE867+AF867)/(D867*$K$1*2)%</f>
        <v>0</v>
      </c>
    </row>
    <row r="868" spans="1:35" ht="15.75" hidden="1" customHeight="1">
      <c r="A868" s="107" t="s">
        <v>1111</v>
      </c>
      <c r="B868" s="226">
        <v>44116</v>
      </c>
      <c r="C868" s="230">
        <v>10274.712847051433</v>
      </c>
      <c r="D868" s="107">
        <f>COUNTA(G868:Z868)*0.5</f>
        <v>4.5</v>
      </c>
      <c r="F868" s="107" t="s">
        <v>263</v>
      </c>
      <c r="G868" s="178">
        <v>44116</v>
      </c>
      <c r="H868" s="178">
        <v>44116</v>
      </c>
      <c r="I868" s="178">
        <v>44120</v>
      </c>
      <c r="J868" s="178">
        <v>44123</v>
      </c>
      <c r="K868" s="178">
        <v>44125</v>
      </c>
      <c r="L868" s="178">
        <v>44127</v>
      </c>
      <c r="M868" s="178">
        <v>44130</v>
      </c>
      <c r="N868" s="178">
        <v>44132</v>
      </c>
      <c r="O868" s="178">
        <v>44134</v>
      </c>
      <c r="AA868" s="166">
        <v>44148</v>
      </c>
      <c r="AG868" s="107">
        <f t="shared" si="2"/>
        <v>33.333333333333329</v>
      </c>
      <c r="AH868" s="108">
        <f>(AD868-AF868)/(D868*$K$1*2)%</f>
        <v>0</v>
      </c>
      <c r="AI868" s="108">
        <f>(AE868+AF868)/(D868*$K$1*2)%</f>
        <v>0</v>
      </c>
    </row>
    <row r="869" spans="1:35" ht="15.75" hidden="1" customHeight="1">
      <c r="A869" s="107" t="s">
        <v>1112</v>
      </c>
      <c r="B869" s="226">
        <v>44116</v>
      </c>
      <c r="C869" s="230">
        <v>10274.712847051433</v>
      </c>
      <c r="D869" s="107">
        <f>COUNTA(G869:Z869)*0.5</f>
        <v>4.5</v>
      </c>
      <c r="F869" s="107" t="s">
        <v>263</v>
      </c>
      <c r="G869" s="178">
        <v>44116</v>
      </c>
      <c r="H869" s="178">
        <v>44116</v>
      </c>
      <c r="I869" s="178">
        <v>44120</v>
      </c>
      <c r="J869" s="178">
        <v>44123</v>
      </c>
      <c r="K869" s="178">
        <v>44125</v>
      </c>
      <c r="L869" s="178">
        <v>44127</v>
      </c>
      <c r="M869" s="178">
        <v>44130</v>
      </c>
      <c r="N869" s="178">
        <v>44132</v>
      </c>
      <c r="O869" s="178">
        <v>44134</v>
      </c>
      <c r="AA869" s="166">
        <v>44148</v>
      </c>
      <c r="AG869" s="107">
        <f t="shared" si="2"/>
        <v>33.333333333333329</v>
      </c>
      <c r="AH869" s="108">
        <f>(AD869-AF869)/(D869*$K$1*2)%</f>
        <v>0</v>
      </c>
      <c r="AI869" s="108">
        <f>(AE869+AF869)/(D869*$K$1*2)%</f>
        <v>0</v>
      </c>
    </row>
    <row r="870" spans="1:35" ht="15.75" hidden="1" customHeight="1">
      <c r="A870" s="107" t="s">
        <v>1113</v>
      </c>
      <c r="B870" s="226">
        <v>44116</v>
      </c>
      <c r="C870" s="230">
        <v>10274.712847051433</v>
      </c>
      <c r="D870" s="107">
        <f>COUNTA(G870:Z870)*0.5</f>
        <v>4.5</v>
      </c>
      <c r="F870" s="107" t="s">
        <v>263</v>
      </c>
      <c r="G870" s="178">
        <v>44116</v>
      </c>
      <c r="H870" s="178">
        <v>44116</v>
      </c>
      <c r="I870" s="178">
        <v>44120</v>
      </c>
      <c r="J870" s="178">
        <v>44123</v>
      </c>
      <c r="K870" s="178">
        <v>44125</v>
      </c>
      <c r="L870" s="178">
        <v>44127</v>
      </c>
      <c r="M870" s="178">
        <v>44130</v>
      </c>
      <c r="N870" s="178">
        <v>44132</v>
      </c>
      <c r="O870" s="178">
        <v>44134</v>
      </c>
      <c r="AA870" s="166">
        <v>44148</v>
      </c>
      <c r="AG870" s="107">
        <f t="shared" si="2"/>
        <v>33.333333333333329</v>
      </c>
      <c r="AH870" s="108">
        <f>(AD870-AF870)/(D870*$K$1*2)%</f>
        <v>0</v>
      </c>
      <c r="AI870" s="108">
        <f>(AE870+AF870)/(D870*$K$1*2)%</f>
        <v>0</v>
      </c>
    </row>
    <row r="871" spans="1:35" ht="15.75" hidden="1" customHeight="1">
      <c r="A871" s="107" t="s">
        <v>1114</v>
      </c>
      <c r="B871" s="226">
        <v>44116</v>
      </c>
      <c r="C871" s="230">
        <v>10274.712847051433</v>
      </c>
      <c r="D871" s="107">
        <f>COUNTA(G871:Z871)*0.5</f>
        <v>5</v>
      </c>
      <c r="F871" s="107" t="s">
        <v>263</v>
      </c>
      <c r="G871" s="178">
        <v>44116</v>
      </c>
      <c r="H871" s="178">
        <v>44116</v>
      </c>
      <c r="I871" s="178">
        <v>44120</v>
      </c>
      <c r="J871" s="178">
        <v>44120</v>
      </c>
      <c r="K871" s="178">
        <v>44123</v>
      </c>
      <c r="L871" s="178">
        <v>44125</v>
      </c>
      <c r="M871" s="178">
        <v>44127</v>
      </c>
      <c r="N871" s="178">
        <v>44130</v>
      </c>
      <c r="O871" s="178">
        <v>44132</v>
      </c>
      <c r="P871" s="178">
        <v>44134</v>
      </c>
      <c r="AA871" s="166">
        <v>44148</v>
      </c>
      <c r="AG871" s="107">
        <f t="shared" si="2"/>
        <v>33.333333333333329</v>
      </c>
      <c r="AH871" s="108">
        <f>(AD871-AF871)/(D871*$K$1*2)%</f>
        <v>0</v>
      </c>
      <c r="AI871" s="108">
        <f>(AE871+AF871)/(D871*$K$1*2)%</f>
        <v>0</v>
      </c>
    </row>
    <row r="872" spans="1:35" ht="15.75" hidden="1" customHeight="1">
      <c r="A872" s="107" t="s">
        <v>1115</v>
      </c>
      <c r="B872" s="226">
        <v>44116</v>
      </c>
      <c r="C872" s="230">
        <v>10461.543032922085</v>
      </c>
      <c r="D872" s="107">
        <f>COUNTA(G872:Z872)*0.5</f>
        <v>6</v>
      </c>
      <c r="F872" s="107" t="s">
        <v>323</v>
      </c>
      <c r="G872" s="178">
        <v>44116</v>
      </c>
      <c r="H872" s="178">
        <v>44116</v>
      </c>
      <c r="I872" s="178">
        <v>44118</v>
      </c>
      <c r="J872" s="178">
        <v>44120</v>
      </c>
      <c r="K872" s="178">
        <v>44120</v>
      </c>
      <c r="L872" s="178">
        <v>44123</v>
      </c>
      <c r="M872" s="178">
        <v>44125</v>
      </c>
      <c r="N872" s="178">
        <v>44127</v>
      </c>
      <c r="O872" s="178">
        <v>44130</v>
      </c>
      <c r="P872" s="178">
        <v>44132</v>
      </c>
      <c r="Q872" s="178">
        <v>44134</v>
      </c>
      <c r="R872" s="178">
        <v>44144</v>
      </c>
      <c r="AG872" s="107">
        <f t="shared" si="2"/>
        <v>33.333333333333329</v>
      </c>
    </row>
    <row r="873" spans="1:35" ht="15.75" hidden="1" customHeight="1">
      <c r="A873" s="107" t="s">
        <v>1116</v>
      </c>
      <c r="B873" s="226">
        <v>44116</v>
      </c>
      <c r="C873" s="230">
        <v>10461.543032922085</v>
      </c>
      <c r="D873" s="107">
        <f>COUNTA(G873:Z873)*0.5</f>
        <v>6</v>
      </c>
      <c r="F873" s="107" t="s">
        <v>323</v>
      </c>
      <c r="G873" s="178">
        <v>44116</v>
      </c>
      <c r="H873" s="178">
        <v>44116</v>
      </c>
      <c r="I873" s="178">
        <v>44118</v>
      </c>
      <c r="J873" s="178">
        <v>44120</v>
      </c>
      <c r="K873" s="178">
        <v>44120</v>
      </c>
      <c r="L873" s="178">
        <v>44123</v>
      </c>
      <c r="M873" s="178">
        <v>44125</v>
      </c>
      <c r="N873" s="178">
        <v>44127</v>
      </c>
      <c r="O873" s="178">
        <v>44130</v>
      </c>
      <c r="P873" s="178">
        <v>44132</v>
      </c>
      <c r="Q873" s="178">
        <v>44134</v>
      </c>
      <c r="R873" s="178">
        <v>44144</v>
      </c>
      <c r="AG873" s="107">
        <f t="shared" si="2"/>
        <v>33.333333333333329</v>
      </c>
    </row>
    <row r="874" spans="1:35" ht="15.75" hidden="1" customHeight="1">
      <c r="A874" s="107" t="s">
        <v>1117</v>
      </c>
      <c r="B874" s="226" t="s">
        <v>710</v>
      </c>
      <c r="C874" s="230">
        <v>123467.3</v>
      </c>
      <c r="D874" s="107">
        <f>COUNTA(G874:Z874)*0.5</f>
        <v>4.5</v>
      </c>
      <c r="F874" s="107" t="s">
        <v>263</v>
      </c>
      <c r="G874" s="178">
        <v>44091</v>
      </c>
      <c r="H874" s="178">
        <v>44091</v>
      </c>
      <c r="I874" s="178" t="s">
        <v>376</v>
      </c>
      <c r="J874" s="178">
        <v>44099</v>
      </c>
      <c r="K874" s="178">
        <v>44104</v>
      </c>
      <c r="L874" s="178">
        <v>44106</v>
      </c>
      <c r="M874" s="178">
        <v>44110</v>
      </c>
      <c r="N874" s="178">
        <v>44113</v>
      </c>
      <c r="O874" s="178">
        <v>44116</v>
      </c>
      <c r="AA874" s="166">
        <v>44126</v>
      </c>
      <c r="AC874" s="107">
        <f>6/9*100</f>
        <v>66.666666666666657</v>
      </c>
      <c r="AD874" s="107">
        <v>500</v>
      </c>
      <c r="AE874" s="107">
        <v>296</v>
      </c>
      <c r="AG874" s="107">
        <f>COUNTIFS(F:F,"Culled",A:A,LEFT(A874,LEN(A874)-3)&amp;"*")/COUNTIF(A:A,LEFT(A874,LEN(A874)-3)&amp;"*")*100</f>
        <v>18.181818181818183</v>
      </c>
      <c r="AH874" s="108">
        <f>(AD874-AF874)/(D874*$K$1*2)%</f>
        <v>10.1010101010101</v>
      </c>
      <c r="AI874" s="108">
        <f>(AE874+AF874)/(D874*$K$1*2)%</f>
        <v>5.9797979797979801</v>
      </c>
    </row>
    <row r="875" spans="1:35" ht="15.75" hidden="1" customHeight="1">
      <c r="A875" s="107" t="s">
        <v>1118</v>
      </c>
      <c r="B875" s="226" t="s">
        <v>710</v>
      </c>
      <c r="C875" s="230">
        <v>123467.3</v>
      </c>
      <c r="D875" s="107">
        <f>COUNTA(G875:Z875)*0.5</f>
        <v>4.5</v>
      </c>
      <c r="F875" s="107" t="s">
        <v>263</v>
      </c>
      <c r="G875" s="178">
        <v>44091</v>
      </c>
      <c r="H875" s="178">
        <v>44091</v>
      </c>
      <c r="I875" s="178" t="s">
        <v>376</v>
      </c>
      <c r="J875" s="178">
        <v>44099</v>
      </c>
      <c r="K875" s="178">
        <v>44104</v>
      </c>
      <c r="L875" s="178">
        <v>44106</v>
      </c>
      <c r="M875" s="178">
        <v>44110</v>
      </c>
      <c r="N875" s="178">
        <v>44113</v>
      </c>
      <c r="O875" s="178">
        <v>44116</v>
      </c>
      <c r="AA875" s="166">
        <v>44126</v>
      </c>
      <c r="AC875" s="107">
        <f>AVERAGE(5/7,4/7)*100</f>
        <v>64.285714285714278</v>
      </c>
      <c r="AD875" s="107">
        <v>502</v>
      </c>
      <c r="AE875" s="107">
        <v>356</v>
      </c>
      <c r="AG875" s="107">
        <f>COUNTIFS(F:F,"Culled",A:A,LEFT(A875,LEN(A875)-3)&amp;"*")/COUNTIF(A:A,LEFT(A875,LEN(A875)-3)&amp;"*")*100</f>
        <v>18.181818181818183</v>
      </c>
      <c r="AH875" s="108">
        <f>(AD875-AF875)/(D875*$K$1*2)%</f>
        <v>10.141414141414142</v>
      </c>
      <c r="AI875" s="108">
        <f>(AE875+AF875)/(D875*$K$1*2)%</f>
        <v>7.191919191919192</v>
      </c>
    </row>
    <row r="876" spans="1:35" ht="15.75" hidden="1" customHeight="1">
      <c r="A876" s="107" t="s">
        <v>1119</v>
      </c>
      <c r="B876" s="226" t="s">
        <v>710</v>
      </c>
      <c r="C876" s="230">
        <v>123467.3</v>
      </c>
      <c r="D876" s="107">
        <f>COUNTA(G876:Z876)*0.5</f>
        <v>4.5</v>
      </c>
      <c r="F876" s="107" t="s">
        <v>263</v>
      </c>
      <c r="G876" s="178">
        <v>44091</v>
      </c>
      <c r="H876" s="178">
        <v>44091</v>
      </c>
      <c r="I876" s="178" t="s">
        <v>376</v>
      </c>
      <c r="J876" s="178">
        <v>44099</v>
      </c>
      <c r="K876" s="178">
        <v>44104</v>
      </c>
      <c r="L876" s="178">
        <v>44106</v>
      </c>
      <c r="M876" s="178">
        <v>44110</v>
      </c>
      <c r="N876" s="178">
        <v>44113</v>
      </c>
      <c r="O876" s="178">
        <v>44116</v>
      </c>
      <c r="AA876" s="166">
        <v>44126</v>
      </c>
      <c r="AC876" s="107">
        <f>6/10*100</f>
        <v>60</v>
      </c>
      <c r="AD876" s="107">
        <v>487</v>
      </c>
      <c r="AE876" s="107">
        <v>299</v>
      </c>
      <c r="AG876" s="107">
        <f>COUNTIFS(F:F,"Culled",A:A,LEFT(A876,LEN(A876)-3)&amp;"*")/COUNTIF(A:A,LEFT(A876,LEN(A876)-3)&amp;"*")*100</f>
        <v>18.181818181818183</v>
      </c>
      <c r="AH876" s="108">
        <f>(AD876-AF876)/(D876*$K$1*2)%</f>
        <v>9.8383838383838391</v>
      </c>
      <c r="AI876" s="108">
        <f>(AE876+AF876)/(D876*$K$1*2)%</f>
        <v>6.0404040404040407</v>
      </c>
    </row>
    <row r="877" spans="1:35" ht="15.75" hidden="1" customHeight="1">
      <c r="A877" s="107" t="s">
        <v>1120</v>
      </c>
      <c r="B877" s="226" t="s">
        <v>710</v>
      </c>
      <c r="C877" s="230">
        <v>10193.24</v>
      </c>
      <c r="D877" s="107">
        <f>COUNTA(G877:Z877)*0.5</f>
        <v>2.5</v>
      </c>
      <c r="F877" s="107" t="s">
        <v>263</v>
      </c>
      <c r="G877" s="178">
        <v>44091</v>
      </c>
      <c r="H877" s="178">
        <v>44091</v>
      </c>
      <c r="I877" s="178" t="s">
        <v>376</v>
      </c>
      <c r="J877" s="178">
        <v>44099</v>
      </c>
      <c r="K877" s="178">
        <v>44104</v>
      </c>
      <c r="AA877" s="166">
        <v>44126</v>
      </c>
      <c r="AG877" s="107">
        <f>COUNTIFS(F:F,"Culled",A:A,LEFT(A877,LEN(A877)-3)&amp;"*")/COUNTIF(A:A,LEFT(A877,LEN(A877)-3)&amp;"*")*100</f>
        <v>18.181818181818183</v>
      </c>
      <c r="AH877" s="108">
        <f>(AD877-AF877)/(D877*$K$1*2)%</f>
        <v>0</v>
      </c>
      <c r="AI877" s="108">
        <f>(AE877+AF877)/(D877*$K$1*2)%</f>
        <v>0</v>
      </c>
    </row>
    <row r="878" spans="1:35" ht="15.75" hidden="1" customHeight="1">
      <c r="A878" s="107" t="s">
        <v>1121</v>
      </c>
      <c r="B878" s="226" t="s">
        <v>710</v>
      </c>
      <c r="C878" s="230">
        <v>12229.75</v>
      </c>
      <c r="D878" s="107">
        <f>COUNTA(G878:Z878)*0.5</f>
        <v>2.5</v>
      </c>
      <c r="F878" s="107" t="s">
        <v>323</v>
      </c>
      <c r="G878" s="178">
        <v>44110</v>
      </c>
      <c r="H878" s="178">
        <v>44110</v>
      </c>
      <c r="I878" s="178" t="s">
        <v>376</v>
      </c>
      <c r="J878" s="178">
        <v>44099</v>
      </c>
      <c r="N878" s="178">
        <v>44109</v>
      </c>
      <c r="AH878" s="107"/>
    </row>
    <row r="879" spans="1:35" ht="15.75" hidden="1" customHeight="1">
      <c r="A879" s="107" t="s">
        <v>1122</v>
      </c>
      <c r="B879" s="226">
        <v>44070</v>
      </c>
      <c r="C879" s="230">
        <v>11197</v>
      </c>
      <c r="D879" s="107">
        <f>COUNTA(G879:Z879)*0.5</f>
        <v>6</v>
      </c>
      <c r="F879" s="107" t="s">
        <v>323</v>
      </c>
      <c r="G879" s="178">
        <v>44110</v>
      </c>
      <c r="H879" s="178">
        <v>44110</v>
      </c>
      <c r="I879" s="178">
        <v>44074</v>
      </c>
      <c r="J879" s="178">
        <v>44074</v>
      </c>
      <c r="K879" s="178">
        <v>44076</v>
      </c>
      <c r="L879" s="178">
        <v>44078</v>
      </c>
      <c r="M879" s="178">
        <v>44081</v>
      </c>
      <c r="N879" s="178">
        <v>44083</v>
      </c>
      <c r="O879" s="178">
        <v>44085</v>
      </c>
      <c r="P879" s="178">
        <v>44088</v>
      </c>
      <c r="Q879" s="178">
        <v>44090</v>
      </c>
      <c r="R879" s="178" t="s">
        <v>375</v>
      </c>
      <c r="AB879" s="109">
        <f>_xlfn.DAYS(AA879,B879)</f>
        <v>-44070</v>
      </c>
      <c r="AG879" s="107">
        <f>COUNTIFS(F:F,"Culled",A:A,LEFT(A879,LEN(A879)-3)&amp;"*")/COUNTIF(A:A,LEFT(A879,LEN(A879)-3)&amp;"*")*100</f>
        <v>42.857142857142854</v>
      </c>
      <c r="AH879" s="107"/>
    </row>
    <row r="880" spans="1:35" ht="15.75" hidden="1" customHeight="1">
      <c r="A880" s="107" t="s">
        <v>1123</v>
      </c>
      <c r="B880" s="226">
        <v>44070</v>
      </c>
      <c r="C880" s="230">
        <v>12016</v>
      </c>
      <c r="D880" s="107">
        <f>COUNTA(G880:Z880)*0.5</f>
        <v>3.5</v>
      </c>
      <c r="F880" s="107" t="s">
        <v>323</v>
      </c>
      <c r="G880" s="178">
        <v>44070</v>
      </c>
      <c r="H880" s="178">
        <v>44070</v>
      </c>
      <c r="I880" s="178">
        <v>44110</v>
      </c>
      <c r="J880" s="178">
        <v>44113</v>
      </c>
      <c r="K880" s="178">
        <v>44078</v>
      </c>
      <c r="L880" s="178">
        <v>44081</v>
      </c>
      <c r="M880" s="178">
        <v>44088</v>
      </c>
      <c r="AB880" s="109">
        <f>_xlfn.DAYS(AA880,B880)</f>
        <v>-44070</v>
      </c>
      <c r="AG880" s="107">
        <f>COUNTIFS(F:F,"Culled",A:A,LEFT(A880,LEN(A880)-3)&amp;"*")/COUNTIF(A:A,LEFT(A880,LEN(A880)-3)&amp;"*")*100</f>
        <v>25</v>
      </c>
      <c r="AH880" s="107"/>
    </row>
    <row r="881" spans="1:35" ht="15.75" hidden="1" customHeight="1">
      <c r="A881" s="107" t="s">
        <v>1124</v>
      </c>
      <c r="B881" s="226">
        <v>44083</v>
      </c>
      <c r="C881" s="230" t="s">
        <v>23</v>
      </c>
      <c r="D881" s="107">
        <f>COUNTA(G881:Z881)*0.5</f>
        <v>2.5</v>
      </c>
      <c r="F881" s="107" t="s">
        <v>323</v>
      </c>
      <c r="G881" s="177">
        <v>44083</v>
      </c>
      <c r="H881" s="177">
        <v>44083</v>
      </c>
      <c r="I881" s="178">
        <v>44110</v>
      </c>
      <c r="J881" s="178">
        <v>44113</v>
      </c>
      <c r="K881" s="107"/>
      <c r="L881" s="178" t="s">
        <v>376</v>
      </c>
      <c r="M881" s="107"/>
      <c r="N881" s="107"/>
      <c r="O881" s="107"/>
      <c r="P881" s="107"/>
      <c r="Q881" s="107"/>
      <c r="R881" s="107"/>
      <c r="S881" s="107"/>
      <c r="T881" s="107"/>
      <c r="U881" s="107"/>
      <c r="V881" s="107"/>
      <c r="W881" s="107"/>
      <c r="X881" s="107"/>
      <c r="Y881" s="107"/>
      <c r="Z881" s="107"/>
      <c r="AH881" s="107"/>
    </row>
    <row r="882" spans="1:35" ht="15.75" hidden="1" customHeight="1">
      <c r="A882" s="107" t="s">
        <v>1125</v>
      </c>
      <c r="B882" s="226">
        <v>44083</v>
      </c>
      <c r="C882" s="230" t="s">
        <v>23</v>
      </c>
      <c r="D882" s="107">
        <f>COUNTA(G882:Z882)*0.5</f>
        <v>2.5</v>
      </c>
      <c r="F882" s="107" t="s">
        <v>323</v>
      </c>
      <c r="G882" s="177">
        <v>44083</v>
      </c>
      <c r="H882" s="177">
        <v>44083</v>
      </c>
      <c r="I882" s="178">
        <v>44110</v>
      </c>
      <c r="J882" s="178">
        <v>44113</v>
      </c>
      <c r="K882" s="107"/>
      <c r="L882" s="178" t="s">
        <v>376</v>
      </c>
      <c r="M882" s="107"/>
      <c r="N882" s="107"/>
      <c r="O882" s="107"/>
      <c r="P882" s="107"/>
      <c r="Q882" s="107"/>
      <c r="R882" s="107"/>
      <c r="S882" s="107"/>
      <c r="T882" s="107"/>
      <c r="U882" s="107"/>
      <c r="V882" s="107"/>
      <c r="W882" s="107"/>
      <c r="X882" s="107"/>
      <c r="Y882" s="107"/>
      <c r="Z882" s="107"/>
      <c r="AH882" s="107"/>
    </row>
    <row r="883" spans="1:35" ht="15.75" hidden="1" customHeight="1">
      <c r="A883" s="107" t="s">
        <v>1126</v>
      </c>
      <c r="B883" s="226" t="s">
        <v>708</v>
      </c>
      <c r="C883" s="230">
        <f>34296/3</f>
        <v>11432</v>
      </c>
      <c r="D883" s="107">
        <f>COUNTA(G883:Z883)*0.5</f>
        <v>4</v>
      </c>
      <c r="F883" s="107" t="s">
        <v>323</v>
      </c>
      <c r="G883" s="178">
        <v>44088</v>
      </c>
      <c r="H883" s="178">
        <v>44088</v>
      </c>
      <c r="I883" s="178">
        <v>44090</v>
      </c>
      <c r="J883" s="178" t="s">
        <v>375</v>
      </c>
      <c r="K883" s="178" t="s">
        <v>376</v>
      </c>
      <c r="L883" s="178">
        <v>44099</v>
      </c>
      <c r="M883" s="178">
        <v>44102</v>
      </c>
      <c r="N883" s="178">
        <v>44104</v>
      </c>
      <c r="AG883" s="107">
        <f>COUNTIFS(F:F,"Culled",A:A,LEFT(A883,LEN(A883)-3)&amp;"*")/COUNTIF(A:A,LEFT(A883,LEN(A883)-3)&amp;"*")*100</f>
        <v>100</v>
      </c>
      <c r="AH883" s="107"/>
    </row>
    <row r="884" spans="1:35" ht="15.75" hidden="1" customHeight="1">
      <c r="A884" s="107" t="s">
        <v>1127</v>
      </c>
      <c r="B884" s="226" t="s">
        <v>708</v>
      </c>
      <c r="C884" s="230">
        <f>34296/3</f>
        <v>11432</v>
      </c>
      <c r="D884" s="107">
        <f>COUNTA(G884:Z884)*0.5</f>
        <v>4</v>
      </c>
      <c r="F884" s="107" t="s">
        <v>323</v>
      </c>
      <c r="G884" s="178">
        <v>44088</v>
      </c>
      <c r="H884" s="178">
        <v>44088</v>
      </c>
      <c r="I884" s="178">
        <v>44090</v>
      </c>
      <c r="J884" s="178" t="s">
        <v>375</v>
      </c>
      <c r="K884" s="178" t="s">
        <v>376</v>
      </c>
      <c r="L884" s="178">
        <v>44099</v>
      </c>
      <c r="M884" s="178">
        <v>44102</v>
      </c>
      <c r="N884" s="178">
        <v>44104</v>
      </c>
      <c r="AG884" s="107">
        <f>COUNTIFS(F:F,"Culled",A:A,LEFT(A884,LEN(A884)-3)&amp;"*")/COUNTIF(A:A,LEFT(A884,LEN(A884)-3)&amp;"*")*100</f>
        <v>100</v>
      </c>
      <c r="AH884" s="107"/>
    </row>
    <row r="885" spans="1:35" ht="15.75" hidden="1" customHeight="1">
      <c r="A885" s="107" t="s">
        <v>1128</v>
      </c>
      <c r="B885" s="226" t="s">
        <v>708</v>
      </c>
      <c r="C885" s="230">
        <f>34296/3</f>
        <v>11432</v>
      </c>
      <c r="D885" s="107">
        <f>COUNTA(G885:Z885)*0.5</f>
        <v>4</v>
      </c>
      <c r="F885" s="107" t="s">
        <v>323</v>
      </c>
      <c r="G885" s="178">
        <v>44088</v>
      </c>
      <c r="H885" s="178">
        <v>44088</v>
      </c>
      <c r="I885" s="178">
        <v>44090</v>
      </c>
      <c r="J885" s="178" t="s">
        <v>375</v>
      </c>
      <c r="K885" s="178" t="s">
        <v>376</v>
      </c>
      <c r="L885" s="178">
        <v>44099</v>
      </c>
      <c r="M885" s="178">
        <v>44102</v>
      </c>
      <c r="N885" s="178">
        <v>44104</v>
      </c>
      <c r="AG885" s="107">
        <f>COUNTIFS(F:F,"Culled",A:A,LEFT(A885,LEN(A885)-3)&amp;"*")/COUNTIF(A:A,LEFT(A885,LEN(A885)-3)&amp;"*")*100</f>
        <v>100</v>
      </c>
      <c r="AH885" s="107"/>
    </row>
    <row r="886" spans="1:35" ht="15.75" hidden="1" customHeight="1">
      <c r="A886" s="107" t="s">
        <v>1129</v>
      </c>
      <c r="B886" s="226" t="s">
        <v>710</v>
      </c>
      <c r="C886" s="230">
        <v>10193.24</v>
      </c>
      <c r="D886" s="107">
        <f>COUNTA(G886:Z886)*0.5</f>
        <v>2</v>
      </c>
      <c r="F886" s="107" t="s">
        <v>323</v>
      </c>
      <c r="G886" s="178">
        <v>44091</v>
      </c>
      <c r="H886" s="178">
        <v>44091</v>
      </c>
      <c r="I886" s="178" t="s">
        <v>376</v>
      </c>
      <c r="J886" s="178">
        <v>44099</v>
      </c>
      <c r="AH886" s="107"/>
    </row>
    <row r="887" spans="1:35" ht="15.75" hidden="1" customHeight="1">
      <c r="A887" s="107" t="s">
        <v>1130</v>
      </c>
      <c r="B887" s="226" t="s">
        <v>710</v>
      </c>
      <c r="C887" s="230">
        <v>10193.24</v>
      </c>
      <c r="D887" s="107">
        <f>COUNTA(G887:Z887)*0.5</f>
        <v>2</v>
      </c>
      <c r="F887" s="107" t="s">
        <v>323</v>
      </c>
      <c r="G887" s="178">
        <v>44091</v>
      </c>
      <c r="H887" s="178">
        <v>44091</v>
      </c>
      <c r="I887" s="178" t="s">
        <v>376</v>
      </c>
      <c r="J887" s="178">
        <v>44099</v>
      </c>
      <c r="AH887" s="107"/>
    </row>
    <row r="888" spans="1:35" ht="15.75" hidden="1" customHeight="1">
      <c r="A888" s="107" t="s">
        <v>1131</v>
      </c>
      <c r="B888" s="226" t="s">
        <v>710</v>
      </c>
      <c r="C888" s="230">
        <v>10193.24</v>
      </c>
      <c r="D888" s="107">
        <f>COUNTA(G888:Z888)*0.5</f>
        <v>3.5</v>
      </c>
      <c r="F888" s="107" t="s">
        <v>263</v>
      </c>
      <c r="G888" s="178">
        <v>44091</v>
      </c>
      <c r="H888" s="178">
        <v>44091</v>
      </c>
      <c r="I888" s="178" t="s">
        <v>376</v>
      </c>
      <c r="J888" s="178">
        <v>44099</v>
      </c>
      <c r="K888" s="178">
        <v>44104</v>
      </c>
      <c r="L888" s="178">
        <v>44106</v>
      </c>
      <c r="M888" s="178">
        <v>44110</v>
      </c>
      <c r="AA888" s="166">
        <v>44126</v>
      </c>
      <c r="AG888" s="107">
        <f>COUNTIFS(F:F,"Culled",A:A,LEFT(A888,LEN(A888)-3)&amp;"*")/COUNTIF(A:A,LEFT(A888,LEN(A888)-3)&amp;"*")*100</f>
        <v>18.181818181818183</v>
      </c>
      <c r="AH888" s="108">
        <f>(AD888-AF888)/(D888*$K$1*2)%</f>
        <v>0</v>
      </c>
      <c r="AI888" s="108">
        <f>(AE888+AF888)/(D888*$K$1*2)%</f>
        <v>0</v>
      </c>
    </row>
    <row r="889" spans="1:35" ht="15.75" hidden="1" customHeight="1">
      <c r="A889" s="107" t="s">
        <v>1132</v>
      </c>
      <c r="B889" s="226" t="s">
        <v>710</v>
      </c>
      <c r="C889" s="230">
        <v>10193.24</v>
      </c>
      <c r="D889" s="107">
        <f>COUNTA(G889:Z889)*0.5</f>
        <v>3.5</v>
      </c>
      <c r="F889" s="107" t="s">
        <v>263</v>
      </c>
      <c r="G889" s="178">
        <v>44091</v>
      </c>
      <c r="H889" s="178">
        <v>44091</v>
      </c>
      <c r="I889" s="178" t="s">
        <v>376</v>
      </c>
      <c r="J889" s="178">
        <v>44099</v>
      </c>
      <c r="K889" s="178">
        <v>44104</v>
      </c>
      <c r="L889" s="178">
        <v>44106</v>
      </c>
      <c r="M889" s="178">
        <v>44110</v>
      </c>
      <c r="AA889" s="166">
        <v>44126</v>
      </c>
      <c r="AG889" s="107">
        <f>COUNTIFS(F:F,"Culled",A:A,LEFT(A889,LEN(A889)-3)&amp;"*")/COUNTIF(A:A,LEFT(A889,LEN(A889)-3)&amp;"*")*100</f>
        <v>18.181818181818183</v>
      </c>
      <c r="AH889" s="108">
        <f>(AD889-AF889)/(D889*$K$1*2)%</f>
        <v>0</v>
      </c>
      <c r="AI889" s="108">
        <f>(AE889+AF889)/(D889*$K$1*2)%</f>
        <v>0</v>
      </c>
    </row>
    <row r="890" spans="1:35" ht="15.75" hidden="1" customHeight="1">
      <c r="A890" s="107" t="s">
        <v>1133</v>
      </c>
      <c r="B890" s="226" t="s">
        <v>710</v>
      </c>
      <c r="C890" s="230">
        <v>10193.24</v>
      </c>
      <c r="D890" s="107">
        <f>COUNTA(G890:Z890)*0.5</f>
        <v>3</v>
      </c>
      <c r="F890" s="107" t="s">
        <v>263</v>
      </c>
      <c r="G890" s="178">
        <v>44091</v>
      </c>
      <c r="H890" s="178">
        <v>44091</v>
      </c>
      <c r="I890" s="178" t="s">
        <v>376</v>
      </c>
      <c r="J890" s="178">
        <v>44099</v>
      </c>
      <c r="K890" s="178">
        <v>44104</v>
      </c>
      <c r="L890" s="178">
        <v>44106</v>
      </c>
      <c r="AA890" s="166">
        <v>44126</v>
      </c>
      <c r="AG890" s="107">
        <f>COUNTIFS(F:F,"Culled",A:A,LEFT(A890,LEN(A890)-3)&amp;"*")/COUNTIF(A:A,LEFT(A890,LEN(A890)-3)&amp;"*")*100</f>
        <v>18.181818181818183</v>
      </c>
      <c r="AH890" s="108">
        <f>(AD890-AF890)/(D890*$K$1*2)%</f>
        <v>0</v>
      </c>
      <c r="AI890" s="108">
        <f>(AE890+AF890)/(D890*$K$1*2)%</f>
        <v>0</v>
      </c>
    </row>
    <row r="891" spans="1:35" ht="15.75" hidden="1" customHeight="1">
      <c r="A891" s="107" t="s">
        <v>1134</v>
      </c>
      <c r="B891" s="226" t="s">
        <v>710</v>
      </c>
      <c r="C891" s="230">
        <v>10193.24</v>
      </c>
      <c r="D891" s="107">
        <f>COUNTA(G891:Z891)*0.5</f>
        <v>4</v>
      </c>
      <c r="F891" s="107" t="s">
        <v>263</v>
      </c>
      <c r="G891" s="178">
        <v>44091</v>
      </c>
      <c r="H891" s="178">
        <v>44091</v>
      </c>
      <c r="I891" s="178" t="s">
        <v>376</v>
      </c>
      <c r="J891" s="178">
        <v>44099</v>
      </c>
      <c r="K891" s="178">
        <v>44104</v>
      </c>
      <c r="L891" s="178">
        <v>44106</v>
      </c>
      <c r="M891" s="178">
        <v>44110</v>
      </c>
      <c r="N891" s="178">
        <v>44113</v>
      </c>
      <c r="AA891" s="166">
        <v>44126</v>
      </c>
      <c r="AG891" s="107">
        <f>COUNTIFS(F:F,"Culled",A:A,LEFT(A891,LEN(A891)-3)&amp;"*")/COUNTIF(A:A,LEFT(A891,LEN(A891)-3)&amp;"*")*100</f>
        <v>18.181818181818183</v>
      </c>
      <c r="AH891" s="108">
        <f>(AD891-AF891)/(D891*$K$1*2)%</f>
        <v>0</v>
      </c>
      <c r="AI891" s="108">
        <f>(AE891+AF891)/(D891*$K$1*2)%</f>
        <v>0</v>
      </c>
    </row>
    <row r="892" spans="1:35" ht="15.75" hidden="1" customHeight="1">
      <c r="A892" s="107" t="s">
        <v>1135</v>
      </c>
      <c r="B892" s="226" t="s">
        <v>710</v>
      </c>
      <c r="C892" s="230">
        <v>10193.24</v>
      </c>
      <c r="D892" s="107">
        <f>COUNTA(G892:Z892)*0.5</f>
        <v>3.5</v>
      </c>
      <c r="F892" s="107" t="s">
        <v>263</v>
      </c>
      <c r="G892" s="178">
        <v>44091</v>
      </c>
      <c r="H892" s="178">
        <v>44091</v>
      </c>
      <c r="I892" s="178" t="s">
        <v>376</v>
      </c>
      <c r="J892" s="178">
        <v>44099</v>
      </c>
      <c r="K892" s="178">
        <v>44104</v>
      </c>
      <c r="L892" s="178">
        <v>44106</v>
      </c>
      <c r="M892" s="178">
        <v>44116</v>
      </c>
      <c r="AA892" s="166">
        <v>44126</v>
      </c>
      <c r="AG892" s="107">
        <f>COUNTIFS(F:F,"Culled",A:A,LEFT(A892,LEN(A892)-3)&amp;"*")/COUNTIF(A:A,LEFT(A892,LEN(A892)-3)&amp;"*")*100</f>
        <v>18.181818181818183</v>
      </c>
      <c r="AH892" s="108">
        <f>(AD892-AF892)/(D892*$K$1*2)%</f>
        <v>0</v>
      </c>
      <c r="AI892" s="108">
        <f>(AE892+AF892)/(D892*$K$1*2)%</f>
        <v>0</v>
      </c>
    </row>
    <row r="893" spans="1:35" ht="15.75" hidden="1" customHeight="1">
      <c r="A893" s="107" t="s">
        <v>1136</v>
      </c>
      <c r="B893" s="226" t="s">
        <v>713</v>
      </c>
      <c r="C893" s="230">
        <v>11378</v>
      </c>
      <c r="D893" s="107">
        <f>COUNTA(G893:Z893)*0.5</f>
        <v>5.5</v>
      </c>
      <c r="F893" s="107" t="s">
        <v>263</v>
      </c>
      <c r="G893" s="178" t="s">
        <v>714</v>
      </c>
      <c r="H893" s="178" t="s">
        <v>714</v>
      </c>
      <c r="I893" s="178">
        <v>44099</v>
      </c>
      <c r="J893" s="178">
        <v>44102</v>
      </c>
      <c r="K893" s="178">
        <v>44104</v>
      </c>
      <c r="L893" s="178">
        <v>44106</v>
      </c>
      <c r="M893" s="178">
        <v>44110</v>
      </c>
      <c r="N893" s="178">
        <v>44113</v>
      </c>
      <c r="O893" s="178">
        <v>44116</v>
      </c>
      <c r="P893" s="178">
        <v>44118</v>
      </c>
      <c r="Q893" s="178">
        <v>44120</v>
      </c>
      <c r="AA893" s="166">
        <v>44123</v>
      </c>
      <c r="AG893" s="107">
        <f>COUNTIFS(F:F,"Culled",A:A,LEFT(A893,LEN(A893)-3)&amp;"*")/COUNTIF(A:A,LEFT(A893,LEN(A893)-3)&amp;"*")*100</f>
        <v>0</v>
      </c>
      <c r="AH893" s="108">
        <f>(AD893-AF893)/(D893*$K$1*2)%</f>
        <v>0</v>
      </c>
      <c r="AI893" s="108">
        <f>(AE893+AF893)/(D893*$K$1*2)%</f>
        <v>0</v>
      </c>
    </row>
    <row r="894" spans="1:35" ht="15.75" hidden="1" customHeight="1">
      <c r="A894" s="107" t="s">
        <v>1137</v>
      </c>
      <c r="B894" s="226" t="s">
        <v>713</v>
      </c>
      <c r="C894" s="230">
        <v>11378</v>
      </c>
      <c r="D894" s="107">
        <f>COUNTA(G894:Z894)*0.5</f>
        <v>5.5</v>
      </c>
      <c r="F894" s="107" t="s">
        <v>263</v>
      </c>
      <c r="G894" s="178" t="s">
        <v>714</v>
      </c>
      <c r="H894" s="178" t="s">
        <v>714</v>
      </c>
      <c r="I894" s="178">
        <v>44099</v>
      </c>
      <c r="J894" s="178">
        <v>44102</v>
      </c>
      <c r="K894" s="178">
        <v>44104</v>
      </c>
      <c r="L894" s="178">
        <v>44106</v>
      </c>
      <c r="M894" s="178">
        <v>44110</v>
      </c>
      <c r="N894" s="178">
        <v>44113</v>
      </c>
      <c r="O894" s="178">
        <v>44116</v>
      </c>
      <c r="P894" s="178">
        <v>44118</v>
      </c>
      <c r="Q894" s="178">
        <v>44120</v>
      </c>
      <c r="AA894" s="166">
        <v>44123</v>
      </c>
      <c r="AC894" s="107">
        <f>7/11*100</f>
        <v>63.636363636363633</v>
      </c>
      <c r="AD894" s="107">
        <v>1025</v>
      </c>
      <c r="AE894" s="107">
        <v>310.5</v>
      </c>
      <c r="AG894" s="107">
        <f>COUNTIFS(F:F,"Culled",A:A,LEFT(A894,LEN(A894)-3)&amp;"*")/COUNTIF(A:A,LEFT(A894,LEN(A894)-3)&amp;"*")*100</f>
        <v>0</v>
      </c>
      <c r="AH894" s="108">
        <f>(AD894-AF894)/(D894*$K$1*2)%</f>
        <v>16.942148760330578</v>
      </c>
      <c r="AI894" s="108">
        <f>(AE894+AF894)/(D894*$K$1*2)%</f>
        <v>5.1322314049586772</v>
      </c>
    </row>
    <row r="895" spans="1:35" ht="15.75" hidden="1" customHeight="1">
      <c r="A895" s="107" t="s">
        <v>1138</v>
      </c>
      <c r="B895" s="226" t="s">
        <v>713</v>
      </c>
      <c r="C895" s="230">
        <v>11378</v>
      </c>
      <c r="D895" s="107">
        <f>COUNTA(G895:Z895)*0.5</f>
        <v>5.5</v>
      </c>
      <c r="F895" s="107" t="s">
        <v>263</v>
      </c>
      <c r="G895" s="178" t="s">
        <v>714</v>
      </c>
      <c r="H895" s="178" t="s">
        <v>714</v>
      </c>
      <c r="I895" s="178">
        <v>44099</v>
      </c>
      <c r="J895" s="178">
        <v>44102</v>
      </c>
      <c r="K895" s="178">
        <v>44104</v>
      </c>
      <c r="L895" s="178">
        <v>44106</v>
      </c>
      <c r="M895" s="178">
        <v>44110</v>
      </c>
      <c r="N895" s="178">
        <v>44113</v>
      </c>
      <c r="O895" s="178">
        <v>44116</v>
      </c>
      <c r="P895" s="178">
        <v>44118</v>
      </c>
      <c r="Q895" s="178">
        <v>44120</v>
      </c>
      <c r="AA895" s="166">
        <v>44123</v>
      </c>
      <c r="AC895" s="107">
        <f>7/11*100</f>
        <v>63.636363636363633</v>
      </c>
      <c r="AD895" s="107">
        <v>1025</v>
      </c>
      <c r="AE895" s="107">
        <v>283.5</v>
      </c>
      <c r="AG895" s="107">
        <f>COUNTIFS(F:F,"Culled",A:A,LEFT(A895,LEN(A895)-3)&amp;"*")/COUNTIF(A:A,LEFT(A895,LEN(A895)-3)&amp;"*")*100</f>
        <v>0</v>
      </c>
      <c r="AH895" s="108">
        <f>(AD895-AF895)/(D895*$K$1*2)%</f>
        <v>16.942148760330578</v>
      </c>
      <c r="AI895" s="108">
        <f>(AE895+AF895)/(D895*$K$1*2)%</f>
        <v>4.6859504132231402</v>
      </c>
    </row>
    <row r="896" spans="1:35" ht="15.75" hidden="1" customHeight="1">
      <c r="A896" s="107" t="s">
        <v>1139</v>
      </c>
      <c r="B896" s="226" t="s">
        <v>713</v>
      </c>
      <c r="C896" s="230">
        <v>11378</v>
      </c>
      <c r="D896" s="107">
        <f>COUNTA(G896:Z896)*0.5</f>
        <v>5.5</v>
      </c>
      <c r="F896" s="107" t="s">
        <v>263</v>
      </c>
      <c r="G896" s="178" t="s">
        <v>714</v>
      </c>
      <c r="H896" s="178" t="s">
        <v>714</v>
      </c>
      <c r="I896" s="178">
        <v>44099</v>
      </c>
      <c r="J896" s="178">
        <v>44102</v>
      </c>
      <c r="K896" s="178">
        <v>44104</v>
      </c>
      <c r="L896" s="178">
        <v>44106</v>
      </c>
      <c r="M896" s="178">
        <v>44110</v>
      </c>
      <c r="N896" s="178">
        <v>44113</v>
      </c>
      <c r="O896" s="178">
        <v>44116</v>
      </c>
      <c r="P896" s="178">
        <v>44118</v>
      </c>
      <c r="Q896" s="178">
        <v>44120</v>
      </c>
      <c r="AA896" s="166">
        <v>44123</v>
      </c>
      <c r="AC896" s="107">
        <f>11/19*100</f>
        <v>57.894736842105267</v>
      </c>
      <c r="AD896" s="107">
        <v>1012</v>
      </c>
      <c r="AE896" s="107">
        <v>311</v>
      </c>
      <c r="AG896" s="107">
        <f>COUNTIFS(F:F,"Culled",A:A,LEFT(A896,LEN(A896)-3)&amp;"*")/COUNTIF(A:A,LEFT(A896,LEN(A896)-3)&amp;"*")*100</f>
        <v>0</v>
      </c>
      <c r="AH896" s="108">
        <f>(AD896-AF896)/(D896*$K$1*2)%</f>
        <v>16.727272727272727</v>
      </c>
      <c r="AI896" s="108">
        <f>(AE896+AF896)/(D896*$K$1*2)%</f>
        <v>5.1404958677685952</v>
      </c>
    </row>
    <row r="897" spans="1:35" ht="15.75" hidden="1" customHeight="1">
      <c r="A897" s="107" t="s">
        <v>1140</v>
      </c>
      <c r="B897" s="226" t="s">
        <v>713</v>
      </c>
      <c r="C897" s="230">
        <v>11378</v>
      </c>
      <c r="D897" s="107">
        <f>COUNTA(G897:Z897)*0.5</f>
        <v>5.5</v>
      </c>
      <c r="F897" s="107" t="s">
        <v>263</v>
      </c>
      <c r="G897" s="178" t="s">
        <v>714</v>
      </c>
      <c r="H897" s="178" t="s">
        <v>714</v>
      </c>
      <c r="I897" s="178">
        <v>44099</v>
      </c>
      <c r="J897" s="178">
        <v>44102</v>
      </c>
      <c r="K897" s="178">
        <v>44104</v>
      </c>
      <c r="L897" s="178">
        <v>44106</v>
      </c>
      <c r="M897" s="178">
        <v>44110</v>
      </c>
      <c r="N897" s="178">
        <v>44113</v>
      </c>
      <c r="O897" s="178">
        <v>44116</v>
      </c>
      <c r="P897" s="178">
        <v>44118</v>
      </c>
      <c r="Q897" s="178">
        <v>44120</v>
      </c>
      <c r="AA897" s="166">
        <v>44123</v>
      </c>
      <c r="AG897" s="107">
        <f>COUNTIFS(F:F,"Culled",A:A,LEFT(A897,LEN(A897)-3)&amp;"*")/COUNTIF(A:A,LEFT(A897,LEN(A897)-3)&amp;"*")*100</f>
        <v>0</v>
      </c>
      <c r="AH897" s="108">
        <f>(AD897-AF897)/(D897*$K$1*2)%</f>
        <v>0</v>
      </c>
      <c r="AI897" s="108">
        <f>(AE897+AF897)/(D897*$K$1*2)%</f>
        <v>0</v>
      </c>
    </row>
    <row r="898" spans="1:35" ht="15.75" hidden="1" customHeight="1">
      <c r="A898" s="107" t="s">
        <v>1141</v>
      </c>
      <c r="B898" s="226">
        <v>44098</v>
      </c>
      <c r="C898" s="230">
        <v>10329</v>
      </c>
      <c r="D898" s="107">
        <f>COUNTA(G898:Z898)*0.5</f>
        <v>5.5</v>
      </c>
      <c r="F898" s="107" t="s">
        <v>263</v>
      </c>
      <c r="G898" s="178" t="s">
        <v>326</v>
      </c>
      <c r="H898" s="178" t="s">
        <v>326</v>
      </c>
      <c r="I898" s="178" t="s">
        <v>326</v>
      </c>
      <c r="J898" s="178" t="s">
        <v>326</v>
      </c>
      <c r="K898" s="178" t="s">
        <v>326</v>
      </c>
      <c r="L898" s="178" t="s">
        <v>326</v>
      </c>
      <c r="M898" s="178" t="s">
        <v>326</v>
      </c>
      <c r="N898" s="178">
        <v>44110</v>
      </c>
      <c r="O898" s="178">
        <v>44110</v>
      </c>
      <c r="P898" s="178">
        <v>44110</v>
      </c>
      <c r="Q898" s="178">
        <v>44110</v>
      </c>
      <c r="AA898" s="166">
        <v>44113</v>
      </c>
      <c r="AC898" s="107">
        <f>15/24*100</f>
        <v>62.5</v>
      </c>
      <c r="AD898" s="107">
        <v>1061.5</v>
      </c>
      <c r="AE898" s="107">
        <v>276</v>
      </c>
      <c r="AG898" s="107">
        <f>COUNTIFS(F:F,"Culled",A:A,LEFT(A898,LEN(A898)-3)&amp;"*")/COUNTIF(A:A,LEFT(A898,LEN(A898)-3)&amp;"*")*100</f>
        <v>0</v>
      </c>
      <c r="AH898" s="108">
        <f>(AD898-AF898)/(D898*$K$1*2)%</f>
        <v>17.545454545454547</v>
      </c>
      <c r="AI898" s="108">
        <f>(AE898+AF898)/(D898*$K$1*2)%</f>
        <v>4.5619834710743801</v>
      </c>
    </row>
    <row r="899" spans="1:35" ht="15.75" hidden="1" customHeight="1">
      <c r="A899" s="107" t="s">
        <v>1142</v>
      </c>
      <c r="B899" s="226">
        <v>44098</v>
      </c>
      <c r="C899" s="230">
        <v>10329</v>
      </c>
      <c r="D899" s="107">
        <f>COUNTA(G899:Z899)*0.5</f>
        <v>5.5</v>
      </c>
      <c r="F899" s="107" t="s">
        <v>263</v>
      </c>
      <c r="G899" s="178" t="s">
        <v>326</v>
      </c>
      <c r="H899" s="178" t="s">
        <v>326</v>
      </c>
      <c r="I899" s="178" t="s">
        <v>326</v>
      </c>
      <c r="J899" s="178" t="s">
        <v>326</v>
      </c>
      <c r="K899" s="178" t="s">
        <v>326</v>
      </c>
      <c r="L899" s="178" t="s">
        <v>326</v>
      </c>
      <c r="M899" s="178" t="s">
        <v>326</v>
      </c>
      <c r="N899" s="178">
        <v>44110</v>
      </c>
      <c r="O899" s="178">
        <v>44110</v>
      </c>
      <c r="P899" s="178">
        <v>44110</v>
      </c>
      <c r="Q899" s="178">
        <v>44110</v>
      </c>
      <c r="AA899" s="166">
        <v>44113</v>
      </c>
      <c r="AC899" s="107">
        <f>AVERAGE(8/15,20/37)*100</f>
        <v>53.693693693693703</v>
      </c>
      <c r="AD899" s="107">
        <v>932</v>
      </c>
      <c r="AE899" s="107">
        <v>262.5</v>
      </c>
      <c r="AG899" s="107">
        <f>COUNTIFS(F:F,"Culled",A:A,LEFT(A899,LEN(A899)-3)&amp;"*")/COUNTIF(A:A,LEFT(A899,LEN(A899)-3)&amp;"*")*100</f>
        <v>0</v>
      </c>
      <c r="AH899" s="108">
        <f>(AD899-AF899)/(D899*$K$1*2)%</f>
        <v>15.404958677685951</v>
      </c>
      <c r="AI899" s="108">
        <f>(AE899+AF899)/(D899*$K$1*2)%</f>
        <v>4.338842975206612</v>
      </c>
    </row>
    <row r="900" spans="1:35" ht="15.75" hidden="1" customHeight="1">
      <c r="A900" s="107" t="s">
        <v>1143</v>
      </c>
      <c r="B900" s="226">
        <v>44098</v>
      </c>
      <c r="C900" s="230">
        <v>10329</v>
      </c>
      <c r="D900" s="107">
        <f>COUNTA(G900:Z900)*0.5</f>
        <v>5.5</v>
      </c>
      <c r="F900" s="107" t="s">
        <v>263</v>
      </c>
      <c r="G900" s="178" t="s">
        <v>326</v>
      </c>
      <c r="H900" s="178" t="s">
        <v>326</v>
      </c>
      <c r="I900" s="178" t="s">
        <v>326</v>
      </c>
      <c r="J900" s="178" t="s">
        <v>326</v>
      </c>
      <c r="K900" s="178" t="s">
        <v>326</v>
      </c>
      <c r="L900" s="178" t="s">
        <v>326</v>
      </c>
      <c r="M900" s="178" t="s">
        <v>326</v>
      </c>
      <c r="N900" s="178">
        <v>44110</v>
      </c>
      <c r="O900" s="178">
        <v>44110</v>
      </c>
      <c r="P900" s="178">
        <v>44110</v>
      </c>
      <c r="Q900" s="178">
        <v>44110</v>
      </c>
      <c r="AA900" s="166">
        <v>44113</v>
      </c>
      <c r="AC900" s="107">
        <f>32/37*100</f>
        <v>86.486486486486484</v>
      </c>
      <c r="AD900" s="107">
        <v>957</v>
      </c>
      <c r="AE900" s="107">
        <v>313.5</v>
      </c>
      <c r="AG900" s="107">
        <f>COUNTIFS(F:F,"Culled",A:A,LEFT(A900,LEN(A900)-3)&amp;"*")/COUNTIF(A:A,LEFT(A900,LEN(A900)-3)&amp;"*")*100</f>
        <v>0</v>
      </c>
      <c r="AH900" s="108">
        <f>(AD900-AF900)/(D900*$K$1*2)%</f>
        <v>15.818181818181818</v>
      </c>
      <c r="AI900" s="108">
        <f>(AE900+AF900)/(D900*$K$1*2)%</f>
        <v>5.1818181818181817</v>
      </c>
    </row>
    <row r="901" spans="1:35" ht="15.75" hidden="1" customHeight="1">
      <c r="A901" s="107" t="s">
        <v>1144</v>
      </c>
      <c r="B901" s="226">
        <v>44098</v>
      </c>
      <c r="C901" s="230">
        <v>10329</v>
      </c>
      <c r="D901" s="107">
        <f>COUNTA(G901:Z901)*0.5</f>
        <v>5</v>
      </c>
      <c r="F901" s="107" t="s">
        <v>263</v>
      </c>
      <c r="G901" s="178" t="s">
        <v>326</v>
      </c>
      <c r="H901" s="178" t="s">
        <v>326</v>
      </c>
      <c r="I901" s="178">
        <v>44102</v>
      </c>
      <c r="J901" s="178">
        <v>44104</v>
      </c>
      <c r="K901" s="178">
        <v>44106</v>
      </c>
      <c r="L901" s="178">
        <v>44110</v>
      </c>
      <c r="M901" s="178">
        <v>44113</v>
      </c>
      <c r="N901" s="178">
        <v>44116</v>
      </c>
      <c r="O901" s="178">
        <v>44118</v>
      </c>
      <c r="P901" s="178">
        <v>44120</v>
      </c>
      <c r="AA901" s="166">
        <v>44123</v>
      </c>
      <c r="AG901" s="107">
        <f>COUNTIFS(F:F,"Culled",A:A,LEFT(A901,LEN(A901)-3)&amp;"*")/COUNTIF(A:A,LEFT(A901,LEN(A901)-3)&amp;"*")*100</f>
        <v>0</v>
      </c>
      <c r="AH901" s="108">
        <f>(AD901-AF901)/(D901*$K$1*2)%</f>
        <v>0</v>
      </c>
      <c r="AI901" s="108">
        <f>(AE901+AF901)/(D901*$K$1*2)%</f>
        <v>0</v>
      </c>
    </row>
    <row r="902" spans="1:35" ht="15.75" hidden="1" customHeight="1">
      <c r="A902" s="107" t="s">
        <v>1145</v>
      </c>
      <c r="B902" s="226">
        <v>44098</v>
      </c>
      <c r="C902" s="230">
        <v>10329</v>
      </c>
      <c r="D902" s="107">
        <f>COUNTA(G902:Z902)*0.5</f>
        <v>5.5</v>
      </c>
      <c r="F902" s="107" t="s">
        <v>263</v>
      </c>
      <c r="G902" s="178" t="s">
        <v>326</v>
      </c>
      <c r="H902" s="178" t="s">
        <v>326</v>
      </c>
      <c r="I902" s="178">
        <v>44102</v>
      </c>
      <c r="J902" s="178">
        <v>44104</v>
      </c>
      <c r="K902" s="178">
        <v>44106</v>
      </c>
      <c r="L902" s="178">
        <v>44110</v>
      </c>
      <c r="M902" s="178">
        <v>44113</v>
      </c>
      <c r="N902" s="178">
        <v>44116</v>
      </c>
      <c r="O902" s="178">
        <v>44118</v>
      </c>
      <c r="P902" s="178">
        <v>44120</v>
      </c>
      <c r="Q902" s="178">
        <v>44120</v>
      </c>
      <c r="AA902" s="166">
        <v>44123</v>
      </c>
      <c r="AG902" s="107">
        <f>COUNTIFS(F:F,"Culled",A:A,LEFT(A902,LEN(A902)-3)&amp;"*")/COUNTIF(A:A,LEFT(A902,LEN(A902)-3)&amp;"*")*100</f>
        <v>0</v>
      </c>
      <c r="AH902" s="108">
        <f>(AD902-AF902)/(D902*$K$1*2)%</f>
        <v>0</v>
      </c>
      <c r="AI902" s="108">
        <f>(AE902+AF902)/(D902*$K$1*2)%</f>
        <v>0</v>
      </c>
    </row>
    <row r="903" spans="1:35" ht="15.75" hidden="1" customHeight="1">
      <c r="A903" s="107" t="s">
        <v>1146</v>
      </c>
      <c r="B903" s="226">
        <v>44098</v>
      </c>
      <c r="C903" s="230">
        <v>10329</v>
      </c>
      <c r="D903" s="107">
        <f>COUNTA(G903:Z903)*0.5</f>
        <v>5.5</v>
      </c>
      <c r="F903" s="107" t="s">
        <v>263</v>
      </c>
      <c r="G903" s="178" t="s">
        <v>326</v>
      </c>
      <c r="H903" s="178" t="s">
        <v>326</v>
      </c>
      <c r="I903" s="178">
        <v>44102</v>
      </c>
      <c r="J903" s="178">
        <v>44104</v>
      </c>
      <c r="K903" s="178">
        <v>44106</v>
      </c>
      <c r="L903" s="178">
        <v>44110</v>
      </c>
      <c r="M903" s="178">
        <v>44113</v>
      </c>
      <c r="N903" s="178">
        <v>44116</v>
      </c>
      <c r="O903" s="178">
        <v>44118</v>
      </c>
      <c r="P903" s="178">
        <v>44120</v>
      </c>
      <c r="Q903" s="178">
        <v>44120</v>
      </c>
      <c r="AA903" s="166">
        <v>44123</v>
      </c>
      <c r="AG903" s="107">
        <f>COUNTIFS(F:F,"Culled",A:A,LEFT(A903,LEN(A903)-3)&amp;"*")/COUNTIF(A:A,LEFT(A903,LEN(A903)-3)&amp;"*")*100</f>
        <v>0</v>
      </c>
      <c r="AH903" s="108">
        <f>(AD903-AF903)/(D903*$K$1*2)%</f>
        <v>0</v>
      </c>
      <c r="AI903" s="108">
        <f>(AE903+AF903)/(D903*$K$1*2)%</f>
        <v>0</v>
      </c>
    </row>
    <row r="904" spans="1:35" ht="15.75" hidden="1" customHeight="1">
      <c r="A904" s="107" t="s">
        <v>1147</v>
      </c>
      <c r="B904" s="226">
        <v>44098</v>
      </c>
      <c r="C904" s="230">
        <v>10329</v>
      </c>
      <c r="D904" s="107">
        <f>COUNTA(G904:Z904)*0.5</f>
        <v>5</v>
      </c>
      <c r="F904" s="107" t="s">
        <v>263</v>
      </c>
      <c r="G904" s="178" t="s">
        <v>326</v>
      </c>
      <c r="H904" s="178" t="s">
        <v>326</v>
      </c>
      <c r="I904" s="178">
        <v>44102</v>
      </c>
      <c r="J904" s="178">
        <v>44104</v>
      </c>
      <c r="K904" s="178">
        <v>44106</v>
      </c>
      <c r="L904" s="178">
        <v>44110</v>
      </c>
      <c r="M904" s="178">
        <v>44113</v>
      </c>
      <c r="N904" s="178">
        <v>44116</v>
      </c>
      <c r="O904" s="178">
        <v>44118</v>
      </c>
      <c r="P904" s="178">
        <v>44120</v>
      </c>
      <c r="AA904" s="166">
        <v>44123</v>
      </c>
      <c r="AC904" s="107">
        <f>7/29*100</f>
        <v>24.137931034482758</v>
      </c>
      <c r="AD904" s="107">
        <v>1080.5</v>
      </c>
      <c r="AE904" s="107">
        <v>222.5</v>
      </c>
      <c r="AG904" s="107">
        <f>COUNTIFS(F:F,"Culled",A:A,LEFT(A904,LEN(A904)-3)&amp;"*")/COUNTIF(A:A,LEFT(A904,LEN(A904)-3)&amp;"*")*100</f>
        <v>0</v>
      </c>
      <c r="AH904" s="108">
        <f>(AD904-AF904)/(D904*$K$1*2)%</f>
        <v>19.645454545454545</v>
      </c>
      <c r="AI904" s="108">
        <f>(AE904+AF904)/(D904*$K$1*2)%</f>
        <v>4.0454545454545459</v>
      </c>
    </row>
    <row r="905" spans="1:35" ht="15.75" hidden="1" customHeight="1">
      <c r="A905" s="107" t="s">
        <v>1148</v>
      </c>
      <c r="B905" s="226">
        <v>44098</v>
      </c>
      <c r="C905" s="230">
        <v>10329</v>
      </c>
      <c r="D905" s="107">
        <f>COUNTA(G905:Z905)*0.5</f>
        <v>5</v>
      </c>
      <c r="F905" s="107" t="s">
        <v>263</v>
      </c>
      <c r="G905" s="178" t="s">
        <v>326</v>
      </c>
      <c r="H905" s="178" t="s">
        <v>326</v>
      </c>
      <c r="I905" s="178">
        <v>44102</v>
      </c>
      <c r="J905" s="178">
        <v>44104</v>
      </c>
      <c r="K905" s="178">
        <v>44106</v>
      </c>
      <c r="L905" s="178">
        <v>44110</v>
      </c>
      <c r="M905" s="178">
        <v>44113</v>
      </c>
      <c r="N905" s="178">
        <v>44116</v>
      </c>
      <c r="O905" s="178">
        <v>44118</v>
      </c>
      <c r="P905" s="178">
        <v>44120</v>
      </c>
      <c r="AA905" s="166">
        <v>44123</v>
      </c>
      <c r="AC905" s="107">
        <f>10/29*100</f>
        <v>34.482758620689658</v>
      </c>
      <c r="AD905" s="107">
        <v>916</v>
      </c>
      <c r="AE905" s="107">
        <v>223.5</v>
      </c>
      <c r="AG905" s="107">
        <f>COUNTIFS(F:F,"Culled",A:A,LEFT(A905,LEN(A905)-3)&amp;"*")/COUNTIF(A:A,LEFT(A905,LEN(A905)-3)&amp;"*")*100</f>
        <v>0</v>
      </c>
      <c r="AH905" s="108">
        <f>(AD905-AF905)/(D905*$K$1*2)%</f>
        <v>16.654545454545456</v>
      </c>
      <c r="AI905" s="108">
        <f>(AE905+AF905)/(D905*$K$1*2)%</f>
        <v>4.0636363636363635</v>
      </c>
    </row>
    <row r="906" spans="1:35" ht="15.75" hidden="1" customHeight="1">
      <c r="A906" s="107" t="s">
        <v>1149</v>
      </c>
      <c r="B906" s="226">
        <v>44098</v>
      </c>
      <c r="C906" s="230">
        <v>10329</v>
      </c>
      <c r="D906" s="107">
        <f>COUNTA(G906:Z906)*0.5</f>
        <v>5</v>
      </c>
      <c r="F906" s="107" t="s">
        <v>263</v>
      </c>
      <c r="G906" s="178" t="s">
        <v>326</v>
      </c>
      <c r="H906" s="178" t="s">
        <v>326</v>
      </c>
      <c r="I906" s="178">
        <v>44102</v>
      </c>
      <c r="J906" s="178">
        <v>44104</v>
      </c>
      <c r="K906" s="178">
        <v>44106</v>
      </c>
      <c r="L906" s="178">
        <v>44110</v>
      </c>
      <c r="M906" s="178">
        <v>44113</v>
      </c>
      <c r="N906" s="178">
        <v>44116</v>
      </c>
      <c r="O906" s="178">
        <v>44118</v>
      </c>
      <c r="P906" s="178">
        <v>44120</v>
      </c>
      <c r="AA906" s="166">
        <v>44123</v>
      </c>
      <c r="AG906" s="107">
        <f>COUNTIFS(F:F,"Culled",A:A,LEFT(A906,LEN(A906)-3)&amp;"*")/COUNTIF(A:A,LEFT(A906,LEN(A906)-3)&amp;"*")*100</f>
        <v>0</v>
      </c>
      <c r="AH906" s="108">
        <f>(AD906-AF906)/(D906*$K$1*2)%</f>
        <v>0</v>
      </c>
      <c r="AI906" s="108">
        <f>(AE906+AF906)/(D906*$K$1*2)%</f>
        <v>0</v>
      </c>
    </row>
    <row r="907" spans="1:35" ht="15.75" hidden="1" customHeight="1">
      <c r="A907" s="107" t="s">
        <v>1150</v>
      </c>
      <c r="B907" s="226">
        <v>44098</v>
      </c>
      <c r="C907" s="230">
        <v>10329</v>
      </c>
      <c r="D907" s="107">
        <f>COUNTA(G907:Z907)*0.5</f>
        <v>5.5</v>
      </c>
      <c r="F907" s="107" t="s">
        <v>263</v>
      </c>
      <c r="G907" s="178" t="s">
        <v>326</v>
      </c>
      <c r="H907" s="178" t="s">
        <v>326</v>
      </c>
      <c r="I907" s="178">
        <v>44102</v>
      </c>
      <c r="J907" s="178">
        <v>44104</v>
      </c>
      <c r="K907" s="178">
        <v>44106</v>
      </c>
      <c r="L907" s="178">
        <v>44110</v>
      </c>
      <c r="M907" s="178">
        <v>44113</v>
      </c>
      <c r="N907" s="178">
        <v>44116</v>
      </c>
      <c r="O907" s="178">
        <v>44118</v>
      </c>
      <c r="P907" s="178">
        <v>44120</v>
      </c>
      <c r="Q907" s="178">
        <v>44120</v>
      </c>
      <c r="AA907" s="166">
        <v>44123</v>
      </c>
      <c r="AC907" s="107">
        <f>8/21*100</f>
        <v>38.095238095238095</v>
      </c>
      <c r="AD907" s="107">
        <v>1065</v>
      </c>
      <c r="AE907" s="107">
        <v>227.5</v>
      </c>
      <c r="AG907" s="107">
        <f>COUNTIFS(F:F,"Culled",A:A,LEFT(A907,LEN(A907)-3)&amp;"*")/COUNTIF(A:A,LEFT(A907,LEN(A907)-3)&amp;"*")*100</f>
        <v>0</v>
      </c>
      <c r="AH907" s="108">
        <f>(AD907-AF907)/(D907*$K$1*2)%</f>
        <v>17.603305785123968</v>
      </c>
      <c r="AI907" s="108">
        <f>(AE907+AF907)/(D907*$K$1*2)%</f>
        <v>3.7603305785123968</v>
      </c>
    </row>
    <row r="908" spans="1:35" ht="15.75" hidden="1" customHeight="1">
      <c r="A908" s="107" t="s">
        <v>1151</v>
      </c>
      <c r="B908" s="226">
        <v>44110</v>
      </c>
      <c r="C908" s="230">
        <v>11097</v>
      </c>
      <c r="D908" s="107">
        <f>COUNTA(G908:Z908)*0.5</f>
        <v>2</v>
      </c>
      <c r="F908" s="107" t="s">
        <v>323</v>
      </c>
      <c r="G908" s="178">
        <v>44110</v>
      </c>
      <c r="H908" s="178">
        <v>44110</v>
      </c>
      <c r="I908" s="178">
        <v>44116</v>
      </c>
      <c r="J908" s="178">
        <v>44118</v>
      </c>
      <c r="AA908" s="166">
        <v>44123</v>
      </c>
      <c r="AH908" s="107"/>
    </row>
    <row r="909" spans="1:35" ht="15.75" hidden="1" customHeight="1">
      <c r="A909" s="107" t="s">
        <v>1152</v>
      </c>
      <c r="B909" s="226">
        <v>44110</v>
      </c>
      <c r="C909" s="230">
        <v>11097</v>
      </c>
      <c r="D909" s="107">
        <f>COUNTA(G909:Z909)*0.5</f>
        <v>2</v>
      </c>
      <c r="F909" s="107" t="s">
        <v>323</v>
      </c>
      <c r="G909" s="178">
        <v>44110</v>
      </c>
      <c r="H909" s="178">
        <v>44110</v>
      </c>
      <c r="I909" s="178">
        <v>44116</v>
      </c>
      <c r="J909" s="178">
        <v>44118</v>
      </c>
      <c r="AA909" s="166">
        <v>44123</v>
      </c>
      <c r="AH909" s="107"/>
    </row>
    <row r="910" spans="1:35" ht="15.75" hidden="1" customHeight="1">
      <c r="A910" s="107" t="s">
        <v>1153</v>
      </c>
      <c r="B910" s="226">
        <v>44110</v>
      </c>
      <c r="C910" s="230">
        <v>11097</v>
      </c>
      <c r="D910" s="107">
        <f>COUNTA(G910:Z910)*0.5</f>
        <v>2</v>
      </c>
      <c r="F910" s="107" t="s">
        <v>323</v>
      </c>
      <c r="G910" s="178">
        <v>44110</v>
      </c>
      <c r="H910" s="178">
        <v>44110</v>
      </c>
      <c r="I910" s="178">
        <v>44116</v>
      </c>
      <c r="J910" s="178">
        <v>44118</v>
      </c>
      <c r="AA910" s="166">
        <v>44123</v>
      </c>
      <c r="AH910" s="107"/>
    </row>
    <row r="911" spans="1:35" ht="15.75" hidden="1" customHeight="1">
      <c r="A911" s="107" t="s">
        <v>1154</v>
      </c>
      <c r="B911" s="226">
        <v>44110</v>
      </c>
      <c r="C911" s="230">
        <v>10389</v>
      </c>
      <c r="D911" s="107">
        <f>COUNTA(G911:Z911)*0.5</f>
        <v>2</v>
      </c>
      <c r="F911" s="107" t="s">
        <v>323</v>
      </c>
      <c r="G911" s="178">
        <v>44110</v>
      </c>
      <c r="H911" s="178">
        <v>44110</v>
      </c>
      <c r="I911" s="178">
        <v>44116</v>
      </c>
      <c r="J911" s="178">
        <v>44118</v>
      </c>
      <c r="AA911" s="166">
        <v>44123</v>
      </c>
      <c r="AH911" s="107"/>
    </row>
    <row r="912" spans="1:35" ht="15.75" hidden="1" customHeight="1">
      <c r="A912" s="107" t="s">
        <v>1155</v>
      </c>
      <c r="B912" s="226">
        <v>44110</v>
      </c>
      <c r="C912" s="230">
        <v>10389</v>
      </c>
      <c r="D912" s="107">
        <f>COUNTA(G912:Z912)*0.5</f>
        <v>2</v>
      </c>
      <c r="F912" s="107" t="s">
        <v>323</v>
      </c>
      <c r="G912" s="178">
        <v>44110</v>
      </c>
      <c r="H912" s="178">
        <v>44110</v>
      </c>
      <c r="I912" s="178">
        <v>44116</v>
      </c>
      <c r="J912" s="178">
        <v>44118</v>
      </c>
      <c r="AA912" s="166">
        <v>44123</v>
      </c>
      <c r="AH912" s="107"/>
    </row>
    <row r="913" spans="1:35" ht="15.75" hidden="1" customHeight="1">
      <c r="A913" s="107" t="s">
        <v>1156</v>
      </c>
      <c r="B913" s="226">
        <v>44110</v>
      </c>
      <c r="C913" s="230">
        <v>10389</v>
      </c>
      <c r="D913" s="107">
        <f>COUNTA(G913:Z913)*0.5</f>
        <v>2</v>
      </c>
      <c r="F913" s="107" t="s">
        <v>323</v>
      </c>
      <c r="G913" s="178">
        <v>44110</v>
      </c>
      <c r="H913" s="178">
        <v>44110</v>
      </c>
      <c r="I913" s="178">
        <v>44116</v>
      </c>
      <c r="J913" s="178">
        <v>44118</v>
      </c>
      <c r="AA913" s="166">
        <v>44123</v>
      </c>
      <c r="AH913" s="107"/>
    </row>
    <row r="914" spans="1:35" ht="15.75" hidden="1" customHeight="1">
      <c r="A914" s="107" t="s">
        <v>1157</v>
      </c>
      <c r="B914" s="226">
        <v>44110</v>
      </c>
      <c r="C914" s="230">
        <v>10389</v>
      </c>
      <c r="D914" s="107">
        <f>COUNTA(G914:Z914)*0.5</f>
        <v>2</v>
      </c>
      <c r="F914" s="107" t="s">
        <v>323</v>
      </c>
      <c r="G914" s="178">
        <v>44110</v>
      </c>
      <c r="H914" s="178">
        <v>44110</v>
      </c>
      <c r="I914" s="178">
        <v>44116</v>
      </c>
      <c r="J914" s="178">
        <v>44118</v>
      </c>
      <c r="AA914" s="166">
        <v>44123</v>
      </c>
      <c r="AH914" s="107"/>
    </row>
    <row r="915" spans="1:35" ht="15.75" hidden="1" customHeight="1">
      <c r="A915" s="107" t="s">
        <v>1158</v>
      </c>
      <c r="B915" s="226">
        <v>44113</v>
      </c>
      <c r="C915" s="230">
        <v>9985</v>
      </c>
      <c r="D915" s="107">
        <f>COUNTA(G915:Z915)*0.5</f>
        <v>4.5</v>
      </c>
      <c r="F915" s="107" t="s">
        <v>263</v>
      </c>
      <c r="G915" s="178">
        <v>44113</v>
      </c>
      <c r="H915" s="178">
        <v>44113</v>
      </c>
      <c r="I915" s="178">
        <v>44113</v>
      </c>
      <c r="J915" s="178">
        <v>44113</v>
      </c>
      <c r="K915" s="178">
        <v>44113</v>
      </c>
      <c r="L915" s="178">
        <v>44113</v>
      </c>
      <c r="M915" s="178">
        <v>44113</v>
      </c>
      <c r="N915" s="178">
        <v>44123</v>
      </c>
      <c r="O915" s="178">
        <v>44123</v>
      </c>
      <c r="AA915" s="166">
        <v>44137</v>
      </c>
      <c r="AC915" s="107">
        <f>14/15*100</f>
        <v>93.333333333333329</v>
      </c>
      <c r="AD915" s="107">
        <v>836</v>
      </c>
      <c r="AE915" s="107">
        <v>207.5</v>
      </c>
      <c r="AG915" s="107">
        <f t="shared" ref="AG915:AG920" si="3">COUNTIFS(F:F,"Culled",A:A,LEFT(A915,LEN(A915)-3)&amp;"*")/COUNTIF(A:A,LEFT(A915,LEN(A915)-3)&amp;"*")*100</f>
        <v>0</v>
      </c>
      <c r="AH915" s="108">
        <f>(AD915-AF915)/(D915*$K$1*2)%</f>
        <v>16.888888888888889</v>
      </c>
      <c r="AI915" s="108">
        <f>(AE915+AF915)/(D915*$K$1*2)%</f>
        <v>4.191919191919192</v>
      </c>
    </row>
    <row r="916" spans="1:35" ht="15.75" hidden="1" customHeight="1">
      <c r="A916" s="107" t="s">
        <v>1159</v>
      </c>
      <c r="B916" s="226">
        <v>44113</v>
      </c>
      <c r="C916" s="230">
        <v>9985</v>
      </c>
      <c r="D916" s="107">
        <f>COUNTA(G916:Z916)*0.5</f>
        <v>4.5</v>
      </c>
      <c r="F916" s="107" t="s">
        <v>263</v>
      </c>
      <c r="G916" s="178">
        <v>44113</v>
      </c>
      <c r="H916" s="178">
        <v>44113</v>
      </c>
      <c r="I916" s="178">
        <v>44113</v>
      </c>
      <c r="J916" s="178">
        <v>44113</v>
      </c>
      <c r="K916" s="178">
        <v>44113</v>
      </c>
      <c r="L916" s="178">
        <v>44113</v>
      </c>
      <c r="M916" s="178">
        <v>44113</v>
      </c>
      <c r="N916" s="178">
        <v>44123</v>
      </c>
      <c r="O916" s="178">
        <v>44123</v>
      </c>
      <c r="AA916" s="166">
        <v>44137</v>
      </c>
      <c r="AG916" s="107">
        <f t="shared" si="3"/>
        <v>0</v>
      </c>
      <c r="AH916" s="108">
        <f>(AD916-AF916)/(D916*$K$1*2)%</f>
        <v>0</v>
      </c>
      <c r="AI916" s="108">
        <f>(AE916+AF916)/(D916*$K$1*2)%</f>
        <v>0</v>
      </c>
    </row>
    <row r="917" spans="1:35" ht="15.75" hidden="1" customHeight="1">
      <c r="A917" s="107" t="s">
        <v>1160</v>
      </c>
      <c r="B917" s="226">
        <v>44113</v>
      </c>
      <c r="C917" s="230">
        <v>9985</v>
      </c>
      <c r="D917" s="107">
        <f>COUNTA(G917:Z917)*0.5</f>
        <v>4.5</v>
      </c>
      <c r="F917" s="107" t="s">
        <v>263</v>
      </c>
      <c r="G917" s="178">
        <v>44113</v>
      </c>
      <c r="H917" s="178">
        <v>44113</v>
      </c>
      <c r="I917" s="178">
        <v>44113</v>
      </c>
      <c r="J917" s="178">
        <v>44113</v>
      </c>
      <c r="K917" s="178">
        <v>44113</v>
      </c>
      <c r="L917" s="178">
        <v>44113</v>
      </c>
      <c r="M917" s="178">
        <v>44113</v>
      </c>
      <c r="N917" s="178">
        <v>44123</v>
      </c>
      <c r="O917" s="178">
        <v>44123</v>
      </c>
      <c r="AA917" s="166">
        <v>44137</v>
      </c>
      <c r="AG917" s="107">
        <f t="shared" si="3"/>
        <v>0</v>
      </c>
      <c r="AH917" s="108">
        <f>(AD917-AF917)/(D917*$K$1*2)%</f>
        <v>0</v>
      </c>
      <c r="AI917" s="108">
        <f>(AE917+AF917)/(D917*$K$1*2)%</f>
        <v>0</v>
      </c>
    </row>
    <row r="918" spans="1:35" ht="15.75" hidden="1" customHeight="1">
      <c r="A918" s="107" t="s">
        <v>1161</v>
      </c>
      <c r="B918" s="226">
        <v>44113</v>
      </c>
      <c r="C918" s="230">
        <v>9985</v>
      </c>
      <c r="D918" s="107">
        <f>COUNTA(G918:Z918)*0.5</f>
        <v>4.5</v>
      </c>
      <c r="F918" s="107" t="s">
        <v>263</v>
      </c>
      <c r="G918" s="178">
        <v>44113</v>
      </c>
      <c r="H918" s="178">
        <v>44113</v>
      </c>
      <c r="I918" s="178">
        <v>44113</v>
      </c>
      <c r="J918" s="178">
        <v>44113</v>
      </c>
      <c r="K918" s="178">
        <v>44113</v>
      </c>
      <c r="L918" s="178">
        <v>44113</v>
      </c>
      <c r="M918" s="178">
        <v>44113</v>
      </c>
      <c r="N918" s="178">
        <v>44123</v>
      </c>
      <c r="O918" s="178">
        <v>44123</v>
      </c>
      <c r="AA918" s="166">
        <v>44137</v>
      </c>
      <c r="AC918" s="107">
        <f>10/22*100</f>
        <v>45.454545454545453</v>
      </c>
      <c r="AD918" s="107">
        <v>853</v>
      </c>
      <c r="AE918" s="107">
        <v>210</v>
      </c>
      <c r="AG918" s="107">
        <f t="shared" si="3"/>
        <v>0</v>
      </c>
      <c r="AH918" s="108">
        <f>(AD918-AF918)/(D918*$K$1*2)%</f>
        <v>17.232323232323232</v>
      </c>
      <c r="AI918" s="108">
        <f>(AE918+AF918)/(D918*$K$1*2)%</f>
        <v>4.2424242424242422</v>
      </c>
    </row>
    <row r="919" spans="1:35" ht="15.75" hidden="1" customHeight="1">
      <c r="A919" s="107" t="s">
        <v>1162</v>
      </c>
      <c r="B919" s="226">
        <v>44113</v>
      </c>
      <c r="C919" s="230">
        <v>9985</v>
      </c>
      <c r="D919" s="107">
        <f>COUNTA(G919:Z919)*0.5</f>
        <v>5</v>
      </c>
      <c r="F919" s="107" t="s">
        <v>263</v>
      </c>
      <c r="G919" s="178">
        <v>44113</v>
      </c>
      <c r="H919" s="178">
        <v>44113</v>
      </c>
      <c r="I919" s="178">
        <v>44113</v>
      </c>
      <c r="J919" s="178">
        <v>44113</v>
      </c>
      <c r="K919" s="178">
        <v>44113</v>
      </c>
      <c r="L919" s="178">
        <v>44113</v>
      </c>
      <c r="M919" s="178">
        <v>44113</v>
      </c>
      <c r="N919" s="178">
        <v>44123</v>
      </c>
      <c r="O919" s="178">
        <v>44123</v>
      </c>
      <c r="P919" s="178">
        <v>44127</v>
      </c>
      <c r="AA919" s="166">
        <v>44137</v>
      </c>
      <c r="AC919" s="107">
        <f>18/25*100</f>
        <v>72</v>
      </c>
      <c r="AD919" s="107">
        <v>952.5</v>
      </c>
      <c r="AE919" s="107">
        <v>209</v>
      </c>
      <c r="AG919" s="107">
        <f t="shared" si="3"/>
        <v>0</v>
      </c>
      <c r="AH919" s="108">
        <f>(AD919-AF919)/(D919*$K$1*2)%</f>
        <v>17.318181818181817</v>
      </c>
      <c r="AI919" s="108">
        <f>(AE919+AF919)/(D919*$K$1*2)%</f>
        <v>3.8</v>
      </c>
    </row>
    <row r="920" spans="1:35" ht="15.75" hidden="1" customHeight="1">
      <c r="A920" s="107" t="s">
        <v>1163</v>
      </c>
      <c r="B920" s="226">
        <v>44116</v>
      </c>
      <c r="C920" s="230" t="s">
        <v>23</v>
      </c>
      <c r="D920" s="107">
        <f>COUNTA(G920:Z920)*0.5</f>
        <v>8.5</v>
      </c>
      <c r="F920" s="107" t="s">
        <v>263</v>
      </c>
      <c r="G920" s="178">
        <v>44116</v>
      </c>
      <c r="H920" s="178">
        <v>44116</v>
      </c>
      <c r="I920" s="178">
        <v>44120</v>
      </c>
      <c r="J920" s="178">
        <v>44120</v>
      </c>
      <c r="K920" s="178">
        <v>44125</v>
      </c>
      <c r="L920" s="178">
        <v>44125</v>
      </c>
      <c r="M920" s="178">
        <v>44127</v>
      </c>
      <c r="N920" s="178">
        <v>44127</v>
      </c>
      <c r="O920" s="178">
        <v>44127</v>
      </c>
      <c r="P920" s="178">
        <v>44130</v>
      </c>
      <c r="Q920" s="178">
        <v>44130</v>
      </c>
      <c r="R920" s="178">
        <v>44132</v>
      </c>
      <c r="S920" s="178">
        <v>44132</v>
      </c>
      <c r="T920" s="178">
        <v>44134</v>
      </c>
      <c r="U920" s="178">
        <v>44137</v>
      </c>
      <c r="V920" s="178">
        <v>44139</v>
      </c>
      <c r="W920" s="178">
        <v>44146</v>
      </c>
      <c r="AA920" s="166">
        <v>44155</v>
      </c>
      <c r="AG920" s="107">
        <f t="shared" si="3"/>
        <v>0</v>
      </c>
      <c r="AH920" s="108">
        <f>(AD920-AF920)/(D920*$K$1*2)%</f>
        <v>0</v>
      </c>
      <c r="AI920" s="108">
        <f>(AE920+AF920)/(D920*$K$1*2)%</f>
        <v>0</v>
      </c>
    </row>
    <row r="921" spans="1:35" ht="15.75" hidden="1" customHeight="1">
      <c r="A921" s="107" t="s">
        <v>1164</v>
      </c>
      <c r="B921" s="226">
        <v>44098</v>
      </c>
      <c r="C921" s="230">
        <v>10187</v>
      </c>
      <c r="D921" s="107">
        <f>COUNTA(G921:Z921)*0.5</f>
        <v>4.5</v>
      </c>
      <c r="F921" s="107" t="s">
        <v>263</v>
      </c>
      <c r="G921" s="178" t="s">
        <v>326</v>
      </c>
      <c r="H921" s="178" t="s">
        <v>326</v>
      </c>
      <c r="I921" s="178">
        <v>44102</v>
      </c>
      <c r="J921" s="178">
        <v>44104</v>
      </c>
      <c r="K921" s="178">
        <v>44106</v>
      </c>
      <c r="L921" s="178">
        <v>44110</v>
      </c>
      <c r="M921" s="178">
        <v>44113</v>
      </c>
      <c r="N921" s="178">
        <v>44116</v>
      </c>
      <c r="O921" s="178">
        <v>44118</v>
      </c>
      <c r="AA921" s="166">
        <v>44123</v>
      </c>
      <c r="AC921" s="107">
        <f>17/24*100</f>
        <v>70.833333333333343</v>
      </c>
      <c r="AD921" s="107">
        <v>977</v>
      </c>
      <c r="AE921" s="107">
        <v>263</v>
      </c>
      <c r="AG921" s="107">
        <f>COUNTIFS(F:F,"Culled",A:A,LEFT(A921,LEN(A921)-3)&amp;"*")/COUNTIF(A:A,LEFT(A921,LEN(A921)-3)&amp;"*")*100</f>
        <v>0</v>
      </c>
      <c r="AH921" s="108">
        <f>(AD921-AF921)/(D921*$K$1*2)%</f>
        <v>19.737373737373737</v>
      </c>
      <c r="AI921" s="108">
        <f>(AE921+AF921)/(D921*$K$1*2)%</f>
        <v>5.3131313131313131</v>
      </c>
    </row>
    <row r="922" spans="1:35" ht="15.75" hidden="1" customHeight="1">
      <c r="A922" s="107" t="s">
        <v>1165</v>
      </c>
      <c r="B922" s="226">
        <v>44098</v>
      </c>
      <c r="C922" s="230">
        <v>10187</v>
      </c>
      <c r="D922" s="107">
        <f>COUNTA(G922:Z922)*0.5</f>
        <v>5</v>
      </c>
      <c r="F922" s="107" t="s">
        <v>263</v>
      </c>
      <c r="G922" s="178" t="s">
        <v>326</v>
      </c>
      <c r="H922" s="178" t="s">
        <v>326</v>
      </c>
      <c r="I922" s="178">
        <v>44102</v>
      </c>
      <c r="J922" s="178">
        <v>44104</v>
      </c>
      <c r="K922" s="178">
        <v>44106</v>
      </c>
      <c r="L922" s="178">
        <v>44110</v>
      </c>
      <c r="M922" s="178">
        <v>44113</v>
      </c>
      <c r="N922" s="178">
        <v>44116</v>
      </c>
      <c r="O922" s="178">
        <v>44118</v>
      </c>
      <c r="P922" s="178">
        <v>44120</v>
      </c>
      <c r="AA922" s="166">
        <v>44123</v>
      </c>
      <c r="AC922" s="107">
        <f>15/28*100</f>
        <v>53.571428571428569</v>
      </c>
      <c r="AD922" s="107">
        <v>927</v>
      </c>
      <c r="AE922" s="107">
        <v>218.5</v>
      </c>
      <c r="AG922" s="107">
        <f>COUNTIFS(F:F,"Culled",A:A,LEFT(A922,LEN(A922)-3)&amp;"*")/COUNTIF(A:A,LEFT(A922,LEN(A922)-3)&amp;"*")*100</f>
        <v>0</v>
      </c>
      <c r="AH922" s="108">
        <f>(AD922-AF922)/(D922*$K$1*2)%</f>
        <v>16.854545454545455</v>
      </c>
      <c r="AI922" s="108">
        <f>(AE922+AF922)/(D922*$K$1*2)%</f>
        <v>3.9727272727272727</v>
      </c>
    </row>
    <row r="923" spans="1:35" ht="15.75" hidden="1" customHeight="1">
      <c r="A923" s="107" t="s">
        <v>1166</v>
      </c>
      <c r="B923" s="226">
        <v>44098</v>
      </c>
      <c r="C923" s="230">
        <v>10187</v>
      </c>
      <c r="D923" s="107">
        <f>COUNTA(G923:Z923)*0.5</f>
        <v>4.5</v>
      </c>
      <c r="F923" s="107" t="s">
        <v>263</v>
      </c>
      <c r="G923" s="178" t="s">
        <v>326</v>
      </c>
      <c r="H923" s="178" t="s">
        <v>326</v>
      </c>
      <c r="I923" s="178">
        <v>44102</v>
      </c>
      <c r="J923" s="178">
        <v>44104</v>
      </c>
      <c r="K923" s="178">
        <v>44106</v>
      </c>
      <c r="L923" s="178">
        <v>44110</v>
      </c>
      <c r="M923" s="178">
        <v>44113</v>
      </c>
      <c r="N923" s="178">
        <v>44116</v>
      </c>
      <c r="O923" s="178">
        <v>44120</v>
      </c>
      <c r="AA923" s="166">
        <v>44123</v>
      </c>
      <c r="AG923" s="107">
        <f>COUNTIFS(F:F,"Culled",A:A,LEFT(A923,LEN(A923)-3)&amp;"*")/COUNTIF(A:A,LEFT(A923,LEN(A923)-3)&amp;"*")*100</f>
        <v>0</v>
      </c>
      <c r="AH923" s="108">
        <f>(AD923-AF923)/(D923*$K$1*2)%</f>
        <v>0</v>
      </c>
      <c r="AI923" s="108">
        <f>(AE923+AF923)/(D923*$K$1*2)%</f>
        <v>0</v>
      </c>
    </row>
    <row r="924" spans="1:35" ht="15.75" hidden="1" customHeight="1">
      <c r="A924" s="107" t="s">
        <v>1167</v>
      </c>
      <c r="B924" s="226">
        <v>44098</v>
      </c>
      <c r="C924" s="230">
        <v>10187</v>
      </c>
      <c r="D924" s="107">
        <f>COUNTA(G924:Z924)*0.5</f>
        <v>4</v>
      </c>
      <c r="F924" s="107" t="s">
        <v>263</v>
      </c>
      <c r="G924" s="178" t="s">
        <v>326</v>
      </c>
      <c r="H924" s="178" t="s">
        <v>326</v>
      </c>
      <c r="I924" s="178">
        <v>44102</v>
      </c>
      <c r="J924" s="178">
        <v>44104</v>
      </c>
      <c r="K924" s="178">
        <v>44106</v>
      </c>
      <c r="L924" s="178">
        <v>44110</v>
      </c>
      <c r="M924" s="178">
        <v>44113</v>
      </c>
      <c r="N924" s="178">
        <v>44116</v>
      </c>
      <c r="AA924" s="166">
        <v>44123</v>
      </c>
      <c r="AC924" s="107">
        <f>30/33*100</f>
        <v>90.909090909090907</v>
      </c>
      <c r="AD924" s="107">
        <v>702</v>
      </c>
      <c r="AE924" s="107">
        <v>191.5</v>
      </c>
      <c r="AG924" s="107">
        <f>COUNTIFS(F:F,"Culled",A:A,LEFT(A924,LEN(A924)-3)&amp;"*")/COUNTIF(A:A,LEFT(A924,LEN(A924)-3)&amp;"*")*100</f>
        <v>0</v>
      </c>
      <c r="AH924" s="108">
        <f>(AD924-AF924)/(D924*$K$1*2)%</f>
        <v>15.954545454545455</v>
      </c>
      <c r="AI924" s="108">
        <f>(AE924+AF924)/(D924*$K$1*2)%</f>
        <v>4.3522727272727275</v>
      </c>
    </row>
    <row r="925" spans="1:35" ht="15.75" hidden="1" customHeight="1">
      <c r="A925" s="107" t="s">
        <v>1168</v>
      </c>
      <c r="B925" s="226">
        <v>44098</v>
      </c>
      <c r="C925" s="230">
        <v>10187</v>
      </c>
      <c r="D925" s="107">
        <f>COUNTA(G925:Z925)*0.5</f>
        <v>4.5</v>
      </c>
      <c r="F925" s="107" t="s">
        <v>263</v>
      </c>
      <c r="G925" s="178" t="s">
        <v>326</v>
      </c>
      <c r="H925" s="178" t="s">
        <v>326</v>
      </c>
      <c r="I925" s="178">
        <v>44102</v>
      </c>
      <c r="J925" s="178">
        <v>44104</v>
      </c>
      <c r="K925" s="178">
        <v>44106</v>
      </c>
      <c r="L925" s="178">
        <v>44110</v>
      </c>
      <c r="M925" s="178">
        <v>44113</v>
      </c>
      <c r="N925" s="178">
        <v>44116</v>
      </c>
      <c r="O925" s="178">
        <v>44120</v>
      </c>
      <c r="AA925" s="166">
        <v>44123</v>
      </c>
      <c r="AG925" s="107">
        <f>COUNTIFS(F:F,"Culled",A:A,LEFT(A925,LEN(A925)-3)&amp;"*")/COUNTIF(A:A,LEFT(A925,LEN(A925)-3)&amp;"*")*100</f>
        <v>0</v>
      </c>
      <c r="AH925" s="108">
        <f>(AD925-AF925)/(D925*$K$1*2)%</f>
        <v>0</v>
      </c>
      <c r="AI925" s="108">
        <f>(AE925+AF925)/(D925*$K$1*2)%</f>
        <v>0</v>
      </c>
    </row>
    <row r="926" spans="1:35" ht="15.75" hidden="1" customHeight="1">
      <c r="A926" s="240" t="s">
        <v>1169</v>
      </c>
      <c r="B926" s="226">
        <v>44118</v>
      </c>
      <c r="C926" s="237">
        <v>12550.12</v>
      </c>
      <c r="D926" s="107">
        <f>COUNTA(G926:Z926)*0.5</f>
        <v>6.5</v>
      </c>
      <c r="F926" s="107" t="s">
        <v>263</v>
      </c>
      <c r="G926" s="178">
        <v>44118</v>
      </c>
      <c r="H926" s="178">
        <v>44118</v>
      </c>
      <c r="I926" s="178">
        <v>44118</v>
      </c>
      <c r="J926" s="178">
        <v>44118</v>
      </c>
      <c r="K926" s="178">
        <v>44118</v>
      </c>
      <c r="L926" s="178">
        <v>44118</v>
      </c>
      <c r="M926" s="178">
        <v>44118</v>
      </c>
      <c r="N926" s="178">
        <v>44125</v>
      </c>
      <c r="O926" s="178">
        <v>44127</v>
      </c>
      <c r="P926" s="178">
        <v>44127</v>
      </c>
      <c r="Q926" s="178">
        <v>44132</v>
      </c>
      <c r="R926" s="178">
        <v>44134</v>
      </c>
      <c r="S926" s="178">
        <v>44137</v>
      </c>
      <c r="AA926" s="166">
        <v>44141</v>
      </c>
      <c r="AC926" s="107">
        <f>5/11*100</f>
        <v>45.454545454545453</v>
      </c>
      <c r="AD926" s="107">
        <v>794</v>
      </c>
      <c r="AE926" s="107">
        <v>200.5</v>
      </c>
      <c r="AG926" s="107">
        <f t="shared" ref="AG926:AG983" si="4">COUNTIFS(F:F,"Culled",A:A,LEFT(A926,LEN(A926)-3)&amp;"*")/COUNTIF(A:A,LEFT(A926,LEN(A926)-3)&amp;"*")*100</f>
        <v>0</v>
      </c>
      <c r="AH926" s="108">
        <f>(AD926-AF926)/(D926*$K$1*2)%</f>
        <v>11.104895104895105</v>
      </c>
      <c r="AI926" s="108">
        <f>(AE926+AF926)/(D926*$K$1*2)%</f>
        <v>2.8041958041958042</v>
      </c>
    </row>
    <row r="927" spans="1:35" ht="15.75" hidden="1" customHeight="1">
      <c r="A927" s="240" t="s">
        <v>1170</v>
      </c>
      <c r="B927" s="226">
        <v>44118</v>
      </c>
      <c r="C927" s="230">
        <v>12550.12</v>
      </c>
      <c r="D927" s="107">
        <f>COUNTA(G927:Z927)*0.5</f>
        <v>6.5</v>
      </c>
      <c r="F927" s="107" t="s">
        <v>263</v>
      </c>
      <c r="G927" s="178">
        <v>44118</v>
      </c>
      <c r="H927" s="178">
        <v>44118</v>
      </c>
      <c r="I927" s="178">
        <v>44118</v>
      </c>
      <c r="J927" s="178">
        <v>44118</v>
      </c>
      <c r="K927" s="178">
        <v>44118</v>
      </c>
      <c r="L927" s="178">
        <v>44118</v>
      </c>
      <c r="M927" s="178">
        <v>44118</v>
      </c>
      <c r="N927" s="178">
        <v>44125</v>
      </c>
      <c r="O927" s="178">
        <v>44127</v>
      </c>
      <c r="P927" s="178">
        <v>44127</v>
      </c>
      <c r="Q927" s="178">
        <v>44132</v>
      </c>
      <c r="R927" s="178">
        <v>44134</v>
      </c>
      <c r="S927" s="178">
        <v>44137</v>
      </c>
      <c r="AA927" s="166">
        <v>44141</v>
      </c>
      <c r="AC927" s="107">
        <f>19/21*100</f>
        <v>90.476190476190482</v>
      </c>
      <c r="AD927" s="107">
        <v>717</v>
      </c>
      <c r="AE927" s="107">
        <v>188.5</v>
      </c>
      <c r="AG927" s="107">
        <f t="shared" si="4"/>
        <v>0</v>
      </c>
      <c r="AH927" s="108">
        <f>(AD927-AF927)/(D927*$K$1*2)%</f>
        <v>10.027972027972028</v>
      </c>
      <c r="AI927" s="108">
        <f>(AE927+AF927)/(D927*$K$1*2)%</f>
        <v>2.6363636363636362</v>
      </c>
    </row>
    <row r="928" spans="1:35" ht="15.75" hidden="1" customHeight="1">
      <c r="A928" s="240" t="s">
        <v>1171</v>
      </c>
      <c r="B928" s="226">
        <v>44118</v>
      </c>
      <c r="C928" s="230">
        <v>12550.12</v>
      </c>
      <c r="D928" s="107">
        <f>COUNTA(G928:Z928)*0.5</f>
        <v>6.5</v>
      </c>
      <c r="F928" s="107" t="s">
        <v>263</v>
      </c>
      <c r="G928" s="178">
        <v>44118</v>
      </c>
      <c r="H928" s="178">
        <v>44118</v>
      </c>
      <c r="I928" s="178">
        <v>44118</v>
      </c>
      <c r="J928" s="178">
        <v>44118</v>
      </c>
      <c r="K928" s="178">
        <v>44118</v>
      </c>
      <c r="L928" s="178">
        <v>44118</v>
      </c>
      <c r="M928" s="178">
        <v>44118</v>
      </c>
      <c r="N928" s="178">
        <v>44125</v>
      </c>
      <c r="O928" s="178">
        <v>44127</v>
      </c>
      <c r="P928" s="178">
        <v>44127</v>
      </c>
      <c r="Q928" s="178">
        <v>44132</v>
      </c>
      <c r="R928" s="178">
        <v>44134</v>
      </c>
      <c r="S928" s="178">
        <v>44137</v>
      </c>
      <c r="AA928" s="166">
        <v>44141</v>
      </c>
      <c r="AG928" s="107">
        <f t="shared" si="4"/>
        <v>0</v>
      </c>
      <c r="AH928" s="108">
        <f>(AD928-AF928)/(D928*$K$1*2)%</f>
        <v>0</v>
      </c>
      <c r="AI928" s="108">
        <f>(AE928+AF928)/(D928*$K$1*2)%</f>
        <v>0</v>
      </c>
    </row>
    <row r="929" spans="1:35" ht="15.75" hidden="1" customHeight="1">
      <c r="A929" s="240" t="s">
        <v>1172</v>
      </c>
      <c r="B929" s="226">
        <v>44118</v>
      </c>
      <c r="C929" s="230">
        <v>11234.42</v>
      </c>
      <c r="D929" s="107">
        <f>COUNTA(G929:Z929)*0.5</f>
        <v>6.5</v>
      </c>
      <c r="F929" s="107" t="s">
        <v>263</v>
      </c>
      <c r="G929" s="178">
        <v>44118</v>
      </c>
      <c r="H929" s="178">
        <v>44118</v>
      </c>
      <c r="I929" s="178">
        <v>44118</v>
      </c>
      <c r="J929" s="178">
        <v>44118</v>
      </c>
      <c r="K929" s="178">
        <v>44118</v>
      </c>
      <c r="L929" s="178">
        <v>44118</v>
      </c>
      <c r="M929" s="178">
        <v>44118</v>
      </c>
      <c r="N929" s="178">
        <v>44125</v>
      </c>
      <c r="O929" s="178">
        <v>44127</v>
      </c>
      <c r="P929" s="178">
        <v>44127</v>
      </c>
      <c r="Q929" s="178">
        <v>44132</v>
      </c>
      <c r="R929" s="178">
        <v>44134</v>
      </c>
      <c r="S929" s="178">
        <v>44137</v>
      </c>
      <c r="AA929" s="166">
        <v>44141</v>
      </c>
      <c r="AC929" s="107">
        <f>17/30*100</f>
        <v>56.666666666666664</v>
      </c>
      <c r="AD929" s="107">
        <v>734.5</v>
      </c>
      <c r="AE929" s="107">
        <v>181.5</v>
      </c>
      <c r="AG929" s="107">
        <f t="shared" si="4"/>
        <v>0</v>
      </c>
      <c r="AH929" s="108">
        <f>(AD929-AF929)/(D929*$K$1*2)%</f>
        <v>10.272727272727273</v>
      </c>
      <c r="AI929" s="108">
        <f>(AE929+AF929)/(D929*$K$1*2)%</f>
        <v>2.5384615384615383</v>
      </c>
    </row>
    <row r="930" spans="1:35" ht="15.75" hidden="1" customHeight="1">
      <c r="A930" s="240" t="s">
        <v>1173</v>
      </c>
      <c r="B930" s="226">
        <v>44118</v>
      </c>
      <c r="C930" s="230">
        <v>11234.42</v>
      </c>
      <c r="D930" s="107">
        <f>COUNTA(G930:Z930)*0.5</f>
        <v>6.5</v>
      </c>
      <c r="F930" s="107" t="s">
        <v>263</v>
      </c>
      <c r="G930" s="178">
        <v>44118</v>
      </c>
      <c r="H930" s="178">
        <v>44118</v>
      </c>
      <c r="I930" s="178">
        <v>44118</v>
      </c>
      <c r="J930" s="178">
        <v>44118</v>
      </c>
      <c r="K930" s="178">
        <v>44118</v>
      </c>
      <c r="L930" s="178">
        <v>44118</v>
      </c>
      <c r="M930" s="178">
        <v>44118</v>
      </c>
      <c r="N930" s="178">
        <v>44125</v>
      </c>
      <c r="O930" s="178">
        <v>44127</v>
      </c>
      <c r="P930" s="178">
        <v>44127</v>
      </c>
      <c r="Q930" s="178">
        <v>44132</v>
      </c>
      <c r="R930" s="178">
        <v>44134</v>
      </c>
      <c r="S930" s="178">
        <v>44137</v>
      </c>
      <c r="AA930" s="166">
        <v>44141</v>
      </c>
      <c r="AG930" s="107">
        <f t="shared" si="4"/>
        <v>0</v>
      </c>
      <c r="AH930" s="108">
        <f>(AD930-AF930)/(D930*$K$1*2)%</f>
        <v>0</v>
      </c>
      <c r="AI930" s="108">
        <f>(AE930+AF930)/(D930*$K$1*2)%</f>
        <v>0</v>
      </c>
    </row>
    <row r="931" spans="1:35" ht="15.75" hidden="1" customHeight="1">
      <c r="A931" s="240" t="s">
        <v>1174</v>
      </c>
      <c r="B931" s="226">
        <v>44118</v>
      </c>
      <c r="C931" s="230">
        <v>11234.42</v>
      </c>
      <c r="D931" s="107">
        <f>COUNTA(G931:Z931)*0.5</f>
        <v>6.5</v>
      </c>
      <c r="F931" s="107" t="s">
        <v>263</v>
      </c>
      <c r="G931" s="178">
        <v>44118</v>
      </c>
      <c r="H931" s="178">
        <v>44118</v>
      </c>
      <c r="I931" s="178">
        <v>44118</v>
      </c>
      <c r="J931" s="178">
        <v>44118</v>
      </c>
      <c r="K931" s="178">
        <v>44118</v>
      </c>
      <c r="L931" s="178">
        <v>44118</v>
      </c>
      <c r="M931" s="178">
        <v>44118</v>
      </c>
      <c r="N931" s="178">
        <v>44125</v>
      </c>
      <c r="O931" s="178">
        <v>44127</v>
      </c>
      <c r="P931" s="178">
        <v>44127</v>
      </c>
      <c r="Q931" s="178">
        <v>44132</v>
      </c>
      <c r="R931" s="178">
        <v>44134</v>
      </c>
      <c r="S931" s="178">
        <v>44137</v>
      </c>
      <c r="AA931" s="166">
        <v>44141</v>
      </c>
      <c r="AG931" s="107">
        <f t="shared" si="4"/>
        <v>0</v>
      </c>
      <c r="AH931" s="108">
        <f>(AD931-AF931)/(D931*$K$1*2)%</f>
        <v>0</v>
      </c>
      <c r="AI931" s="108">
        <f>(AE931+AF931)/(D931*$K$1*2)%</f>
        <v>0</v>
      </c>
    </row>
    <row r="932" spans="1:35" ht="15.75" hidden="1" customHeight="1">
      <c r="A932" s="240" t="s">
        <v>1175</v>
      </c>
      <c r="B932" s="226">
        <v>44118</v>
      </c>
      <c r="C932" s="230">
        <v>11234.42</v>
      </c>
      <c r="D932" s="107">
        <f>COUNTA(G932:Z932)*0.5</f>
        <v>6.5</v>
      </c>
      <c r="F932" s="107" t="s">
        <v>263</v>
      </c>
      <c r="G932" s="178">
        <v>44118</v>
      </c>
      <c r="H932" s="178">
        <v>44118</v>
      </c>
      <c r="I932" s="178">
        <v>44118</v>
      </c>
      <c r="J932" s="178">
        <v>44118</v>
      </c>
      <c r="K932" s="178">
        <v>44118</v>
      </c>
      <c r="L932" s="178">
        <v>44118</v>
      </c>
      <c r="M932" s="178">
        <v>44118</v>
      </c>
      <c r="N932" s="178">
        <v>44125</v>
      </c>
      <c r="O932" s="178">
        <v>44127</v>
      </c>
      <c r="P932" s="178">
        <v>44127</v>
      </c>
      <c r="Q932" s="178">
        <v>44132</v>
      </c>
      <c r="R932" s="178">
        <v>44134</v>
      </c>
      <c r="S932" s="178">
        <v>44137</v>
      </c>
      <c r="AA932" s="166">
        <v>44141</v>
      </c>
      <c r="AG932" s="107">
        <f t="shared" si="4"/>
        <v>0</v>
      </c>
      <c r="AH932" s="108">
        <f>(AD932-AF932)/(D932*$K$1*2)%</f>
        <v>0</v>
      </c>
      <c r="AI932" s="108">
        <f>(AE932+AF932)/(D932*$K$1*2)%</f>
        <v>0</v>
      </c>
    </row>
    <row r="933" spans="1:35" ht="15.75" hidden="1" customHeight="1">
      <c r="A933" s="240" t="s">
        <v>1176</v>
      </c>
      <c r="B933" s="226">
        <v>44118</v>
      </c>
      <c r="C933" s="230">
        <v>11538.5</v>
      </c>
      <c r="D933" s="107">
        <f>COUNTA(G933:Z933)*0.5</f>
        <v>4</v>
      </c>
      <c r="F933" s="107" t="s">
        <v>323</v>
      </c>
      <c r="G933" s="178">
        <v>44118</v>
      </c>
      <c r="H933" s="178">
        <v>44118</v>
      </c>
      <c r="I933" s="178">
        <v>44118</v>
      </c>
      <c r="J933" s="178">
        <v>44118</v>
      </c>
      <c r="K933" s="178">
        <v>44118</v>
      </c>
      <c r="L933" s="178">
        <v>44118</v>
      </c>
      <c r="M933" s="178">
        <v>44118</v>
      </c>
      <c r="N933" s="178">
        <v>44125</v>
      </c>
      <c r="AA933" s="166">
        <v>44155</v>
      </c>
      <c r="AG933" s="107">
        <f t="shared" si="4"/>
        <v>100</v>
      </c>
    </row>
    <row r="934" spans="1:35" ht="15.75" hidden="1" customHeight="1">
      <c r="A934" s="240" t="s">
        <v>1177</v>
      </c>
      <c r="B934" s="226">
        <v>44118</v>
      </c>
      <c r="C934" s="230">
        <v>11538.5</v>
      </c>
      <c r="D934" s="107">
        <f>COUNTA(G934:Z934)*0.5</f>
        <v>4</v>
      </c>
      <c r="F934" s="107" t="s">
        <v>323</v>
      </c>
      <c r="G934" s="178">
        <v>44118</v>
      </c>
      <c r="H934" s="178">
        <v>44118</v>
      </c>
      <c r="I934" s="178">
        <v>44118</v>
      </c>
      <c r="J934" s="178">
        <v>44118</v>
      </c>
      <c r="K934" s="178">
        <v>44118</v>
      </c>
      <c r="L934" s="178">
        <v>44118</v>
      </c>
      <c r="M934" s="178">
        <v>44118</v>
      </c>
      <c r="N934" s="178">
        <v>44125</v>
      </c>
      <c r="AA934" s="166">
        <v>44155</v>
      </c>
      <c r="AG934" s="107">
        <f t="shared" si="4"/>
        <v>100</v>
      </c>
    </row>
    <row r="935" spans="1:35" ht="15.75" hidden="1" customHeight="1">
      <c r="A935" s="240" t="s">
        <v>1178</v>
      </c>
      <c r="B935" s="226">
        <v>44118</v>
      </c>
      <c r="C935" s="230">
        <v>11538.5</v>
      </c>
      <c r="D935" s="107">
        <f>COUNTA(G935:Z935)*0.5</f>
        <v>4</v>
      </c>
      <c r="F935" s="107" t="s">
        <v>323</v>
      </c>
      <c r="G935" s="178">
        <v>44118</v>
      </c>
      <c r="H935" s="178">
        <v>44118</v>
      </c>
      <c r="I935" s="178">
        <v>44118</v>
      </c>
      <c r="J935" s="178">
        <v>44118</v>
      </c>
      <c r="K935" s="178">
        <v>44118</v>
      </c>
      <c r="L935" s="178">
        <v>44118</v>
      </c>
      <c r="M935" s="178">
        <v>44118</v>
      </c>
      <c r="N935" s="178">
        <v>44125</v>
      </c>
      <c r="AA935" s="166">
        <v>44155</v>
      </c>
      <c r="AG935" s="107">
        <f t="shared" si="4"/>
        <v>100</v>
      </c>
    </row>
    <row r="936" spans="1:35" ht="15.75" hidden="1" customHeight="1">
      <c r="A936" s="240" t="s">
        <v>1179</v>
      </c>
      <c r="B936" s="226">
        <v>44118</v>
      </c>
      <c r="C936" s="237">
        <v>11538.5</v>
      </c>
      <c r="D936" s="107">
        <f>COUNTA(G936:Z936)*0.5</f>
        <v>4</v>
      </c>
      <c r="F936" s="107" t="s">
        <v>323</v>
      </c>
      <c r="G936" s="178">
        <v>44118</v>
      </c>
      <c r="H936" s="178">
        <v>44118</v>
      </c>
      <c r="I936" s="178">
        <v>44118</v>
      </c>
      <c r="J936" s="178">
        <v>44118</v>
      </c>
      <c r="K936" s="178">
        <v>44118</v>
      </c>
      <c r="L936" s="178">
        <v>44118</v>
      </c>
      <c r="M936" s="178">
        <v>44118</v>
      </c>
      <c r="N936" s="178">
        <v>44125</v>
      </c>
      <c r="AA936" s="166">
        <v>44155</v>
      </c>
      <c r="AG936" s="107">
        <f t="shared" si="4"/>
        <v>100</v>
      </c>
    </row>
    <row r="937" spans="1:35" ht="15.75" hidden="1" customHeight="1">
      <c r="A937" s="241" t="s">
        <v>1180</v>
      </c>
      <c r="B937" s="226">
        <v>44123</v>
      </c>
      <c r="C937" s="230">
        <v>12798.442513481308</v>
      </c>
      <c r="D937" s="107">
        <f>COUNTA(G937:Z937)*0.5</f>
        <v>4.5</v>
      </c>
      <c r="E937" s="107">
        <v>240</v>
      </c>
      <c r="F937" s="107" t="s">
        <v>323</v>
      </c>
      <c r="G937" s="225">
        <v>44123</v>
      </c>
      <c r="H937" s="225">
        <v>44123</v>
      </c>
      <c r="I937" s="178">
        <v>44127</v>
      </c>
      <c r="J937" s="178">
        <v>44130</v>
      </c>
      <c r="K937" s="178">
        <v>44134</v>
      </c>
      <c r="L937" s="178">
        <v>44137</v>
      </c>
      <c r="M937" s="178">
        <v>44139</v>
      </c>
      <c r="N937" s="178">
        <v>44146</v>
      </c>
      <c r="O937" s="178">
        <v>44151</v>
      </c>
      <c r="AA937" s="166">
        <v>44155</v>
      </c>
      <c r="AG937" s="107">
        <f t="shared" si="4"/>
        <v>100</v>
      </c>
    </row>
    <row r="938" spans="1:35" ht="15.75" hidden="1" customHeight="1">
      <c r="A938" s="241" t="s">
        <v>1181</v>
      </c>
      <c r="B938" s="226">
        <v>44123</v>
      </c>
      <c r="C938" s="230">
        <v>12798.442513481308</v>
      </c>
      <c r="D938" s="107">
        <f>COUNTA(G938:Z938)*0.5</f>
        <v>4.5</v>
      </c>
      <c r="E938" s="107">
        <v>240</v>
      </c>
      <c r="F938" s="107" t="s">
        <v>323</v>
      </c>
      <c r="G938" s="225">
        <v>44123</v>
      </c>
      <c r="H938" s="225">
        <v>44123</v>
      </c>
      <c r="I938" s="178">
        <v>44127</v>
      </c>
      <c r="J938" s="178">
        <v>44130</v>
      </c>
      <c r="K938" s="178">
        <v>44134</v>
      </c>
      <c r="L938" s="178">
        <v>44137</v>
      </c>
      <c r="M938" s="178">
        <v>44139</v>
      </c>
      <c r="N938" s="178">
        <v>44146</v>
      </c>
      <c r="O938" s="178">
        <v>44151</v>
      </c>
      <c r="AA938" s="166">
        <v>44155</v>
      </c>
      <c r="AG938" s="107">
        <f t="shared" si="4"/>
        <v>100</v>
      </c>
    </row>
    <row r="939" spans="1:35" ht="15.75" hidden="1" customHeight="1">
      <c r="A939" s="241" t="s">
        <v>1182</v>
      </c>
      <c r="B939" s="226">
        <v>44123</v>
      </c>
      <c r="C939" s="230">
        <v>12798.442513481308</v>
      </c>
      <c r="D939" s="107">
        <f>COUNTA(G939:Z939)*0.5</f>
        <v>4.5</v>
      </c>
      <c r="E939" s="107">
        <v>240</v>
      </c>
      <c r="F939" s="107" t="s">
        <v>323</v>
      </c>
      <c r="G939" s="225">
        <v>44123</v>
      </c>
      <c r="H939" s="225">
        <v>44123</v>
      </c>
      <c r="I939" s="178">
        <v>44127</v>
      </c>
      <c r="J939" s="178">
        <v>44130</v>
      </c>
      <c r="K939" s="178">
        <v>44134</v>
      </c>
      <c r="L939" s="178">
        <v>44137</v>
      </c>
      <c r="M939" s="178">
        <v>44139</v>
      </c>
      <c r="N939" s="178">
        <v>44146</v>
      </c>
      <c r="O939" s="178">
        <v>44151</v>
      </c>
      <c r="AA939" s="166">
        <v>44155</v>
      </c>
      <c r="AG939" s="107">
        <f t="shared" si="4"/>
        <v>100</v>
      </c>
    </row>
    <row r="940" spans="1:35" ht="15.75" hidden="1" customHeight="1">
      <c r="A940" s="241" t="s">
        <v>1183</v>
      </c>
      <c r="B940" s="226">
        <v>44123</v>
      </c>
      <c r="D940" s="107">
        <f>COUNTA(G940:Z940)*0.5</f>
        <v>5</v>
      </c>
      <c r="F940" s="107" t="s">
        <v>323</v>
      </c>
      <c r="G940" s="225">
        <v>44123</v>
      </c>
      <c r="H940" s="225">
        <v>44123</v>
      </c>
      <c r="I940" s="178">
        <v>44127</v>
      </c>
      <c r="J940" s="178">
        <v>44130</v>
      </c>
      <c r="K940" s="178">
        <v>44130</v>
      </c>
      <c r="L940" s="178">
        <v>44132</v>
      </c>
      <c r="M940" s="178">
        <v>44132</v>
      </c>
      <c r="N940" s="178">
        <v>44137</v>
      </c>
      <c r="O940" s="178">
        <v>44139</v>
      </c>
      <c r="P940" s="178">
        <v>44146</v>
      </c>
      <c r="AG940" s="107">
        <f t="shared" si="4"/>
        <v>100</v>
      </c>
    </row>
    <row r="941" spans="1:35" ht="15.75" hidden="1" customHeight="1">
      <c r="A941" s="241" t="s">
        <v>1184</v>
      </c>
      <c r="B941" s="226">
        <v>44123</v>
      </c>
      <c r="D941" s="107">
        <f>COUNTA(G941:Z941)*0.5</f>
        <v>2.5</v>
      </c>
      <c r="F941" s="107" t="s">
        <v>323</v>
      </c>
      <c r="G941" s="225">
        <v>44123</v>
      </c>
      <c r="H941" s="225">
        <v>44123</v>
      </c>
      <c r="I941" s="178">
        <v>44127</v>
      </c>
      <c r="J941" s="178">
        <v>44130</v>
      </c>
      <c r="K941" s="178">
        <v>44130</v>
      </c>
      <c r="AG941" s="107">
        <f t="shared" si="4"/>
        <v>100</v>
      </c>
    </row>
    <row r="942" spans="1:35" ht="15.75" hidden="1" customHeight="1">
      <c r="A942" s="241" t="s">
        <v>1185</v>
      </c>
      <c r="B942" s="226">
        <v>44123</v>
      </c>
      <c r="C942" s="230">
        <v>11189.108276028068</v>
      </c>
      <c r="D942" s="107">
        <f>COUNTA(G942:Z942)*0.5</f>
        <v>5</v>
      </c>
      <c r="E942" s="107">
        <v>239</v>
      </c>
      <c r="F942" s="107" t="s">
        <v>263</v>
      </c>
      <c r="G942" s="225">
        <v>44123</v>
      </c>
      <c r="H942" s="225">
        <v>44123</v>
      </c>
      <c r="I942" s="178">
        <v>44125</v>
      </c>
      <c r="J942" s="178">
        <v>44127</v>
      </c>
      <c r="K942" s="178">
        <v>44127</v>
      </c>
      <c r="L942" s="178">
        <v>44130</v>
      </c>
      <c r="M942" s="178">
        <v>44132</v>
      </c>
      <c r="N942" s="178">
        <v>44134</v>
      </c>
      <c r="O942" s="178">
        <v>44137</v>
      </c>
      <c r="P942" s="178">
        <v>44141</v>
      </c>
      <c r="AA942" s="166">
        <v>44151</v>
      </c>
      <c r="AG942" s="107">
        <f t="shared" si="4"/>
        <v>9.0909090909090917</v>
      </c>
      <c r="AH942" s="108">
        <f>(AD942-AF942)/(D942*$K$1*2)%</f>
        <v>0</v>
      </c>
      <c r="AI942" s="108">
        <f>(AE942+AF942)/(D942*$K$1*2)%</f>
        <v>0</v>
      </c>
    </row>
    <row r="943" spans="1:35" ht="15.75" hidden="1" customHeight="1">
      <c r="A943" s="241" t="s">
        <v>1186</v>
      </c>
      <c r="B943" s="226">
        <v>44123</v>
      </c>
      <c r="C943" s="230">
        <v>11189.108276028068</v>
      </c>
      <c r="D943" s="107">
        <f>COUNTA(G943:Z943)*0.5</f>
        <v>4.5</v>
      </c>
      <c r="E943" s="107">
        <v>239</v>
      </c>
      <c r="F943" s="107" t="s">
        <v>263</v>
      </c>
      <c r="G943" s="225">
        <v>44123</v>
      </c>
      <c r="H943" s="225">
        <v>44123</v>
      </c>
      <c r="I943" s="178">
        <v>44125</v>
      </c>
      <c r="J943" s="178">
        <v>44127</v>
      </c>
      <c r="K943" s="178">
        <v>44127</v>
      </c>
      <c r="L943" s="178">
        <v>44130</v>
      </c>
      <c r="M943" s="178">
        <v>44132</v>
      </c>
      <c r="N943" s="178">
        <v>44134</v>
      </c>
      <c r="O943" s="178">
        <v>44137</v>
      </c>
      <c r="AA943" s="166">
        <v>44151</v>
      </c>
      <c r="AC943" s="107">
        <f>13/18</f>
        <v>0.72222222222222221</v>
      </c>
      <c r="AD943" s="107">
        <v>627</v>
      </c>
      <c r="AE943" s="107">
        <v>174.5</v>
      </c>
      <c r="AG943" s="107">
        <f t="shared" si="4"/>
        <v>9.0909090909090917</v>
      </c>
      <c r="AH943" s="108">
        <f>(AD943-AF943)/(D943*$K$1*2)%</f>
        <v>12.666666666666666</v>
      </c>
      <c r="AI943" s="108">
        <f>(AE943+AF943)/(D943*$K$1*2)%</f>
        <v>3.5252525252525251</v>
      </c>
    </row>
    <row r="944" spans="1:35" ht="15.75" hidden="1" customHeight="1">
      <c r="A944" s="241" t="s">
        <v>1187</v>
      </c>
      <c r="B944" s="226">
        <v>44123</v>
      </c>
      <c r="C944" s="230">
        <v>11189.108276028068</v>
      </c>
      <c r="D944" s="107">
        <f>COUNTA(G944:Z944)*0.5</f>
        <v>5.5</v>
      </c>
      <c r="E944" s="107">
        <v>239</v>
      </c>
      <c r="F944" s="107" t="s">
        <v>263</v>
      </c>
      <c r="G944" s="225">
        <v>44123</v>
      </c>
      <c r="H944" s="225">
        <v>44123</v>
      </c>
      <c r="I944" s="178">
        <v>44125</v>
      </c>
      <c r="J944" s="178">
        <v>44127</v>
      </c>
      <c r="K944" s="178">
        <v>44127</v>
      </c>
      <c r="L944" s="178">
        <v>44130</v>
      </c>
      <c r="M944" s="178">
        <v>44132</v>
      </c>
      <c r="N944" s="178">
        <v>44134</v>
      </c>
      <c r="O944" s="178">
        <v>44137</v>
      </c>
      <c r="P944" s="178">
        <v>44139</v>
      </c>
      <c r="Q944" s="178">
        <v>44141</v>
      </c>
      <c r="AA944" s="166">
        <v>44151</v>
      </c>
      <c r="AG944" s="107">
        <f t="shared" si="4"/>
        <v>9.0909090909090917</v>
      </c>
      <c r="AH944" s="108">
        <f>(AD944-AF944)/(D944*$K$1*2)%</f>
        <v>0</v>
      </c>
      <c r="AI944" s="108">
        <f>(AE944+AF944)/(D944*$K$1*2)%</f>
        <v>0</v>
      </c>
    </row>
    <row r="945" spans="1:35" ht="15.75" hidden="1" customHeight="1">
      <c r="A945" s="241" t="s">
        <v>1188</v>
      </c>
      <c r="B945" s="226">
        <v>44123</v>
      </c>
      <c r="C945" s="230">
        <v>11189.108276028068</v>
      </c>
      <c r="D945" s="107">
        <f>COUNTA(G945:Z945)*0.5</f>
        <v>5.5</v>
      </c>
      <c r="E945" s="107">
        <v>239</v>
      </c>
      <c r="F945" s="107" t="s">
        <v>263</v>
      </c>
      <c r="G945" s="225">
        <v>44123</v>
      </c>
      <c r="H945" s="225">
        <v>44123</v>
      </c>
      <c r="I945" s="178">
        <v>44125</v>
      </c>
      <c r="J945" s="178">
        <v>44127</v>
      </c>
      <c r="K945" s="178">
        <v>44127</v>
      </c>
      <c r="L945" s="178">
        <v>44130</v>
      </c>
      <c r="M945" s="178">
        <v>44132</v>
      </c>
      <c r="N945" s="178">
        <v>44134</v>
      </c>
      <c r="O945" s="178">
        <v>44137</v>
      </c>
      <c r="P945" s="178">
        <v>44139</v>
      </c>
      <c r="Q945" s="178">
        <v>44141</v>
      </c>
      <c r="AA945" s="166">
        <v>44151</v>
      </c>
      <c r="AC945" s="107">
        <f>12/15</f>
        <v>0.8</v>
      </c>
      <c r="AD945" s="107">
        <v>566.5</v>
      </c>
      <c r="AE945" s="107">
        <v>183</v>
      </c>
      <c r="AG945" s="107">
        <f t="shared" si="4"/>
        <v>9.0909090909090917</v>
      </c>
      <c r="AH945" s="108">
        <f>(AD945-AF945)/(D945*$K$1*2)%</f>
        <v>9.3636363636363633</v>
      </c>
      <c r="AI945" s="108">
        <f>(AE945+AF945)/(D945*$K$1*2)%</f>
        <v>3.0247933884297522</v>
      </c>
    </row>
    <row r="946" spans="1:35" ht="15.75" hidden="1" customHeight="1">
      <c r="A946" s="241" t="s">
        <v>1189</v>
      </c>
      <c r="B946" s="226">
        <v>44123</v>
      </c>
      <c r="C946" s="230">
        <v>11189.108276028068</v>
      </c>
      <c r="D946" s="107">
        <f>COUNTA(G946:Z946)*0.5</f>
        <v>5</v>
      </c>
      <c r="E946" s="107">
        <v>239</v>
      </c>
      <c r="F946" s="107" t="s">
        <v>263</v>
      </c>
      <c r="G946" s="225">
        <v>44123</v>
      </c>
      <c r="H946" s="225">
        <v>44123</v>
      </c>
      <c r="I946" s="178">
        <v>44125</v>
      </c>
      <c r="J946" s="178">
        <v>44127</v>
      </c>
      <c r="K946" s="178">
        <v>44127</v>
      </c>
      <c r="L946" s="178">
        <v>44130</v>
      </c>
      <c r="M946" s="178">
        <v>44132</v>
      </c>
      <c r="N946" s="178">
        <v>44134</v>
      </c>
      <c r="O946" s="178">
        <v>44137</v>
      </c>
      <c r="P946" s="178">
        <v>44139</v>
      </c>
      <c r="AA946" s="166">
        <v>44153</v>
      </c>
      <c r="AG946" s="107">
        <f t="shared" si="4"/>
        <v>9.0909090909090917</v>
      </c>
      <c r="AH946" s="108">
        <f>(AD946-AF946)/(D946*$K$1*2)%</f>
        <v>0</v>
      </c>
      <c r="AI946" s="108">
        <f>(AE946+AF946)/(D946*$K$1*2)%</f>
        <v>0</v>
      </c>
    </row>
    <row r="947" spans="1:35" ht="15.75" hidden="1" customHeight="1">
      <c r="A947" s="241" t="s">
        <v>1190</v>
      </c>
      <c r="B947" s="226">
        <v>44123</v>
      </c>
      <c r="C947" s="230">
        <v>11189.108276028068</v>
      </c>
      <c r="D947" s="107">
        <f>COUNTA(G947:Z947)*0.5</f>
        <v>5.5</v>
      </c>
      <c r="E947" s="107">
        <v>239</v>
      </c>
      <c r="F947" s="107" t="s">
        <v>263</v>
      </c>
      <c r="G947" s="225">
        <v>44123</v>
      </c>
      <c r="H947" s="225">
        <v>44123</v>
      </c>
      <c r="I947" s="178">
        <v>44125</v>
      </c>
      <c r="J947" s="178">
        <v>44127</v>
      </c>
      <c r="K947" s="178">
        <v>44127</v>
      </c>
      <c r="L947" s="178">
        <v>44130</v>
      </c>
      <c r="M947" s="178">
        <v>44132</v>
      </c>
      <c r="N947" s="178">
        <v>44134</v>
      </c>
      <c r="O947" s="178">
        <v>44137</v>
      </c>
      <c r="P947" s="178">
        <v>44139</v>
      </c>
      <c r="Q947" s="178">
        <v>44141</v>
      </c>
      <c r="AA947" s="166">
        <v>44151</v>
      </c>
      <c r="AG947" s="107">
        <f t="shared" si="4"/>
        <v>9.0909090909090917</v>
      </c>
      <c r="AH947" s="108">
        <f>(AD947-AF947)/(D947*$K$1*2)%</f>
        <v>0</v>
      </c>
      <c r="AI947" s="108">
        <f>(AE947+AF947)/(D947*$K$1*2)%</f>
        <v>0</v>
      </c>
    </row>
    <row r="948" spans="1:35" ht="15.75" hidden="1" customHeight="1">
      <c r="A948" s="241" t="s">
        <v>1191</v>
      </c>
      <c r="B948" s="226">
        <v>44123</v>
      </c>
      <c r="C948" s="230">
        <v>16571.56288392701</v>
      </c>
      <c r="D948" s="107">
        <f>COUNTA(G948:Z948)*0.5</f>
        <v>5.5</v>
      </c>
      <c r="E948" s="107">
        <v>241</v>
      </c>
      <c r="F948" s="107" t="s">
        <v>323</v>
      </c>
      <c r="G948" s="225">
        <v>44123</v>
      </c>
      <c r="H948" s="225">
        <v>44123</v>
      </c>
      <c r="I948" s="178">
        <v>44125</v>
      </c>
      <c r="J948" s="178">
        <v>44127</v>
      </c>
      <c r="K948" s="178">
        <v>44127</v>
      </c>
      <c r="L948" s="178">
        <v>44130</v>
      </c>
      <c r="M948" s="178">
        <v>44132</v>
      </c>
      <c r="N948" s="178">
        <v>44134</v>
      </c>
      <c r="O948" s="178">
        <v>44137</v>
      </c>
      <c r="P948" s="178">
        <v>44144</v>
      </c>
      <c r="Q948" s="178">
        <v>44144</v>
      </c>
      <c r="AA948" s="166">
        <v>44147</v>
      </c>
      <c r="AG948" s="107">
        <f t="shared" si="4"/>
        <v>9.0909090909090917</v>
      </c>
    </row>
    <row r="949" spans="1:35" ht="15.75" hidden="1" customHeight="1">
      <c r="A949" s="241" t="s">
        <v>1192</v>
      </c>
      <c r="B949" s="226">
        <v>44123</v>
      </c>
      <c r="C949" s="230">
        <v>12130.169511353415</v>
      </c>
      <c r="D949" s="107">
        <f>COUNTA(G949:Z949)*0.5</f>
        <v>5.5</v>
      </c>
      <c r="E949" s="107">
        <v>242</v>
      </c>
      <c r="F949" s="107" t="s">
        <v>263</v>
      </c>
      <c r="G949" s="225">
        <v>44123</v>
      </c>
      <c r="H949" s="225">
        <v>44123</v>
      </c>
      <c r="I949" s="178">
        <v>44127</v>
      </c>
      <c r="J949" s="178">
        <v>44127</v>
      </c>
      <c r="K949" s="178">
        <v>44130</v>
      </c>
      <c r="L949" s="178">
        <v>44132</v>
      </c>
      <c r="M949" s="178">
        <v>44134</v>
      </c>
      <c r="N949" s="178">
        <v>44137</v>
      </c>
      <c r="O949" s="178">
        <v>44139</v>
      </c>
      <c r="P949" s="178">
        <v>44141</v>
      </c>
      <c r="Q949" s="178">
        <v>44144</v>
      </c>
      <c r="AA949" s="166">
        <v>44153</v>
      </c>
      <c r="AG949" s="107">
        <f t="shared" si="4"/>
        <v>9.0909090909090917</v>
      </c>
      <c r="AH949" s="108">
        <f>(AD949-AF949)/(D949*$K$1*2)%</f>
        <v>0</v>
      </c>
      <c r="AI949" s="108">
        <f>(AE949+AF949)/(D949*$K$1*2)%</f>
        <v>0</v>
      </c>
    </row>
    <row r="950" spans="1:35" ht="15.75" hidden="1" customHeight="1">
      <c r="A950" s="241" t="s">
        <v>1193</v>
      </c>
      <c r="B950" s="226">
        <v>44123</v>
      </c>
      <c r="C950" s="230">
        <v>12130.169511353415</v>
      </c>
      <c r="D950" s="107">
        <f>COUNTA(G950:Z950)*0.5</f>
        <v>5.5</v>
      </c>
      <c r="E950" s="107">
        <v>242</v>
      </c>
      <c r="F950" s="107" t="s">
        <v>263</v>
      </c>
      <c r="G950" s="225">
        <v>44123</v>
      </c>
      <c r="H950" s="225">
        <v>44123</v>
      </c>
      <c r="I950" s="178">
        <v>44127</v>
      </c>
      <c r="J950" s="178">
        <v>44127</v>
      </c>
      <c r="K950" s="178">
        <v>44130</v>
      </c>
      <c r="L950" s="178">
        <v>44132</v>
      </c>
      <c r="M950" s="178">
        <v>44134</v>
      </c>
      <c r="N950" s="178">
        <v>44137</v>
      </c>
      <c r="O950" s="178">
        <v>44139</v>
      </c>
      <c r="P950" s="178">
        <v>44141</v>
      </c>
      <c r="Q950" s="178">
        <v>44144</v>
      </c>
      <c r="AA950" s="166">
        <v>44151</v>
      </c>
      <c r="AC950" s="107">
        <f>17/20</f>
        <v>0.85</v>
      </c>
      <c r="AD950" s="107">
        <v>830</v>
      </c>
      <c r="AE950" s="107">
        <v>205.5</v>
      </c>
      <c r="AG950" s="107">
        <f t="shared" si="4"/>
        <v>9.0909090909090917</v>
      </c>
      <c r="AH950" s="108">
        <f>(AD950-AF950)/(D950*$K$1*2)%</f>
        <v>13.71900826446281</v>
      </c>
      <c r="AI950" s="108">
        <f>(AE950+AF950)/(D950*$K$1*2)%</f>
        <v>3.3966942148760331</v>
      </c>
    </row>
    <row r="951" spans="1:35" ht="15.75" hidden="1" customHeight="1">
      <c r="A951" s="241" t="s">
        <v>1194</v>
      </c>
      <c r="B951" s="226">
        <v>44123</v>
      </c>
      <c r="C951" s="230">
        <v>12130.169511353415</v>
      </c>
      <c r="D951" s="107">
        <f>COUNTA(G951:Z951)*0.5</f>
        <v>5.5</v>
      </c>
      <c r="E951" s="107">
        <v>242</v>
      </c>
      <c r="F951" s="107" t="s">
        <v>263</v>
      </c>
      <c r="G951" s="225">
        <v>44123</v>
      </c>
      <c r="H951" s="225">
        <v>44123</v>
      </c>
      <c r="I951" s="178">
        <v>44127</v>
      </c>
      <c r="J951" s="178">
        <v>44127</v>
      </c>
      <c r="K951" s="178">
        <v>44130</v>
      </c>
      <c r="L951" s="178">
        <v>44132</v>
      </c>
      <c r="M951" s="178">
        <v>44134</v>
      </c>
      <c r="N951" s="178">
        <v>44137</v>
      </c>
      <c r="O951" s="178">
        <v>44139</v>
      </c>
      <c r="P951" s="178">
        <v>44141</v>
      </c>
      <c r="Q951" s="178">
        <v>44144</v>
      </c>
      <c r="AA951" s="166">
        <v>44153</v>
      </c>
      <c r="AG951" s="107">
        <f t="shared" si="4"/>
        <v>9.0909090909090917</v>
      </c>
      <c r="AH951" s="108">
        <f>(AD951-AF951)/(D951*$K$1*2)%</f>
        <v>0</v>
      </c>
      <c r="AI951" s="108">
        <f>(AE951+AF951)/(D951*$K$1*2)%</f>
        <v>0</v>
      </c>
    </row>
    <row r="952" spans="1:35" ht="15.75" hidden="1" customHeight="1">
      <c r="A952" s="241" t="s">
        <v>1195</v>
      </c>
      <c r="B952" s="226">
        <v>44123</v>
      </c>
      <c r="C952" s="230">
        <v>12130.169511353415</v>
      </c>
      <c r="D952" s="107">
        <f>COUNTA(G952:Z952)*0.5</f>
        <v>5.5</v>
      </c>
      <c r="E952" s="107">
        <v>242</v>
      </c>
      <c r="F952" s="107" t="s">
        <v>263</v>
      </c>
      <c r="G952" s="225">
        <v>44123</v>
      </c>
      <c r="H952" s="225">
        <v>44123</v>
      </c>
      <c r="I952" s="178">
        <v>44127</v>
      </c>
      <c r="J952" s="178">
        <v>44127</v>
      </c>
      <c r="K952" s="178">
        <v>44130</v>
      </c>
      <c r="L952" s="178">
        <v>44132</v>
      </c>
      <c r="M952" s="178">
        <v>44134</v>
      </c>
      <c r="N952" s="178">
        <v>44137</v>
      </c>
      <c r="O952" s="178">
        <v>44139</v>
      </c>
      <c r="P952" s="178">
        <v>44141</v>
      </c>
      <c r="Q952" s="178">
        <v>44144</v>
      </c>
      <c r="AA952" s="166">
        <v>44153</v>
      </c>
      <c r="AG952" s="107">
        <f t="shared" si="4"/>
        <v>9.0909090909090917</v>
      </c>
      <c r="AH952" s="108">
        <f>(AD952-AF952)/(D952*$K$1*2)%</f>
        <v>0</v>
      </c>
      <c r="AI952" s="108">
        <f>(AE952+AF952)/(D952*$K$1*2)%</f>
        <v>0</v>
      </c>
    </row>
    <row r="953" spans="1:35" ht="15.75" hidden="1" customHeight="1">
      <c r="A953" s="241" t="s">
        <v>1196</v>
      </c>
      <c r="B953" s="226">
        <v>44124</v>
      </c>
      <c r="C953" s="273">
        <v>11521.23</v>
      </c>
      <c r="D953" s="107">
        <f>COUNTA(G953:Z953)*0.5</f>
        <v>5</v>
      </c>
      <c r="E953" s="107">
        <v>245</v>
      </c>
      <c r="F953" s="107" t="s">
        <v>263</v>
      </c>
      <c r="G953" s="178">
        <v>44124</v>
      </c>
      <c r="H953" s="178">
        <v>44124</v>
      </c>
      <c r="I953" s="178">
        <v>44127</v>
      </c>
      <c r="J953" s="178">
        <v>44130</v>
      </c>
      <c r="K953" s="178">
        <v>44132</v>
      </c>
      <c r="L953" s="178">
        <v>44134</v>
      </c>
      <c r="M953" s="178">
        <v>44137</v>
      </c>
      <c r="N953" s="178">
        <v>44139</v>
      </c>
      <c r="O953" s="178">
        <v>44141</v>
      </c>
      <c r="P953" s="178">
        <v>44146</v>
      </c>
      <c r="AA953" s="166">
        <v>44158</v>
      </c>
      <c r="AG953" s="107">
        <f t="shared" si="4"/>
        <v>0</v>
      </c>
      <c r="AH953" s="108">
        <f>(AD953-AF953)/(D953*$K$1*2)%</f>
        <v>0</v>
      </c>
      <c r="AI953" s="108">
        <f>(AE953+AF953)/(D953*$K$1*2)%</f>
        <v>0</v>
      </c>
    </row>
    <row r="954" spans="1:35" ht="15.75" hidden="1" customHeight="1">
      <c r="A954" s="241" t="s">
        <v>1197</v>
      </c>
      <c r="B954" s="226">
        <v>44124</v>
      </c>
      <c r="C954" s="273">
        <v>11521.23</v>
      </c>
      <c r="D954" s="107">
        <f>COUNTA(G954:Z954)*0.5</f>
        <v>5</v>
      </c>
      <c r="E954" s="107">
        <v>245</v>
      </c>
      <c r="F954" s="107" t="s">
        <v>263</v>
      </c>
      <c r="G954" s="178">
        <v>44124</v>
      </c>
      <c r="H954" s="178">
        <v>44124</v>
      </c>
      <c r="I954" s="178">
        <v>44127</v>
      </c>
      <c r="J954" s="178">
        <v>44130</v>
      </c>
      <c r="K954" s="178">
        <v>44132</v>
      </c>
      <c r="L954" s="178">
        <v>44134</v>
      </c>
      <c r="M954" s="178">
        <v>44137</v>
      </c>
      <c r="N954" s="178">
        <v>44139</v>
      </c>
      <c r="O954" s="178">
        <v>44141</v>
      </c>
      <c r="P954" s="178">
        <v>44146</v>
      </c>
      <c r="AA954" s="166">
        <v>44158</v>
      </c>
      <c r="AG954" s="107">
        <f t="shared" si="4"/>
        <v>0</v>
      </c>
      <c r="AH954" s="108">
        <f>(AD954-AF954)/(D954*$K$1*2)%</f>
        <v>0</v>
      </c>
      <c r="AI954" s="108">
        <f>(AE954+AF954)/(D954*$K$1*2)%</f>
        <v>0</v>
      </c>
    </row>
    <row r="955" spans="1:35" ht="15.75" hidden="1" customHeight="1">
      <c r="A955" s="241" t="s">
        <v>1198</v>
      </c>
      <c r="B955" s="226">
        <v>44124</v>
      </c>
      <c r="C955" s="273">
        <v>11521.23</v>
      </c>
      <c r="D955" s="107">
        <f>COUNTA(G955:Z955)*0.5</f>
        <v>5.5</v>
      </c>
      <c r="E955" s="107">
        <v>245</v>
      </c>
      <c r="F955" s="107" t="s">
        <v>263</v>
      </c>
      <c r="G955" s="178">
        <v>44124</v>
      </c>
      <c r="H955" s="178">
        <v>44124</v>
      </c>
      <c r="I955" s="178">
        <v>44127</v>
      </c>
      <c r="J955" s="178">
        <v>44130</v>
      </c>
      <c r="K955" s="178">
        <v>44132</v>
      </c>
      <c r="L955" s="178">
        <v>44134</v>
      </c>
      <c r="M955" s="178">
        <v>44137</v>
      </c>
      <c r="N955" s="178">
        <v>44139</v>
      </c>
      <c r="O955" s="178">
        <v>44141</v>
      </c>
      <c r="P955" s="178">
        <v>44144</v>
      </c>
      <c r="Q955" s="178">
        <v>44146</v>
      </c>
      <c r="AA955" s="166">
        <v>44158</v>
      </c>
      <c r="AG955" s="107">
        <f t="shared" si="4"/>
        <v>0</v>
      </c>
      <c r="AH955" s="108">
        <f>(AD955-AF955)/(D955*$K$1*2)%</f>
        <v>0</v>
      </c>
      <c r="AI955" s="108">
        <f>(AE955+AF955)/(D955*$K$1*2)%</f>
        <v>0</v>
      </c>
    </row>
    <row r="956" spans="1:35" ht="15.75" hidden="1" customHeight="1">
      <c r="A956" s="241" t="s">
        <v>1199</v>
      </c>
      <c r="B956" s="226">
        <v>44124</v>
      </c>
      <c r="C956" s="273">
        <v>11754.32</v>
      </c>
      <c r="D956" s="107">
        <f>COUNTA(G956:Z956)*0.5</f>
        <v>5</v>
      </c>
      <c r="E956" s="107">
        <v>243</v>
      </c>
      <c r="F956" s="107" t="s">
        <v>263</v>
      </c>
      <c r="G956" s="178">
        <v>44124</v>
      </c>
      <c r="H956" s="178">
        <v>44124</v>
      </c>
      <c r="I956" s="178">
        <v>44127</v>
      </c>
      <c r="J956" s="178">
        <v>44130</v>
      </c>
      <c r="K956" s="178">
        <v>44132</v>
      </c>
      <c r="L956" s="178">
        <v>44134</v>
      </c>
      <c r="M956" s="178">
        <v>44137</v>
      </c>
      <c r="N956" s="178">
        <v>44139</v>
      </c>
      <c r="O956" s="178">
        <v>44141</v>
      </c>
      <c r="P956" s="178">
        <v>44146</v>
      </c>
      <c r="AA956" s="166">
        <v>44158</v>
      </c>
      <c r="AC956" s="107">
        <f>10/19*100</f>
        <v>52.631578947368418</v>
      </c>
      <c r="AD956" s="107">
        <v>692.5</v>
      </c>
      <c r="AE956" s="107">
        <v>237</v>
      </c>
      <c r="AG956" s="107">
        <f t="shared" si="4"/>
        <v>0</v>
      </c>
      <c r="AH956" s="108">
        <f>(AD956-AF956)/(D956*$K$1*2)%</f>
        <v>12.590909090909092</v>
      </c>
      <c r="AI956" s="108">
        <f>(AE956+AF956)/(D956*$K$1*2)%</f>
        <v>4.3090909090909095</v>
      </c>
    </row>
    <row r="957" spans="1:35" ht="15.75" hidden="1" customHeight="1">
      <c r="A957" s="241" t="s">
        <v>1200</v>
      </c>
      <c r="B957" s="226">
        <v>44124</v>
      </c>
      <c r="C957" s="273">
        <v>11754.32</v>
      </c>
      <c r="D957" s="107">
        <f>COUNTA(G957:Z957)*0.5</f>
        <v>5</v>
      </c>
      <c r="E957" s="107">
        <v>243</v>
      </c>
      <c r="F957" s="107" t="s">
        <v>263</v>
      </c>
      <c r="G957" s="178">
        <v>44124</v>
      </c>
      <c r="H957" s="178">
        <v>44124</v>
      </c>
      <c r="I957" s="178">
        <v>44127</v>
      </c>
      <c r="J957" s="178">
        <v>44130</v>
      </c>
      <c r="K957" s="178">
        <v>44132</v>
      </c>
      <c r="L957" s="178">
        <v>44134</v>
      </c>
      <c r="M957" s="178">
        <v>44137</v>
      </c>
      <c r="N957" s="178">
        <v>44139</v>
      </c>
      <c r="O957" s="178">
        <v>44141</v>
      </c>
      <c r="P957" s="178">
        <v>44146</v>
      </c>
      <c r="AA957" s="166">
        <v>44158</v>
      </c>
      <c r="AG957" s="107">
        <f t="shared" si="4"/>
        <v>0</v>
      </c>
      <c r="AH957" s="108">
        <f>(AD957-AF957)/(D957*$K$1*2)%</f>
        <v>0</v>
      </c>
      <c r="AI957" s="108">
        <f>(AE957+AF957)/(D957*$K$1*2)%</f>
        <v>0</v>
      </c>
    </row>
    <row r="958" spans="1:35" ht="15.75" hidden="1" customHeight="1">
      <c r="A958" s="241" t="s">
        <v>1201</v>
      </c>
      <c r="B958" s="226">
        <v>44124</v>
      </c>
      <c r="C958" s="273">
        <v>11754.32</v>
      </c>
      <c r="D958" s="107">
        <f>COUNTA(G958:Z958)*0.5</f>
        <v>5.5</v>
      </c>
      <c r="E958" s="107">
        <v>243</v>
      </c>
      <c r="F958" s="107" t="s">
        <v>263</v>
      </c>
      <c r="G958" s="178">
        <v>44124</v>
      </c>
      <c r="H958" s="178">
        <v>44124</v>
      </c>
      <c r="I958" s="178">
        <v>44127</v>
      </c>
      <c r="J958" s="178">
        <v>44130</v>
      </c>
      <c r="K958" s="178">
        <v>44132</v>
      </c>
      <c r="L958" s="178">
        <v>44134</v>
      </c>
      <c r="M958" s="178">
        <v>44137</v>
      </c>
      <c r="N958" s="178">
        <v>44139</v>
      </c>
      <c r="O958" s="178">
        <v>44141</v>
      </c>
      <c r="P958" s="178">
        <v>44144</v>
      </c>
      <c r="Q958" s="178">
        <v>44146</v>
      </c>
      <c r="AA958" s="166">
        <v>44158</v>
      </c>
      <c r="AG958" s="107">
        <f t="shared" si="4"/>
        <v>0</v>
      </c>
      <c r="AH958" s="108">
        <f>(AD958-AF958)/(D958*$K$1*2)%</f>
        <v>0</v>
      </c>
      <c r="AI958" s="108">
        <f>(AE958+AF958)/(D958*$K$1*2)%</f>
        <v>0</v>
      </c>
    </row>
    <row r="959" spans="1:35" ht="15.75" hidden="1" customHeight="1">
      <c r="A959" s="241" t="s">
        <v>1202</v>
      </c>
      <c r="B959" s="226">
        <v>44124</v>
      </c>
      <c r="C959" s="273">
        <v>10894.12</v>
      </c>
      <c r="D959" s="107">
        <f>COUNTA(G959:Z959)*0.5</f>
        <v>5</v>
      </c>
      <c r="E959" s="107">
        <v>244</v>
      </c>
      <c r="F959" s="107" t="s">
        <v>263</v>
      </c>
      <c r="G959" s="178">
        <v>44124</v>
      </c>
      <c r="H959" s="178">
        <v>44124</v>
      </c>
      <c r="I959" s="178">
        <v>44127</v>
      </c>
      <c r="J959" s="178">
        <v>44130</v>
      </c>
      <c r="K959" s="178">
        <v>44132</v>
      </c>
      <c r="L959" s="178">
        <v>44134</v>
      </c>
      <c r="M959" s="178">
        <v>44137</v>
      </c>
      <c r="N959" s="178">
        <v>44139</v>
      </c>
      <c r="O959" s="178">
        <v>44141</v>
      </c>
      <c r="P959" s="178">
        <v>44146</v>
      </c>
      <c r="AA959" s="166">
        <v>44158</v>
      </c>
      <c r="AG959" s="107">
        <f t="shared" si="4"/>
        <v>0</v>
      </c>
      <c r="AH959" s="108">
        <f>(AD959-AF959)/(D959*$K$1*2)%</f>
        <v>0</v>
      </c>
      <c r="AI959" s="108">
        <f>(AE959+AF959)/(D959*$K$1*2)%</f>
        <v>0</v>
      </c>
    </row>
    <row r="960" spans="1:35" ht="15.75" hidden="1" customHeight="1">
      <c r="A960" s="241" t="s">
        <v>1203</v>
      </c>
      <c r="B960" s="226">
        <v>44124</v>
      </c>
      <c r="C960" s="273">
        <v>10894.12</v>
      </c>
      <c r="D960" s="107">
        <f>COUNTA(G960:Z960)*0.5</f>
        <v>5.5</v>
      </c>
      <c r="E960" s="107">
        <v>244</v>
      </c>
      <c r="F960" s="107" t="s">
        <v>263</v>
      </c>
      <c r="G960" s="178">
        <v>44124</v>
      </c>
      <c r="H960" s="178">
        <v>44124</v>
      </c>
      <c r="I960" s="178">
        <v>44127</v>
      </c>
      <c r="J960" s="178">
        <v>44130</v>
      </c>
      <c r="K960" s="178">
        <v>44132</v>
      </c>
      <c r="L960" s="178">
        <v>44134</v>
      </c>
      <c r="M960" s="178">
        <v>44137</v>
      </c>
      <c r="N960" s="178">
        <v>44139</v>
      </c>
      <c r="O960" s="178">
        <v>44141</v>
      </c>
      <c r="P960" s="178">
        <v>44144</v>
      </c>
      <c r="Q960" s="178">
        <v>44146</v>
      </c>
      <c r="AA960" s="166">
        <v>44158</v>
      </c>
      <c r="AC960" s="107">
        <f>17/34*100</f>
        <v>50</v>
      </c>
      <c r="AD960" s="107">
        <v>733.5</v>
      </c>
      <c r="AE960" s="107">
        <v>201.5</v>
      </c>
      <c r="AG960" s="107">
        <f t="shared" si="4"/>
        <v>0</v>
      </c>
      <c r="AH960" s="108">
        <f>(AD960-AF960)/(D960*$K$1*2)%</f>
        <v>12.12396694214876</v>
      </c>
      <c r="AI960" s="108">
        <f>(AE960+AF960)/(D960*$K$1*2)%</f>
        <v>3.330578512396694</v>
      </c>
    </row>
    <row r="961" spans="1:35" ht="15.75" hidden="1" customHeight="1">
      <c r="A961" s="241" t="s">
        <v>1204</v>
      </c>
      <c r="B961" s="226">
        <v>44124</v>
      </c>
      <c r="C961" s="273">
        <v>14041.21</v>
      </c>
      <c r="D961" s="107">
        <f>COUNTA(G961:Z961)*0.5</f>
        <v>5</v>
      </c>
      <c r="E961" s="107">
        <v>246</v>
      </c>
      <c r="F961" s="107" t="s">
        <v>263</v>
      </c>
      <c r="G961" s="178">
        <v>44124</v>
      </c>
      <c r="H961" s="178">
        <v>44124</v>
      </c>
      <c r="I961" s="178">
        <v>44127</v>
      </c>
      <c r="J961" s="178">
        <v>44130</v>
      </c>
      <c r="K961" s="178">
        <v>44132</v>
      </c>
      <c r="L961" s="178">
        <v>44134</v>
      </c>
      <c r="M961" s="178">
        <v>44137</v>
      </c>
      <c r="N961" s="178">
        <v>44139</v>
      </c>
      <c r="O961" s="178">
        <v>44141</v>
      </c>
      <c r="P961" s="178">
        <v>44146</v>
      </c>
      <c r="AA961" s="166">
        <v>44158</v>
      </c>
      <c r="AC961" s="107">
        <f>13/20*100</f>
        <v>65</v>
      </c>
      <c r="AD961" s="107">
        <v>522.5</v>
      </c>
      <c r="AE961" s="107">
        <v>189</v>
      </c>
      <c r="AG961" s="107">
        <f t="shared" si="4"/>
        <v>0</v>
      </c>
      <c r="AH961" s="108">
        <f>(AD961-AF961)/(D961*$K$1*2)%</f>
        <v>9.5</v>
      </c>
      <c r="AI961" s="108">
        <f>(AE961+AF961)/(D961*$K$1*2)%</f>
        <v>3.4363636363636365</v>
      </c>
    </row>
    <row r="962" spans="1:35" ht="15.75" hidden="1" customHeight="1">
      <c r="A962" s="241" t="s">
        <v>1205</v>
      </c>
      <c r="B962" s="226">
        <v>44124</v>
      </c>
      <c r="C962" s="273">
        <v>10504.79</v>
      </c>
      <c r="D962" s="107">
        <f>COUNTA(G962:Z962)*0.5</f>
        <v>5</v>
      </c>
      <c r="E962" s="107">
        <v>247</v>
      </c>
      <c r="F962" s="107" t="s">
        <v>263</v>
      </c>
      <c r="G962" s="178">
        <v>44124</v>
      </c>
      <c r="H962" s="178">
        <v>44124</v>
      </c>
      <c r="I962" s="178">
        <v>44127</v>
      </c>
      <c r="J962" s="178">
        <v>44130</v>
      </c>
      <c r="K962" s="178">
        <v>44132</v>
      </c>
      <c r="L962" s="178">
        <v>44134</v>
      </c>
      <c r="M962" s="178">
        <v>44137</v>
      </c>
      <c r="N962" s="178">
        <v>44139</v>
      </c>
      <c r="O962" s="178">
        <v>44141</v>
      </c>
      <c r="P962" s="178">
        <v>44146</v>
      </c>
      <c r="AA962" s="166">
        <v>44158</v>
      </c>
      <c r="AG962" s="107">
        <f t="shared" si="4"/>
        <v>0</v>
      </c>
      <c r="AH962" s="108">
        <f>(AD962-AF962)/(D962*$K$1*2)%</f>
        <v>0</v>
      </c>
      <c r="AI962" s="108">
        <f>(AE962+AF962)/(D962*$K$1*2)%</f>
        <v>0</v>
      </c>
    </row>
    <row r="963" spans="1:35" ht="15.75" hidden="1" customHeight="1">
      <c r="A963" s="241" t="s">
        <v>1206</v>
      </c>
      <c r="B963" s="226">
        <v>44124</v>
      </c>
      <c r="C963" s="273">
        <v>10504.79</v>
      </c>
      <c r="D963" s="107">
        <f>COUNTA(G963:Z963)*0.5</f>
        <v>5</v>
      </c>
      <c r="E963" s="107">
        <v>247</v>
      </c>
      <c r="F963" s="107" t="s">
        <v>263</v>
      </c>
      <c r="G963" s="178">
        <v>44124</v>
      </c>
      <c r="H963" s="178">
        <v>44124</v>
      </c>
      <c r="I963" s="178">
        <v>44127</v>
      </c>
      <c r="J963" s="178">
        <v>44130</v>
      </c>
      <c r="K963" s="178">
        <v>44132</v>
      </c>
      <c r="L963" s="178">
        <v>44134</v>
      </c>
      <c r="M963" s="178">
        <v>44137</v>
      </c>
      <c r="N963" s="178">
        <v>44139</v>
      </c>
      <c r="O963" s="178">
        <v>44141</v>
      </c>
      <c r="P963" s="178">
        <v>44146</v>
      </c>
      <c r="AA963" s="166">
        <v>44158</v>
      </c>
      <c r="AG963" s="107">
        <f t="shared" si="4"/>
        <v>0</v>
      </c>
      <c r="AH963" s="108">
        <f>(AD963-AF963)/(D963*$K$1*2)%</f>
        <v>0</v>
      </c>
      <c r="AI963" s="108">
        <f>(AE963+AF963)/(D963*$K$1*2)%</f>
        <v>0</v>
      </c>
    </row>
    <row r="964" spans="1:35" ht="15.75" hidden="1" customHeight="1">
      <c r="A964" s="241" t="s">
        <v>1207</v>
      </c>
      <c r="B964" s="226">
        <v>44124</v>
      </c>
      <c r="C964" s="273">
        <v>10504.79</v>
      </c>
      <c r="D964" s="107">
        <f>COUNTA(G964:Z964)*0.5</f>
        <v>5</v>
      </c>
      <c r="E964" s="107">
        <v>247</v>
      </c>
      <c r="F964" s="107" t="s">
        <v>263</v>
      </c>
      <c r="G964" s="178">
        <v>44124</v>
      </c>
      <c r="H964" s="178">
        <v>44124</v>
      </c>
      <c r="I964" s="178">
        <v>44127</v>
      </c>
      <c r="J964" s="178">
        <v>44130</v>
      </c>
      <c r="K964" s="178">
        <v>44132</v>
      </c>
      <c r="L964" s="178">
        <v>44134</v>
      </c>
      <c r="M964" s="178">
        <v>44137</v>
      </c>
      <c r="N964" s="178">
        <v>44139</v>
      </c>
      <c r="O964" s="178">
        <v>44141</v>
      </c>
      <c r="P964" s="178">
        <v>44146</v>
      </c>
      <c r="AA964" s="166">
        <v>44158</v>
      </c>
      <c r="AG964" s="107">
        <f t="shared" si="4"/>
        <v>0</v>
      </c>
      <c r="AH964" s="108">
        <f>(AD964-AF964)/(D964*$K$1*2)%</f>
        <v>0</v>
      </c>
      <c r="AI964" s="108">
        <f>(AE964+AF964)/(D964*$K$1*2)%</f>
        <v>0</v>
      </c>
    </row>
    <row r="965" spans="1:35" ht="15.75" hidden="1" customHeight="1">
      <c r="A965" s="241" t="s">
        <v>1208</v>
      </c>
      <c r="B965" s="226">
        <v>44124</v>
      </c>
      <c r="C965" s="273">
        <v>10504.79</v>
      </c>
      <c r="D965" s="107">
        <f>COUNTA(G965:Z965)*0.5</f>
        <v>5</v>
      </c>
      <c r="E965" s="107">
        <v>247</v>
      </c>
      <c r="F965" s="107" t="s">
        <v>263</v>
      </c>
      <c r="G965" s="178">
        <v>44124</v>
      </c>
      <c r="H965" s="178">
        <v>44124</v>
      </c>
      <c r="I965" s="178">
        <v>44127</v>
      </c>
      <c r="J965" s="178">
        <v>44130</v>
      </c>
      <c r="K965" s="178">
        <v>44132</v>
      </c>
      <c r="L965" s="178">
        <v>44134</v>
      </c>
      <c r="M965" s="178">
        <v>44137</v>
      </c>
      <c r="N965" s="178">
        <v>44139</v>
      </c>
      <c r="O965" s="178">
        <v>44141</v>
      </c>
      <c r="P965" s="178">
        <v>44146</v>
      </c>
      <c r="AA965" s="166">
        <v>44158</v>
      </c>
      <c r="AG965" s="107">
        <f t="shared" si="4"/>
        <v>0</v>
      </c>
      <c r="AH965" s="108">
        <f>(AD965-AF965)/(D965*$K$1*2)%</f>
        <v>0</v>
      </c>
      <c r="AI965" s="108">
        <f>(AE965+AF965)/(D965*$K$1*2)%</f>
        <v>0</v>
      </c>
    </row>
    <row r="966" spans="1:35" ht="15.75" hidden="1" customHeight="1">
      <c r="A966" s="241" t="s">
        <v>1209</v>
      </c>
      <c r="B966" s="226">
        <v>44124</v>
      </c>
      <c r="C966" s="273">
        <v>10504.79</v>
      </c>
      <c r="D966" s="107">
        <f>COUNTA(G966:Z966)*0.5</f>
        <v>5</v>
      </c>
      <c r="E966" s="107">
        <v>247</v>
      </c>
      <c r="F966" s="107" t="s">
        <v>263</v>
      </c>
      <c r="G966" s="178">
        <v>44124</v>
      </c>
      <c r="H966" s="178">
        <v>44124</v>
      </c>
      <c r="I966" s="178">
        <v>44127</v>
      </c>
      <c r="J966" s="178">
        <v>44130</v>
      </c>
      <c r="K966" s="178">
        <v>44132</v>
      </c>
      <c r="L966" s="178">
        <v>44134</v>
      </c>
      <c r="M966" s="178">
        <v>44137</v>
      </c>
      <c r="N966" s="178">
        <v>44139</v>
      </c>
      <c r="O966" s="178">
        <v>44141</v>
      </c>
      <c r="P966" s="178">
        <v>44144</v>
      </c>
      <c r="AA966" s="166">
        <v>44158</v>
      </c>
      <c r="AG966" s="107">
        <f t="shared" si="4"/>
        <v>0</v>
      </c>
      <c r="AH966" s="108">
        <f>(AD966-AF966)/(D966*$K$1*2)%</f>
        <v>0</v>
      </c>
      <c r="AI966" s="108">
        <f>(AE966+AF966)/(D966*$K$1*2)%</f>
        <v>0</v>
      </c>
    </row>
    <row r="967" spans="1:35" ht="15.75" hidden="1" customHeight="1">
      <c r="A967" s="241" t="s">
        <v>1210</v>
      </c>
      <c r="B967" s="226">
        <v>44124</v>
      </c>
      <c r="C967" s="273">
        <v>10504.79</v>
      </c>
      <c r="D967" s="107">
        <f>COUNTA(G967:Z967)*0.5</f>
        <v>5</v>
      </c>
      <c r="E967" s="107">
        <v>247</v>
      </c>
      <c r="F967" s="107" t="s">
        <v>263</v>
      </c>
      <c r="G967" s="178">
        <v>44124</v>
      </c>
      <c r="H967" s="178">
        <v>44124</v>
      </c>
      <c r="I967" s="178">
        <v>44127</v>
      </c>
      <c r="J967" s="178">
        <v>44130</v>
      </c>
      <c r="K967" s="178">
        <v>44132</v>
      </c>
      <c r="L967" s="178">
        <v>44134</v>
      </c>
      <c r="M967" s="178">
        <v>44137</v>
      </c>
      <c r="N967" s="178">
        <v>44139</v>
      </c>
      <c r="O967" s="178">
        <v>44141</v>
      </c>
      <c r="P967" s="178">
        <v>44146</v>
      </c>
      <c r="AA967" s="166">
        <v>44158</v>
      </c>
      <c r="AG967" s="107">
        <f t="shared" si="4"/>
        <v>0</v>
      </c>
      <c r="AH967" s="108">
        <f>(AD967-AF967)/(D967*$K$1*2)%</f>
        <v>0</v>
      </c>
      <c r="AI967" s="108">
        <f>(AE967+AF967)/(D967*$K$1*2)%</f>
        <v>0</v>
      </c>
    </row>
    <row r="968" spans="1:35" ht="15.75" hidden="1" customHeight="1">
      <c r="A968" s="244" t="s">
        <v>1211</v>
      </c>
      <c r="B968" s="226">
        <v>44127</v>
      </c>
      <c r="C968" s="149">
        <v>10809.41</v>
      </c>
      <c r="D968" s="107">
        <f t="shared" ref="D968:D1031" si="5">COUNTA(G968:Z968)*0.5</f>
        <v>3.5</v>
      </c>
      <c r="E968" s="107">
        <v>248</v>
      </c>
      <c r="F968" s="107" t="s">
        <v>323</v>
      </c>
      <c r="G968" s="178">
        <v>44127</v>
      </c>
      <c r="H968" s="178">
        <v>44127</v>
      </c>
      <c r="I968" s="178">
        <v>44130</v>
      </c>
      <c r="J968" s="178">
        <v>44132</v>
      </c>
      <c r="K968" s="178">
        <v>44134</v>
      </c>
      <c r="L968" s="178">
        <v>44137</v>
      </c>
      <c r="M968" s="178">
        <v>44141</v>
      </c>
      <c r="AA968" s="166">
        <v>44153</v>
      </c>
      <c r="AG968" s="107">
        <f t="shared" si="4"/>
        <v>18.181818181818183</v>
      </c>
    </row>
    <row r="969" spans="1:35" ht="15.75" hidden="1" customHeight="1">
      <c r="A969" s="244" t="s">
        <v>1212</v>
      </c>
      <c r="B969" s="226">
        <v>44127</v>
      </c>
      <c r="C969" s="149">
        <v>13581.71</v>
      </c>
      <c r="D969" s="107">
        <f t="shared" si="5"/>
        <v>4.5</v>
      </c>
      <c r="E969" s="107">
        <v>249</v>
      </c>
      <c r="F969" s="107" t="s">
        <v>263</v>
      </c>
      <c r="G969" s="178">
        <v>44127</v>
      </c>
      <c r="H969" s="178">
        <v>44127</v>
      </c>
      <c r="I969" s="178">
        <v>44130</v>
      </c>
      <c r="J969" s="178">
        <v>44132</v>
      </c>
      <c r="K969" s="178">
        <v>44134</v>
      </c>
      <c r="L969" s="178">
        <v>44137</v>
      </c>
      <c r="M969" s="178">
        <v>44139</v>
      </c>
      <c r="N969" s="178">
        <v>44144</v>
      </c>
      <c r="O969" s="178">
        <v>44152</v>
      </c>
      <c r="AA969" s="166">
        <v>44162</v>
      </c>
      <c r="AG969" s="107">
        <f t="shared" si="4"/>
        <v>18.181818181818183</v>
      </c>
      <c r="AH969" s="108">
        <f>(AD969-AF969)/(D969*$K$1*2)%</f>
        <v>0</v>
      </c>
      <c r="AI969" s="108">
        <f>(AE969+AF969)/(D969*$K$1*2)%</f>
        <v>0</v>
      </c>
    </row>
    <row r="970" spans="1:35" ht="15.75" hidden="1" customHeight="1">
      <c r="A970" s="244" t="s">
        <v>1213</v>
      </c>
      <c r="B970" s="226">
        <v>44127</v>
      </c>
      <c r="C970" s="149">
        <v>9883.93</v>
      </c>
      <c r="D970" s="107">
        <f t="shared" si="5"/>
        <v>4.5</v>
      </c>
      <c r="E970" s="107">
        <v>250</v>
      </c>
      <c r="F970" s="107" t="s">
        <v>323</v>
      </c>
      <c r="G970" s="178">
        <v>44127</v>
      </c>
      <c r="H970" s="178">
        <v>44127</v>
      </c>
      <c r="I970" s="178">
        <v>44130</v>
      </c>
      <c r="J970" s="178">
        <v>44132</v>
      </c>
      <c r="K970" s="178">
        <v>44134</v>
      </c>
      <c r="L970" s="178">
        <v>44137</v>
      </c>
      <c r="M970" s="178">
        <v>44139</v>
      </c>
      <c r="N970" s="178">
        <v>44141</v>
      </c>
      <c r="O970" s="178">
        <v>44144</v>
      </c>
      <c r="AA970" s="166">
        <v>44153</v>
      </c>
      <c r="AG970" s="107">
        <f t="shared" si="4"/>
        <v>18.181818181818183</v>
      </c>
    </row>
    <row r="971" spans="1:35" ht="15.75" hidden="1" customHeight="1">
      <c r="A971" s="244" t="s">
        <v>1214</v>
      </c>
      <c r="B971" s="226">
        <v>44127</v>
      </c>
      <c r="C971" s="149">
        <v>9883.93</v>
      </c>
      <c r="D971" s="107">
        <f t="shared" si="5"/>
        <v>4.5</v>
      </c>
      <c r="E971" s="107">
        <v>250</v>
      </c>
      <c r="F971" s="107" t="s">
        <v>263</v>
      </c>
      <c r="G971" s="178">
        <v>44127</v>
      </c>
      <c r="H971" s="178">
        <v>44127</v>
      </c>
      <c r="I971" s="178">
        <v>44130</v>
      </c>
      <c r="J971" s="178">
        <v>44132</v>
      </c>
      <c r="K971" s="178">
        <v>44134</v>
      </c>
      <c r="L971" s="178">
        <v>44137</v>
      </c>
      <c r="M971" s="178">
        <v>44139</v>
      </c>
      <c r="N971" s="178">
        <v>44144</v>
      </c>
      <c r="O971" s="178">
        <v>44152</v>
      </c>
      <c r="AA971" s="166">
        <v>44162</v>
      </c>
      <c r="AG971" s="107">
        <f t="shared" si="4"/>
        <v>18.181818181818183</v>
      </c>
      <c r="AH971" s="108">
        <f>(AD971-AF971)/(D971*$K$1*2)%</f>
        <v>0</v>
      </c>
      <c r="AI971" s="108">
        <f>(AE971+AF971)/(D971*$K$1*2)%</f>
        <v>0</v>
      </c>
    </row>
    <row r="972" spans="1:35" ht="15.75" hidden="1" customHeight="1">
      <c r="A972" s="244" t="s">
        <v>1215</v>
      </c>
      <c r="B972" s="226">
        <v>44127</v>
      </c>
      <c r="C972" s="149">
        <v>10898.86</v>
      </c>
      <c r="D972" s="107">
        <f t="shared" si="5"/>
        <v>5.5</v>
      </c>
      <c r="E972" s="107">
        <v>251</v>
      </c>
      <c r="F972" s="107" t="s">
        <v>263</v>
      </c>
      <c r="G972" s="178">
        <v>44127</v>
      </c>
      <c r="H972" s="178">
        <v>44127</v>
      </c>
      <c r="I972" s="178">
        <v>44132</v>
      </c>
      <c r="J972" s="178">
        <v>44134</v>
      </c>
      <c r="K972" s="178">
        <v>44137</v>
      </c>
      <c r="L972" s="178">
        <v>44139</v>
      </c>
      <c r="M972" s="178">
        <v>44144</v>
      </c>
      <c r="N972" s="178">
        <v>44146</v>
      </c>
      <c r="O972" s="178">
        <v>44148</v>
      </c>
      <c r="P972" s="178">
        <v>44152</v>
      </c>
      <c r="Q972" s="178">
        <v>44153</v>
      </c>
      <c r="AA972" s="166">
        <v>44162</v>
      </c>
      <c r="AG972" s="107">
        <f t="shared" si="4"/>
        <v>18.181818181818183</v>
      </c>
      <c r="AH972" s="108">
        <f>(AD972-AF972)/(D972*$K$1*2)%</f>
        <v>0</v>
      </c>
      <c r="AI972" s="108">
        <f>(AE972+AF972)/(D972*$K$1*2)%</f>
        <v>0</v>
      </c>
    </row>
    <row r="973" spans="1:35" ht="15.75" hidden="1" customHeight="1">
      <c r="A973" s="244" t="s">
        <v>1216</v>
      </c>
      <c r="B973" s="226">
        <v>44127</v>
      </c>
      <c r="C973" s="149">
        <v>10898.86</v>
      </c>
      <c r="D973" s="107">
        <f t="shared" si="5"/>
        <v>4.5</v>
      </c>
      <c r="E973" s="107">
        <v>251</v>
      </c>
      <c r="F973" s="107" t="s">
        <v>263</v>
      </c>
      <c r="G973" s="178">
        <v>44127</v>
      </c>
      <c r="H973" s="178">
        <v>44127</v>
      </c>
      <c r="I973" s="178">
        <v>44132</v>
      </c>
      <c r="J973" s="178">
        <v>44134</v>
      </c>
      <c r="K973" s="178">
        <v>44137</v>
      </c>
      <c r="L973" s="178">
        <v>44139</v>
      </c>
      <c r="M973" s="178">
        <v>44144</v>
      </c>
      <c r="N973" s="178">
        <v>44146</v>
      </c>
      <c r="O973" s="178">
        <v>44152</v>
      </c>
      <c r="AA973" s="166">
        <v>44162</v>
      </c>
      <c r="AG973" s="107">
        <f t="shared" si="4"/>
        <v>18.181818181818183</v>
      </c>
      <c r="AH973" s="108">
        <f>(AD973-AF973)/(D973*$K$1*2)%</f>
        <v>0</v>
      </c>
      <c r="AI973" s="108">
        <f>(AE973+AF973)/(D973*$K$1*2)%</f>
        <v>0</v>
      </c>
    </row>
    <row r="974" spans="1:35" ht="15.75" hidden="1" customHeight="1">
      <c r="A974" s="244" t="s">
        <v>1217</v>
      </c>
      <c r="B974" s="226">
        <v>44127</v>
      </c>
      <c r="C974" s="149">
        <v>10898.86</v>
      </c>
      <c r="D974" s="107">
        <f t="shared" si="5"/>
        <v>4.5</v>
      </c>
      <c r="E974" s="107">
        <v>251</v>
      </c>
      <c r="F974" s="107" t="s">
        <v>263</v>
      </c>
      <c r="G974" s="178">
        <v>44127</v>
      </c>
      <c r="H974" s="178">
        <v>44127</v>
      </c>
      <c r="I974" s="178">
        <v>44132</v>
      </c>
      <c r="J974" s="178">
        <v>44134</v>
      </c>
      <c r="K974" s="178">
        <v>44137</v>
      </c>
      <c r="L974" s="178">
        <v>44139</v>
      </c>
      <c r="M974" s="178">
        <v>44144</v>
      </c>
      <c r="N974" s="178">
        <v>44152</v>
      </c>
      <c r="O974" s="178">
        <v>44153</v>
      </c>
      <c r="AA974" s="166">
        <v>44162</v>
      </c>
      <c r="AC974" s="107">
        <f>10/15*100</f>
        <v>66.666666666666657</v>
      </c>
      <c r="AD974" s="107">
        <v>552</v>
      </c>
      <c r="AE974" s="107">
        <v>228.5</v>
      </c>
      <c r="AG974" s="107">
        <f t="shared" si="4"/>
        <v>18.181818181818183</v>
      </c>
      <c r="AH974" s="108">
        <f>(AD974-AF974)/(D974*$K$1*2)%</f>
        <v>11.151515151515152</v>
      </c>
      <c r="AI974" s="108">
        <f>(AE974+AF974)/(D974*$K$1*2)%</f>
        <v>4.6161616161616159</v>
      </c>
    </row>
    <row r="975" spans="1:35" ht="15.75" hidden="1" customHeight="1">
      <c r="A975" s="244" t="s">
        <v>1218</v>
      </c>
      <c r="B975" s="226">
        <v>44127</v>
      </c>
      <c r="C975" s="149">
        <v>10898.86</v>
      </c>
      <c r="D975" s="107">
        <f t="shared" si="5"/>
        <v>4.5</v>
      </c>
      <c r="E975" s="107">
        <v>251</v>
      </c>
      <c r="F975" s="107" t="s">
        <v>263</v>
      </c>
      <c r="G975" s="178">
        <v>44127</v>
      </c>
      <c r="H975" s="178">
        <v>44127</v>
      </c>
      <c r="I975" s="178">
        <v>44132</v>
      </c>
      <c r="J975" s="178">
        <v>44134</v>
      </c>
      <c r="K975" s="178">
        <v>44137</v>
      </c>
      <c r="L975" s="178">
        <v>44139</v>
      </c>
      <c r="M975" s="178">
        <v>44144</v>
      </c>
      <c r="N975" s="178">
        <v>44148</v>
      </c>
      <c r="O975" s="178">
        <v>44152</v>
      </c>
      <c r="AA975" s="166">
        <v>44162</v>
      </c>
      <c r="AG975" s="107">
        <f t="shared" si="4"/>
        <v>18.181818181818183</v>
      </c>
      <c r="AH975" s="108">
        <f>(AD975-AF975)/(D975*$K$1*2)%</f>
        <v>0</v>
      </c>
      <c r="AI975" s="108">
        <f>(AE975+AF975)/(D975*$K$1*2)%</f>
        <v>0</v>
      </c>
    </row>
    <row r="976" spans="1:35" ht="15.75" hidden="1" customHeight="1">
      <c r="A976" s="244" t="s">
        <v>1219</v>
      </c>
      <c r="B976" s="226">
        <v>44127</v>
      </c>
      <c r="C976" s="149">
        <v>10898.86</v>
      </c>
      <c r="D976" s="107">
        <f t="shared" si="5"/>
        <v>4.5</v>
      </c>
      <c r="E976" s="107">
        <v>251</v>
      </c>
      <c r="F976" s="107" t="s">
        <v>263</v>
      </c>
      <c r="G976" s="178">
        <v>44127</v>
      </c>
      <c r="H976" s="178">
        <v>44127</v>
      </c>
      <c r="I976" s="178">
        <v>44132</v>
      </c>
      <c r="J976" s="178">
        <v>44134</v>
      </c>
      <c r="K976" s="178">
        <v>44137</v>
      </c>
      <c r="L976" s="178">
        <v>44139</v>
      </c>
      <c r="M976" s="178">
        <v>44144</v>
      </c>
      <c r="N976" s="178">
        <v>44146</v>
      </c>
      <c r="O976" s="178">
        <v>44152</v>
      </c>
      <c r="AA976" s="166">
        <v>44162</v>
      </c>
      <c r="AG976" s="107">
        <f t="shared" si="4"/>
        <v>18.181818181818183</v>
      </c>
      <c r="AH976" s="108">
        <f>(AD976-AF976)/(D976*$K$1*2)%</f>
        <v>0</v>
      </c>
      <c r="AI976" s="108">
        <f>(AE976+AF976)/(D976*$K$1*2)%</f>
        <v>0</v>
      </c>
    </row>
    <row r="977" spans="1:35" ht="15.75" hidden="1" customHeight="1">
      <c r="A977" s="244" t="s">
        <v>1220</v>
      </c>
      <c r="B977" s="226">
        <v>44127</v>
      </c>
      <c r="C977" s="149">
        <v>10898.86</v>
      </c>
      <c r="D977" s="107">
        <f t="shared" si="5"/>
        <v>4</v>
      </c>
      <c r="E977" s="107">
        <v>251</v>
      </c>
      <c r="F977" s="107" t="s">
        <v>263</v>
      </c>
      <c r="G977" s="178">
        <v>44127</v>
      </c>
      <c r="H977" s="178">
        <v>44127</v>
      </c>
      <c r="I977" s="178">
        <v>44132</v>
      </c>
      <c r="J977" s="178">
        <v>44134</v>
      </c>
      <c r="K977" s="178">
        <v>44137</v>
      </c>
      <c r="L977" s="178">
        <v>44139</v>
      </c>
      <c r="M977" s="178">
        <v>44144</v>
      </c>
      <c r="N977" s="178">
        <v>44152</v>
      </c>
      <c r="AA977" s="166">
        <v>44162</v>
      </c>
      <c r="AC977" s="107">
        <f>12/14*100</f>
        <v>85.714285714285708</v>
      </c>
      <c r="AD977" s="107">
        <v>474</v>
      </c>
      <c r="AE977" s="107">
        <v>219.5</v>
      </c>
      <c r="AG977" s="107">
        <f t="shared" si="4"/>
        <v>18.181818181818183</v>
      </c>
      <c r="AH977" s="108">
        <f>(AD977-AF977)/(D977*$K$1*2)%</f>
        <v>10.772727272727273</v>
      </c>
      <c r="AI977" s="108">
        <f>(AE977+AF977)/(D977*$K$1*2)%</f>
        <v>4.9886363636363633</v>
      </c>
    </row>
    <row r="978" spans="1:35" ht="15.75" hidden="1" customHeight="1">
      <c r="A978" s="244" t="s">
        <v>1221</v>
      </c>
      <c r="B978" s="226">
        <v>44127</v>
      </c>
      <c r="C978" s="149">
        <v>10898.86</v>
      </c>
      <c r="D978" s="107">
        <f t="shared" si="5"/>
        <v>4.5</v>
      </c>
      <c r="E978" s="107">
        <v>251</v>
      </c>
      <c r="F978" s="107" t="s">
        <v>263</v>
      </c>
      <c r="G978" s="178">
        <v>44127</v>
      </c>
      <c r="H978" s="178">
        <v>44127</v>
      </c>
      <c r="I978" s="178">
        <v>44132</v>
      </c>
      <c r="J978" s="178">
        <v>44134</v>
      </c>
      <c r="K978" s="178">
        <v>44137</v>
      </c>
      <c r="L978" s="178">
        <v>44139</v>
      </c>
      <c r="M978" s="178">
        <v>44144</v>
      </c>
      <c r="N978" s="178">
        <v>44148</v>
      </c>
      <c r="O978" s="178">
        <v>44152</v>
      </c>
      <c r="AA978" s="166">
        <v>44162</v>
      </c>
      <c r="AC978" s="107">
        <f>11/13*100</f>
        <v>84.615384615384613</v>
      </c>
      <c r="AD978" s="107">
        <v>503.5</v>
      </c>
      <c r="AE978" s="107">
        <v>222</v>
      </c>
      <c r="AG978" s="107">
        <f t="shared" si="4"/>
        <v>18.181818181818183</v>
      </c>
      <c r="AH978" s="108">
        <f>(AD978-AF978)/(D978*$K$1*2)%</f>
        <v>10.171717171717171</v>
      </c>
      <c r="AI978" s="108">
        <f>(AE978+AF978)/(D978*$K$1*2)%</f>
        <v>4.4848484848484844</v>
      </c>
    </row>
    <row r="979" spans="1:35" ht="15.75" hidden="1" customHeight="1">
      <c r="A979" s="244" t="s">
        <v>1222</v>
      </c>
      <c r="B979" s="226">
        <v>44127</v>
      </c>
      <c r="C979" s="149">
        <v>10485.78</v>
      </c>
      <c r="D979" s="107">
        <f t="shared" si="5"/>
        <v>4.5</v>
      </c>
      <c r="E979" s="107">
        <v>252</v>
      </c>
      <c r="F979" s="107" t="s">
        <v>263</v>
      </c>
      <c r="G979" s="178">
        <v>44127</v>
      </c>
      <c r="H979" s="178">
        <v>44127</v>
      </c>
      <c r="I979" s="178">
        <v>44132</v>
      </c>
      <c r="J979" s="178">
        <v>44134</v>
      </c>
      <c r="K979" s="178">
        <v>44137</v>
      </c>
      <c r="L979" s="178">
        <v>44139</v>
      </c>
      <c r="M979" s="178">
        <v>44139</v>
      </c>
      <c r="N979" s="178">
        <v>44144</v>
      </c>
      <c r="O979" s="178">
        <v>44146</v>
      </c>
      <c r="AA979" s="166">
        <v>44153</v>
      </c>
      <c r="AC979" s="107">
        <f>4/13*100</f>
        <v>30.76923076923077</v>
      </c>
      <c r="AD979" s="107">
        <v>495.5</v>
      </c>
      <c r="AE979" s="107">
        <v>197</v>
      </c>
      <c r="AG979" s="107">
        <f t="shared" si="4"/>
        <v>0</v>
      </c>
      <c r="AH979" s="108">
        <f>(AD979-AF979)/(D979*$K$1*2)%</f>
        <v>10.01010101010101</v>
      </c>
      <c r="AI979" s="108">
        <f>(AE979+AF979)/(D979*$K$1*2)%</f>
        <v>3.9797979797979797</v>
      </c>
    </row>
    <row r="980" spans="1:35" ht="15.75" hidden="1" customHeight="1">
      <c r="A980" s="244" t="s">
        <v>1223</v>
      </c>
      <c r="B980" s="226">
        <v>44127</v>
      </c>
      <c r="C980" s="149">
        <v>10485.78</v>
      </c>
      <c r="D980" s="107">
        <f t="shared" si="5"/>
        <v>4</v>
      </c>
      <c r="E980" s="107">
        <v>252</v>
      </c>
      <c r="F980" s="107" t="s">
        <v>263</v>
      </c>
      <c r="G980" s="178">
        <v>44127</v>
      </c>
      <c r="H980" s="178">
        <v>44127</v>
      </c>
      <c r="I980" s="178">
        <v>44130</v>
      </c>
      <c r="J980" s="178">
        <v>44132</v>
      </c>
      <c r="K980" s="178">
        <v>44134</v>
      </c>
      <c r="L980" s="178">
        <v>44137</v>
      </c>
      <c r="M980" s="178">
        <v>44139</v>
      </c>
      <c r="N980" s="178">
        <v>44144</v>
      </c>
      <c r="AA980" s="166">
        <v>44153</v>
      </c>
      <c r="AC980" s="107">
        <f>19/23*100</f>
        <v>82.608695652173907</v>
      </c>
      <c r="AD980" s="107">
        <v>457.5</v>
      </c>
      <c r="AE980" s="107">
        <v>188.5</v>
      </c>
      <c r="AG980" s="107">
        <f t="shared" si="4"/>
        <v>0</v>
      </c>
      <c r="AH980" s="108">
        <f>(AD980-AF980)/(D980*$K$1*2)%</f>
        <v>10.397727272727273</v>
      </c>
      <c r="AI980" s="108">
        <f>(AE980+AF980)/(D980*$K$1*2)%</f>
        <v>4.2840909090909092</v>
      </c>
    </row>
    <row r="981" spans="1:35" ht="15.75" hidden="1" customHeight="1">
      <c r="A981" s="244" t="s">
        <v>1224</v>
      </c>
      <c r="B981" s="226">
        <v>44127</v>
      </c>
      <c r="C981" s="149">
        <v>10485.78</v>
      </c>
      <c r="D981" s="107">
        <f t="shared" si="5"/>
        <v>3.5</v>
      </c>
      <c r="E981" s="107">
        <v>252</v>
      </c>
      <c r="F981" s="107" t="s">
        <v>263</v>
      </c>
      <c r="G981" s="178">
        <v>44127</v>
      </c>
      <c r="H981" s="178">
        <v>44127</v>
      </c>
      <c r="I981" s="178">
        <v>44130</v>
      </c>
      <c r="J981" s="178">
        <v>44132</v>
      </c>
      <c r="K981" s="178">
        <v>44134</v>
      </c>
      <c r="L981" s="178">
        <v>44137</v>
      </c>
      <c r="M981" s="178">
        <v>44144</v>
      </c>
      <c r="AA981" s="166">
        <v>44153</v>
      </c>
      <c r="AG981" s="107">
        <f t="shared" si="4"/>
        <v>0</v>
      </c>
      <c r="AH981" s="108">
        <f>(AD981-AF981)/(D981*$K$1*2)%</f>
        <v>0</v>
      </c>
      <c r="AI981" s="108">
        <f>(AE981+AF981)/(D981*$K$1*2)%</f>
        <v>0</v>
      </c>
    </row>
    <row r="982" spans="1:35" ht="15.75" hidden="1" customHeight="1">
      <c r="A982" s="244" t="s">
        <v>1225</v>
      </c>
      <c r="B982" s="226">
        <v>44127</v>
      </c>
      <c r="C982" s="149">
        <v>10485.78</v>
      </c>
      <c r="D982" s="107">
        <f t="shared" si="5"/>
        <v>4</v>
      </c>
      <c r="E982" s="107">
        <v>252</v>
      </c>
      <c r="F982" s="107" t="s">
        <v>263</v>
      </c>
      <c r="G982" s="178">
        <v>44127</v>
      </c>
      <c r="H982" s="178">
        <v>44127</v>
      </c>
      <c r="I982" s="178">
        <v>44130</v>
      </c>
      <c r="J982" s="178">
        <v>44132</v>
      </c>
      <c r="K982" s="178">
        <v>44134</v>
      </c>
      <c r="L982" s="178">
        <v>44137</v>
      </c>
      <c r="M982" s="178">
        <v>44139</v>
      </c>
      <c r="N982" s="178">
        <v>44144</v>
      </c>
      <c r="AA982" s="166">
        <v>44153</v>
      </c>
      <c r="AG982" s="107">
        <f t="shared" si="4"/>
        <v>0</v>
      </c>
      <c r="AH982" s="108">
        <f>(AD982-AF982)/(D982*$K$1*2)%</f>
        <v>0</v>
      </c>
      <c r="AI982" s="108">
        <f>(AE982+AF982)/(D982*$K$1*2)%</f>
        <v>0</v>
      </c>
    </row>
    <row r="983" spans="1:35" ht="15.75" hidden="1" customHeight="1">
      <c r="A983" s="244" t="s">
        <v>1226</v>
      </c>
      <c r="B983" s="226">
        <v>44127</v>
      </c>
      <c r="C983" s="149">
        <v>10485.78</v>
      </c>
      <c r="D983" s="107">
        <f t="shared" si="5"/>
        <v>4.5</v>
      </c>
      <c r="E983" s="107">
        <v>252</v>
      </c>
      <c r="F983" s="107" t="s">
        <v>263</v>
      </c>
      <c r="G983" s="178">
        <v>44127</v>
      </c>
      <c r="H983" s="178">
        <v>44127</v>
      </c>
      <c r="I983" s="178">
        <v>44130</v>
      </c>
      <c r="J983" s="178">
        <v>44132</v>
      </c>
      <c r="K983" s="178">
        <v>44134</v>
      </c>
      <c r="L983" s="178">
        <v>44137</v>
      </c>
      <c r="M983" s="178">
        <v>44139</v>
      </c>
      <c r="N983" s="178">
        <v>44144</v>
      </c>
      <c r="O983" s="178">
        <v>44146</v>
      </c>
      <c r="AA983" s="166">
        <v>44153</v>
      </c>
      <c r="AC983" s="107">
        <f>12/27*100</f>
        <v>44.444444444444443</v>
      </c>
      <c r="AD983" s="107">
        <v>440</v>
      </c>
      <c r="AE983" s="107">
        <v>199.5</v>
      </c>
      <c r="AG983" s="107">
        <f t="shared" si="4"/>
        <v>0</v>
      </c>
      <c r="AH983" s="108">
        <f>(AD983-AF983)/(D983*$K$1*2)%</f>
        <v>8.8888888888888893</v>
      </c>
      <c r="AI983" s="108">
        <f>(AE983+AF983)/(D983*$K$1*2)%</f>
        <v>4.0303030303030303</v>
      </c>
    </row>
    <row r="984" spans="1:35" ht="15.75" hidden="1" customHeight="1">
      <c r="A984" s="244" t="s">
        <v>1227</v>
      </c>
      <c r="B984" s="226">
        <v>44132</v>
      </c>
      <c r="C984" s="244">
        <v>11577.82</v>
      </c>
      <c r="D984" s="107">
        <f t="shared" si="5"/>
        <v>2</v>
      </c>
      <c r="E984" s="107">
        <v>253</v>
      </c>
      <c r="F984" s="107" t="s">
        <v>323</v>
      </c>
      <c r="G984" s="178">
        <v>44132</v>
      </c>
      <c r="H984" s="178">
        <v>44132</v>
      </c>
      <c r="I984" s="178">
        <v>44137</v>
      </c>
      <c r="J984" s="178">
        <v>44144</v>
      </c>
      <c r="AA984" s="166">
        <v>44146</v>
      </c>
    </row>
    <row r="985" spans="1:35" ht="15.75" hidden="1" customHeight="1">
      <c r="A985" s="244" t="s">
        <v>1228</v>
      </c>
      <c r="B985" s="226">
        <v>44132</v>
      </c>
      <c r="C985" s="244">
        <v>11577.82</v>
      </c>
      <c r="D985" s="107">
        <f t="shared" si="5"/>
        <v>2</v>
      </c>
      <c r="E985" s="107">
        <v>253</v>
      </c>
      <c r="F985" s="107" t="s">
        <v>323</v>
      </c>
      <c r="G985" s="178">
        <v>44132</v>
      </c>
      <c r="H985" s="178">
        <v>44132</v>
      </c>
      <c r="I985" s="178">
        <v>44137</v>
      </c>
      <c r="J985" s="178">
        <v>44144</v>
      </c>
      <c r="AA985" s="166">
        <v>44146</v>
      </c>
    </row>
    <row r="986" spans="1:35" ht="15.75" hidden="1" customHeight="1">
      <c r="A986" s="244" t="s">
        <v>1229</v>
      </c>
      <c r="B986" s="226">
        <v>44132</v>
      </c>
      <c r="C986" s="244">
        <v>11577.82</v>
      </c>
      <c r="D986" s="107">
        <f t="shared" si="5"/>
        <v>2</v>
      </c>
      <c r="E986" s="107">
        <v>253</v>
      </c>
      <c r="F986" s="107" t="s">
        <v>323</v>
      </c>
      <c r="G986" s="178">
        <v>44132</v>
      </c>
      <c r="H986" s="178">
        <v>44132</v>
      </c>
      <c r="I986" s="178">
        <v>44137</v>
      </c>
      <c r="J986" s="178">
        <v>44144</v>
      </c>
      <c r="AA986" s="166">
        <v>44146</v>
      </c>
    </row>
    <row r="987" spans="1:35" ht="15.75" hidden="1" customHeight="1">
      <c r="A987" s="244" t="s">
        <v>1230</v>
      </c>
      <c r="B987" s="226">
        <v>44132</v>
      </c>
      <c r="C987" s="244">
        <v>11577.82</v>
      </c>
      <c r="D987" s="107">
        <f t="shared" si="5"/>
        <v>2</v>
      </c>
      <c r="E987" s="107">
        <v>253</v>
      </c>
      <c r="F987" s="107" t="s">
        <v>323</v>
      </c>
      <c r="G987" s="178">
        <v>44132</v>
      </c>
      <c r="H987" s="178">
        <v>44132</v>
      </c>
      <c r="I987" s="178">
        <v>44137</v>
      </c>
      <c r="J987" s="178">
        <v>44144</v>
      </c>
      <c r="AA987" s="166">
        <v>44146</v>
      </c>
    </row>
    <row r="988" spans="1:35" ht="15.75" hidden="1" customHeight="1">
      <c r="A988" s="244" t="s">
        <v>1231</v>
      </c>
      <c r="B988" s="226">
        <v>44132</v>
      </c>
      <c r="C988" s="244">
        <v>12708.23</v>
      </c>
      <c r="D988" s="107">
        <f t="shared" si="5"/>
        <v>1.5</v>
      </c>
      <c r="E988" s="107">
        <v>254</v>
      </c>
      <c r="F988" s="107" t="s">
        <v>323</v>
      </c>
      <c r="G988" s="178">
        <v>44132</v>
      </c>
      <c r="H988" s="178">
        <v>44132</v>
      </c>
      <c r="I988" s="178">
        <v>44137</v>
      </c>
      <c r="AA988" s="166">
        <v>44146</v>
      </c>
    </row>
    <row r="989" spans="1:35" ht="15.75" hidden="1" customHeight="1">
      <c r="A989" s="244" t="s">
        <v>1232</v>
      </c>
      <c r="B989" s="226">
        <v>44132</v>
      </c>
      <c r="C989" s="244">
        <v>12708.23</v>
      </c>
      <c r="D989" s="107">
        <f t="shared" si="5"/>
        <v>2</v>
      </c>
      <c r="E989" s="107">
        <v>254</v>
      </c>
      <c r="F989" s="107" t="s">
        <v>323</v>
      </c>
      <c r="G989" s="178">
        <v>44132</v>
      </c>
      <c r="H989" s="178">
        <v>44132</v>
      </c>
      <c r="I989" s="178">
        <v>44137</v>
      </c>
      <c r="J989" s="178">
        <v>44141</v>
      </c>
      <c r="AA989" s="166">
        <v>44146</v>
      </c>
    </row>
    <row r="990" spans="1:35" ht="15.75" hidden="1" customHeight="1">
      <c r="A990" s="244" t="s">
        <v>1233</v>
      </c>
      <c r="B990" s="226">
        <v>44132</v>
      </c>
      <c r="C990" s="244">
        <v>12708.23</v>
      </c>
      <c r="D990" s="107">
        <f t="shared" si="5"/>
        <v>2.5</v>
      </c>
      <c r="E990" s="107">
        <v>254</v>
      </c>
      <c r="F990" s="107" t="s">
        <v>323</v>
      </c>
      <c r="G990" s="178">
        <v>44132</v>
      </c>
      <c r="H990" s="178">
        <v>44132</v>
      </c>
      <c r="I990" s="178">
        <v>44137</v>
      </c>
      <c r="J990" s="178">
        <v>44141</v>
      </c>
      <c r="K990" s="178">
        <v>44144</v>
      </c>
      <c r="AA990" s="166">
        <v>44146</v>
      </c>
    </row>
    <row r="991" spans="1:35" ht="15.75" hidden="1" customHeight="1">
      <c r="A991" s="244" t="s">
        <v>1234</v>
      </c>
      <c r="B991" s="226">
        <v>44132</v>
      </c>
      <c r="C991" s="244">
        <v>10179.780000000001</v>
      </c>
      <c r="D991" s="107">
        <f t="shared" si="5"/>
        <v>1.5</v>
      </c>
      <c r="E991" s="107">
        <v>255</v>
      </c>
      <c r="F991" s="107" t="s">
        <v>323</v>
      </c>
      <c r="G991" s="178">
        <v>44132</v>
      </c>
      <c r="H991" s="178">
        <v>44132</v>
      </c>
      <c r="I991" s="178">
        <v>44137</v>
      </c>
      <c r="AA991" s="166">
        <v>44146</v>
      </c>
    </row>
    <row r="992" spans="1:35" ht="15.75" hidden="1" customHeight="1">
      <c r="A992" s="244" t="s">
        <v>1235</v>
      </c>
      <c r="B992" s="226">
        <v>44132</v>
      </c>
      <c r="C992" s="244">
        <v>10179.780000000001</v>
      </c>
      <c r="D992" s="107">
        <f t="shared" si="5"/>
        <v>2</v>
      </c>
      <c r="E992" s="107">
        <v>255</v>
      </c>
      <c r="F992" s="107" t="s">
        <v>323</v>
      </c>
      <c r="G992" s="178">
        <v>44132</v>
      </c>
      <c r="H992" s="178">
        <v>44132</v>
      </c>
      <c r="I992" s="178">
        <v>44137</v>
      </c>
      <c r="J992" s="178">
        <v>44144</v>
      </c>
      <c r="AA992" s="166">
        <v>44146</v>
      </c>
    </row>
    <row r="993" spans="1:27" ht="15.75" hidden="1" customHeight="1">
      <c r="A993" s="244" t="s">
        <v>1236</v>
      </c>
      <c r="B993" s="226">
        <v>44132</v>
      </c>
      <c r="C993" s="244">
        <v>10179.780000000001</v>
      </c>
      <c r="D993" s="107">
        <f t="shared" si="5"/>
        <v>2</v>
      </c>
      <c r="E993" s="107">
        <v>255</v>
      </c>
      <c r="F993" s="107" t="s">
        <v>323</v>
      </c>
      <c r="G993" s="178">
        <v>44132</v>
      </c>
      <c r="H993" s="178">
        <v>44132</v>
      </c>
      <c r="I993" s="178">
        <v>44137</v>
      </c>
      <c r="J993" s="178">
        <v>44144</v>
      </c>
      <c r="AA993" s="166">
        <v>44146</v>
      </c>
    </row>
    <row r="994" spans="1:27" ht="15.75" hidden="1" customHeight="1">
      <c r="A994" s="244" t="s">
        <v>1237</v>
      </c>
      <c r="B994" s="226">
        <v>44132</v>
      </c>
      <c r="C994" s="244">
        <v>10179.780000000001</v>
      </c>
      <c r="D994" s="107">
        <f t="shared" si="5"/>
        <v>2</v>
      </c>
      <c r="E994" s="107">
        <v>255</v>
      </c>
      <c r="F994" s="107" t="s">
        <v>323</v>
      </c>
      <c r="G994" s="178">
        <v>44132</v>
      </c>
      <c r="H994" s="178">
        <v>44132</v>
      </c>
      <c r="I994" s="178">
        <v>44137</v>
      </c>
      <c r="J994" s="178">
        <v>44144</v>
      </c>
      <c r="AA994" s="166">
        <v>44146</v>
      </c>
    </row>
    <row r="995" spans="1:27" ht="15.75" hidden="1" customHeight="1">
      <c r="A995" s="244" t="s">
        <v>1238</v>
      </c>
      <c r="B995" s="226">
        <v>44132</v>
      </c>
      <c r="C995" s="244">
        <v>10179.780000000001</v>
      </c>
      <c r="D995" s="107">
        <f t="shared" si="5"/>
        <v>1.5</v>
      </c>
      <c r="E995" s="107">
        <v>255</v>
      </c>
      <c r="F995" s="107" t="s">
        <v>323</v>
      </c>
      <c r="G995" s="178">
        <v>44132</v>
      </c>
      <c r="H995" s="178">
        <v>44132</v>
      </c>
      <c r="I995" s="178">
        <v>44137</v>
      </c>
      <c r="AA995" s="166">
        <v>44146</v>
      </c>
    </row>
    <row r="996" spans="1:27" ht="15.75" hidden="1" customHeight="1">
      <c r="A996" s="244" t="s">
        <v>1239</v>
      </c>
      <c r="B996" s="226">
        <v>44132</v>
      </c>
      <c r="C996" s="244">
        <v>10179.780000000001</v>
      </c>
      <c r="D996" s="107">
        <f t="shared" si="5"/>
        <v>2</v>
      </c>
      <c r="E996" s="107">
        <v>255</v>
      </c>
      <c r="F996" s="107" t="s">
        <v>323</v>
      </c>
      <c r="G996" s="178">
        <v>44132</v>
      </c>
      <c r="H996" s="178">
        <v>44132</v>
      </c>
      <c r="I996" s="178">
        <v>44137</v>
      </c>
      <c r="J996" s="178">
        <v>44144</v>
      </c>
      <c r="AA996" s="166">
        <v>44146</v>
      </c>
    </row>
    <row r="997" spans="1:27" ht="15.75" hidden="1" customHeight="1">
      <c r="A997" s="244" t="s">
        <v>1240</v>
      </c>
      <c r="B997" s="226">
        <v>44132</v>
      </c>
      <c r="C997" s="244">
        <v>10179.780000000001</v>
      </c>
      <c r="D997" s="107">
        <f t="shared" si="5"/>
        <v>2</v>
      </c>
      <c r="E997" s="107">
        <v>255</v>
      </c>
      <c r="F997" s="107" t="s">
        <v>323</v>
      </c>
      <c r="G997" s="178">
        <v>44132</v>
      </c>
      <c r="H997" s="178">
        <v>44132</v>
      </c>
      <c r="I997" s="178">
        <v>44137</v>
      </c>
      <c r="J997" s="178">
        <v>44144</v>
      </c>
      <c r="AA997" s="166">
        <v>44146</v>
      </c>
    </row>
    <row r="998" spans="1:27" ht="15.75" hidden="1" customHeight="1">
      <c r="A998" s="244" t="s">
        <v>1241</v>
      </c>
      <c r="B998" s="226">
        <v>44132</v>
      </c>
      <c r="C998" s="244">
        <v>10179.780000000001</v>
      </c>
      <c r="D998" s="107">
        <f t="shared" si="5"/>
        <v>1.5</v>
      </c>
      <c r="E998" s="107">
        <v>255</v>
      </c>
      <c r="F998" s="107" t="s">
        <v>323</v>
      </c>
      <c r="G998" s="178">
        <v>44132</v>
      </c>
      <c r="H998" s="178">
        <v>44132</v>
      </c>
      <c r="I998" s="178">
        <v>44137</v>
      </c>
      <c r="AA998" s="166">
        <v>44146</v>
      </c>
    </row>
    <row r="999" spans="1:27" ht="15.75" hidden="1" customHeight="1">
      <c r="A999" s="244" t="s">
        <v>1242</v>
      </c>
      <c r="B999" s="226">
        <v>44132</v>
      </c>
      <c r="C999" s="244">
        <v>10179.780000000001</v>
      </c>
      <c r="D999" s="107">
        <f t="shared" si="5"/>
        <v>2</v>
      </c>
      <c r="E999" s="107">
        <v>255</v>
      </c>
      <c r="F999" s="107" t="s">
        <v>323</v>
      </c>
      <c r="G999" s="178">
        <v>44132</v>
      </c>
      <c r="H999" s="178">
        <v>44132</v>
      </c>
      <c r="I999" s="178">
        <v>44137</v>
      </c>
      <c r="J999" s="178">
        <v>44144</v>
      </c>
      <c r="AA999" s="166">
        <v>44146</v>
      </c>
    </row>
    <row r="1000" spans="1:27" ht="15.75" hidden="1" customHeight="1">
      <c r="A1000" s="244" t="s">
        <v>1243</v>
      </c>
      <c r="B1000" s="226">
        <v>44132</v>
      </c>
      <c r="C1000" s="244">
        <v>11527.47</v>
      </c>
      <c r="D1000" s="107">
        <f t="shared" si="5"/>
        <v>2.5</v>
      </c>
      <c r="E1000" s="107">
        <v>256</v>
      </c>
      <c r="F1000" s="107" t="s">
        <v>323</v>
      </c>
      <c r="G1000" s="178">
        <v>44132</v>
      </c>
      <c r="H1000" s="178">
        <v>44132</v>
      </c>
      <c r="I1000" s="178">
        <v>44137</v>
      </c>
      <c r="J1000" s="178">
        <v>44141</v>
      </c>
      <c r="K1000" s="178">
        <v>44144</v>
      </c>
    </row>
    <row r="1001" spans="1:27" ht="15.75" hidden="1" customHeight="1">
      <c r="A1001" s="244" t="s">
        <v>1244</v>
      </c>
      <c r="B1001" s="226">
        <v>44132</v>
      </c>
      <c r="C1001" s="244">
        <v>11527.47</v>
      </c>
      <c r="D1001" s="107">
        <f t="shared" si="5"/>
        <v>1.5</v>
      </c>
      <c r="E1001" s="107">
        <v>256</v>
      </c>
      <c r="F1001" s="107" t="s">
        <v>323</v>
      </c>
      <c r="G1001" s="178">
        <v>44132</v>
      </c>
      <c r="H1001" s="178">
        <v>44132</v>
      </c>
      <c r="I1001" s="178">
        <v>44137</v>
      </c>
      <c r="AA1001" s="166">
        <v>44146</v>
      </c>
    </row>
    <row r="1002" spans="1:27" ht="15.75" hidden="1" customHeight="1">
      <c r="A1002" s="244" t="s">
        <v>1245</v>
      </c>
      <c r="B1002" s="226">
        <v>44132</v>
      </c>
      <c r="C1002" s="244">
        <v>11527.47</v>
      </c>
      <c r="D1002" s="107">
        <f t="shared" si="5"/>
        <v>2</v>
      </c>
      <c r="E1002" s="107">
        <v>256</v>
      </c>
      <c r="F1002" s="107" t="s">
        <v>323</v>
      </c>
      <c r="G1002" s="178">
        <v>44132</v>
      </c>
      <c r="H1002" s="178">
        <v>44132</v>
      </c>
      <c r="I1002" s="178">
        <v>44137</v>
      </c>
      <c r="J1002" s="178">
        <v>44144</v>
      </c>
      <c r="AA1002" s="166">
        <v>44146</v>
      </c>
    </row>
    <row r="1003" spans="1:27" ht="15.75" hidden="1" customHeight="1">
      <c r="A1003" s="244" t="s">
        <v>1246</v>
      </c>
      <c r="B1003" s="226">
        <v>44132</v>
      </c>
      <c r="C1003" s="244">
        <v>11527.47</v>
      </c>
      <c r="D1003" s="107">
        <f t="shared" si="5"/>
        <v>1.5</v>
      </c>
      <c r="E1003" s="107">
        <v>256</v>
      </c>
      <c r="F1003" s="107" t="s">
        <v>323</v>
      </c>
      <c r="G1003" s="178">
        <v>44132</v>
      </c>
      <c r="H1003" s="178">
        <v>44132</v>
      </c>
      <c r="I1003" s="178">
        <v>44137</v>
      </c>
      <c r="AA1003" s="166">
        <v>44146</v>
      </c>
    </row>
    <row r="1004" spans="1:27" ht="15.75" hidden="1" customHeight="1">
      <c r="A1004" s="244" t="s">
        <v>1247</v>
      </c>
      <c r="B1004" s="226">
        <v>44132</v>
      </c>
      <c r="C1004" s="244">
        <v>10273.27</v>
      </c>
      <c r="D1004" s="107">
        <f t="shared" si="5"/>
        <v>1.5</v>
      </c>
      <c r="E1004" s="107">
        <v>257</v>
      </c>
      <c r="F1004" s="107" t="s">
        <v>323</v>
      </c>
      <c r="G1004" s="178">
        <v>44132</v>
      </c>
      <c r="H1004" s="178">
        <v>44132</v>
      </c>
      <c r="I1004" s="178">
        <v>44137</v>
      </c>
      <c r="AA1004" s="166">
        <v>44147</v>
      </c>
    </row>
    <row r="1005" spans="1:27" ht="15.75" hidden="1" customHeight="1">
      <c r="A1005" s="244" t="s">
        <v>1248</v>
      </c>
      <c r="B1005" s="226">
        <v>44132</v>
      </c>
      <c r="C1005" s="244">
        <v>10273.27</v>
      </c>
      <c r="D1005" s="107">
        <f t="shared" si="5"/>
        <v>2.5</v>
      </c>
      <c r="E1005" s="107">
        <v>257</v>
      </c>
      <c r="F1005" s="107" t="s">
        <v>323</v>
      </c>
      <c r="G1005" s="178">
        <v>44132</v>
      </c>
      <c r="H1005" s="178">
        <v>44132</v>
      </c>
      <c r="I1005" s="178">
        <v>44137</v>
      </c>
      <c r="J1005" s="178">
        <v>44141</v>
      </c>
      <c r="K1005" s="178">
        <v>44144</v>
      </c>
    </row>
    <row r="1006" spans="1:27" ht="15.75" hidden="1" customHeight="1">
      <c r="A1006" s="244" t="s">
        <v>1249</v>
      </c>
      <c r="B1006" s="226">
        <v>44132</v>
      </c>
      <c r="C1006" s="244">
        <v>10273.27</v>
      </c>
      <c r="D1006" s="107">
        <f t="shared" si="5"/>
        <v>1.5</v>
      </c>
      <c r="E1006" s="107">
        <v>257</v>
      </c>
      <c r="F1006" s="107" t="s">
        <v>323</v>
      </c>
      <c r="G1006" s="178">
        <v>44132</v>
      </c>
      <c r="H1006" s="178">
        <v>44132</v>
      </c>
      <c r="I1006" s="178">
        <v>44137</v>
      </c>
      <c r="AA1006" s="166">
        <v>44147</v>
      </c>
    </row>
    <row r="1007" spans="1:27" ht="15.75" hidden="1" customHeight="1">
      <c r="A1007" s="244" t="s">
        <v>1250</v>
      </c>
      <c r="B1007" s="226">
        <v>44132</v>
      </c>
      <c r="C1007" s="244">
        <v>11069.09</v>
      </c>
      <c r="D1007" s="107">
        <f t="shared" si="5"/>
        <v>2</v>
      </c>
      <c r="E1007" s="107">
        <v>258</v>
      </c>
      <c r="F1007" s="107" t="s">
        <v>323</v>
      </c>
      <c r="G1007" s="178">
        <v>44132</v>
      </c>
      <c r="H1007" s="178">
        <v>44132</v>
      </c>
      <c r="I1007" s="178">
        <v>44137</v>
      </c>
      <c r="J1007" s="178">
        <v>44141</v>
      </c>
      <c r="AA1007" s="166">
        <v>44147</v>
      </c>
    </row>
    <row r="1008" spans="1:27" ht="15.75" hidden="1" customHeight="1">
      <c r="A1008" s="244" t="s">
        <v>1251</v>
      </c>
      <c r="B1008" s="226">
        <v>44132</v>
      </c>
      <c r="C1008" s="244">
        <v>11069.09</v>
      </c>
      <c r="D1008" s="107">
        <f t="shared" si="5"/>
        <v>2.5</v>
      </c>
      <c r="E1008" s="107">
        <v>258</v>
      </c>
      <c r="F1008" s="107" t="s">
        <v>323</v>
      </c>
      <c r="G1008" s="178">
        <v>44132</v>
      </c>
      <c r="H1008" s="178">
        <v>44132</v>
      </c>
      <c r="I1008" s="178">
        <v>44137</v>
      </c>
      <c r="J1008" s="178">
        <v>44139</v>
      </c>
      <c r="K1008" s="178">
        <v>44144</v>
      </c>
    </row>
    <row r="1009" spans="1:35" ht="15.75" hidden="1" customHeight="1">
      <c r="A1009" s="244" t="s">
        <v>1252</v>
      </c>
      <c r="B1009" s="226">
        <v>44132</v>
      </c>
      <c r="C1009" s="244">
        <v>10134.450000000001</v>
      </c>
      <c r="D1009" s="107">
        <f t="shared" si="5"/>
        <v>2.5</v>
      </c>
      <c r="E1009" s="107">
        <v>259</v>
      </c>
      <c r="F1009" s="107" t="s">
        <v>323</v>
      </c>
      <c r="G1009" s="178">
        <v>44132</v>
      </c>
      <c r="H1009" s="178">
        <v>44132</v>
      </c>
      <c r="I1009" s="178">
        <v>44137</v>
      </c>
      <c r="J1009" s="178">
        <v>44141</v>
      </c>
      <c r="K1009" s="178">
        <v>44144</v>
      </c>
    </row>
    <row r="1010" spans="1:35" ht="15.75" hidden="1" customHeight="1">
      <c r="A1010" s="244" t="s">
        <v>1253</v>
      </c>
      <c r="B1010" s="226">
        <v>44132</v>
      </c>
      <c r="C1010" s="244">
        <v>10134.450000000001</v>
      </c>
      <c r="D1010" s="107">
        <f t="shared" si="5"/>
        <v>2</v>
      </c>
      <c r="E1010" s="107">
        <v>259</v>
      </c>
      <c r="F1010" s="107" t="s">
        <v>323</v>
      </c>
      <c r="G1010" s="178">
        <v>44132</v>
      </c>
      <c r="H1010" s="178">
        <v>44133</v>
      </c>
      <c r="I1010" s="178">
        <v>44137</v>
      </c>
      <c r="J1010" s="178">
        <v>44144</v>
      </c>
      <c r="AA1010" s="166">
        <v>44147</v>
      </c>
    </row>
    <row r="1011" spans="1:35" ht="15.75" hidden="1" customHeight="1">
      <c r="A1011" s="244" t="s">
        <v>1254</v>
      </c>
      <c r="B1011" s="226">
        <v>44132</v>
      </c>
      <c r="C1011" s="244">
        <v>10134.450000000001</v>
      </c>
      <c r="D1011" s="107">
        <f t="shared" si="5"/>
        <v>2</v>
      </c>
      <c r="E1011" s="107">
        <v>259</v>
      </c>
      <c r="F1011" s="107" t="s">
        <v>323</v>
      </c>
      <c r="G1011" s="178">
        <v>44132</v>
      </c>
      <c r="H1011" s="178">
        <v>44133</v>
      </c>
      <c r="I1011" s="178">
        <v>44137</v>
      </c>
      <c r="J1011" s="178">
        <v>44144</v>
      </c>
    </row>
    <row r="1012" spans="1:35" ht="15.75" hidden="1" customHeight="1">
      <c r="A1012" s="244" t="s">
        <v>1255</v>
      </c>
      <c r="B1012" s="226">
        <v>44132</v>
      </c>
      <c r="C1012" s="244">
        <v>10134.450000000001</v>
      </c>
      <c r="D1012" s="107">
        <f t="shared" si="5"/>
        <v>2.5</v>
      </c>
      <c r="E1012" s="107">
        <v>259</v>
      </c>
      <c r="F1012" s="107" t="s">
        <v>323</v>
      </c>
      <c r="G1012" s="178">
        <v>44132</v>
      </c>
      <c r="H1012" s="178">
        <v>44133</v>
      </c>
      <c r="I1012" s="178">
        <v>44137</v>
      </c>
      <c r="J1012" s="178">
        <v>44139</v>
      </c>
      <c r="K1012" s="178">
        <v>44144</v>
      </c>
    </row>
    <row r="1013" spans="1:35" ht="15.75" hidden="1" customHeight="1">
      <c r="A1013" s="244" t="s">
        <v>1256</v>
      </c>
      <c r="B1013" s="226">
        <v>44132</v>
      </c>
      <c r="C1013" s="244">
        <v>10134.450000000001</v>
      </c>
      <c r="D1013" s="107">
        <f t="shared" si="5"/>
        <v>2</v>
      </c>
      <c r="E1013" s="107">
        <v>259</v>
      </c>
      <c r="F1013" s="107" t="s">
        <v>323</v>
      </c>
      <c r="G1013" s="178">
        <v>44132</v>
      </c>
      <c r="H1013" s="178">
        <v>44133</v>
      </c>
      <c r="I1013" s="178">
        <v>44137</v>
      </c>
      <c r="J1013" s="178">
        <v>44144</v>
      </c>
    </row>
    <row r="1014" spans="1:35" ht="15.75" hidden="1" customHeight="1">
      <c r="A1014" s="244" t="s">
        <v>1257</v>
      </c>
      <c r="B1014" s="226">
        <v>44132</v>
      </c>
      <c r="C1014" s="244">
        <v>10134.450000000001</v>
      </c>
      <c r="D1014" s="107">
        <f t="shared" si="5"/>
        <v>2</v>
      </c>
      <c r="E1014" s="107">
        <v>259</v>
      </c>
      <c r="F1014" s="107" t="s">
        <v>323</v>
      </c>
      <c r="G1014" s="178">
        <v>44132</v>
      </c>
      <c r="H1014" s="178">
        <v>44133</v>
      </c>
      <c r="I1014" s="178">
        <v>44137</v>
      </c>
      <c r="J1014" s="178">
        <v>44144</v>
      </c>
    </row>
    <row r="1015" spans="1:35" ht="15.75" hidden="1" customHeight="1">
      <c r="A1015" s="107" t="s">
        <v>1258</v>
      </c>
      <c r="B1015" s="226">
        <v>44133</v>
      </c>
      <c r="C1015" s="230" t="s">
        <v>23</v>
      </c>
      <c r="D1015" s="107">
        <f t="shared" si="5"/>
        <v>3.5</v>
      </c>
      <c r="F1015" s="107" t="s">
        <v>323</v>
      </c>
      <c r="G1015" s="178">
        <v>44133</v>
      </c>
      <c r="H1015" s="178">
        <v>44133</v>
      </c>
      <c r="I1015" s="178">
        <v>44137</v>
      </c>
      <c r="J1015" s="178">
        <v>44141</v>
      </c>
      <c r="K1015" s="178">
        <v>44144</v>
      </c>
      <c r="L1015" s="178">
        <v>44146</v>
      </c>
      <c r="M1015" s="178">
        <v>44151</v>
      </c>
      <c r="AA1015" s="166">
        <v>44155</v>
      </c>
    </row>
    <row r="1016" spans="1:35" ht="15.75" hidden="1" customHeight="1">
      <c r="A1016" s="244" t="s">
        <v>1259</v>
      </c>
      <c r="B1016" s="226">
        <v>44134</v>
      </c>
      <c r="C1016" s="149">
        <v>10924.12</v>
      </c>
      <c r="D1016" s="107">
        <f t="shared" si="5"/>
        <v>4.5</v>
      </c>
      <c r="E1016" s="107">
        <v>260</v>
      </c>
      <c r="F1016" s="107" t="s">
        <v>263</v>
      </c>
      <c r="G1016" s="178">
        <v>44134</v>
      </c>
      <c r="H1016" s="178">
        <v>44134</v>
      </c>
      <c r="I1016" s="178">
        <v>44137</v>
      </c>
      <c r="J1016" s="178">
        <v>44141</v>
      </c>
      <c r="K1016" s="178">
        <v>44144</v>
      </c>
      <c r="L1016" s="178">
        <v>44146</v>
      </c>
      <c r="M1016" s="178">
        <v>44148</v>
      </c>
      <c r="N1016" s="178">
        <v>44151</v>
      </c>
      <c r="O1016" s="178">
        <v>44153</v>
      </c>
      <c r="AA1016" s="166">
        <v>44162</v>
      </c>
      <c r="AH1016" s="108">
        <f>(AD1016-AF1016)/(D1016*$K$1*2)%</f>
        <v>0</v>
      </c>
      <c r="AI1016" s="108">
        <f>(AE1016+AF1016)/(D1016*$K$1*2)%</f>
        <v>0</v>
      </c>
    </row>
    <row r="1017" spans="1:35" ht="15.75" hidden="1" customHeight="1">
      <c r="A1017" s="244" t="s">
        <v>1260</v>
      </c>
      <c r="B1017" s="226">
        <v>44134</v>
      </c>
      <c r="C1017" s="149">
        <v>10924.12</v>
      </c>
      <c r="D1017" s="107">
        <f t="shared" si="5"/>
        <v>4.5</v>
      </c>
      <c r="E1017" s="107">
        <v>260</v>
      </c>
      <c r="F1017" s="107" t="s">
        <v>263</v>
      </c>
      <c r="G1017" s="178">
        <v>44134</v>
      </c>
      <c r="H1017" s="178">
        <v>44134</v>
      </c>
      <c r="I1017" s="178">
        <v>44137</v>
      </c>
      <c r="J1017" s="178">
        <v>44141</v>
      </c>
      <c r="K1017" s="178">
        <v>44144</v>
      </c>
      <c r="L1017" s="178">
        <v>44146</v>
      </c>
      <c r="M1017" s="178">
        <v>44148</v>
      </c>
      <c r="N1017" s="178">
        <v>44151</v>
      </c>
      <c r="O1017" s="178">
        <v>44153</v>
      </c>
      <c r="AA1017" s="166">
        <v>44162</v>
      </c>
      <c r="AC1017" s="107">
        <f>11/32*100</f>
        <v>34.375</v>
      </c>
      <c r="AD1017" s="107">
        <v>588</v>
      </c>
      <c r="AE1017" s="107">
        <v>282</v>
      </c>
      <c r="AH1017" s="108">
        <f>(AD1017-AF1017)/(D1017*$K$1*2)%</f>
        <v>11.878787878787879</v>
      </c>
      <c r="AI1017" s="108">
        <f>(AE1017+AF1017)/(D1017*$K$1*2)%</f>
        <v>5.6969696969696972</v>
      </c>
    </row>
    <row r="1018" spans="1:35" ht="15.75" hidden="1" customHeight="1">
      <c r="A1018" s="244" t="s">
        <v>1261</v>
      </c>
      <c r="B1018" s="226">
        <v>44134</v>
      </c>
      <c r="C1018" s="149">
        <v>10924.12</v>
      </c>
      <c r="D1018" s="107">
        <f t="shared" si="5"/>
        <v>4.5</v>
      </c>
      <c r="E1018" s="107">
        <v>260</v>
      </c>
      <c r="F1018" s="107" t="s">
        <v>263</v>
      </c>
      <c r="G1018" s="178">
        <v>44134</v>
      </c>
      <c r="H1018" s="178">
        <v>44134</v>
      </c>
      <c r="I1018" s="178">
        <v>44137</v>
      </c>
      <c r="J1018" s="178">
        <v>44141</v>
      </c>
      <c r="K1018" s="178">
        <v>44144</v>
      </c>
      <c r="L1018" s="178">
        <v>44146</v>
      </c>
      <c r="M1018" s="178">
        <v>44148</v>
      </c>
      <c r="N1018" s="178">
        <v>44151</v>
      </c>
      <c r="O1018" s="178">
        <v>44153</v>
      </c>
      <c r="AA1018" s="166">
        <v>44162</v>
      </c>
      <c r="AC1018" s="107">
        <f>12/29*100</f>
        <v>41.379310344827587</v>
      </c>
      <c r="AD1018" s="107">
        <v>654.5</v>
      </c>
      <c r="AE1018" s="107">
        <v>251.5</v>
      </c>
      <c r="AH1018" s="108">
        <f>(AD1018-AF1018)/(D1018*$K$1*2)%</f>
        <v>13.222222222222221</v>
      </c>
      <c r="AI1018" s="108">
        <f>(AE1018+AF1018)/(D1018*$K$1*2)%</f>
        <v>5.0808080808080804</v>
      </c>
    </row>
    <row r="1019" spans="1:35" ht="15.75" hidden="1" customHeight="1">
      <c r="A1019" s="244" t="s">
        <v>1262</v>
      </c>
      <c r="B1019" s="226">
        <v>44134</v>
      </c>
      <c r="C1019" s="149">
        <v>10924.12</v>
      </c>
      <c r="D1019" s="107">
        <f t="shared" si="5"/>
        <v>4.5</v>
      </c>
      <c r="E1019" s="107">
        <v>260</v>
      </c>
      <c r="F1019" s="107" t="s">
        <v>263</v>
      </c>
      <c r="G1019" s="178">
        <v>44134</v>
      </c>
      <c r="H1019" s="178">
        <v>44134</v>
      </c>
      <c r="I1019" s="178">
        <v>44137</v>
      </c>
      <c r="J1019" s="178">
        <v>44141</v>
      </c>
      <c r="K1019" s="178">
        <v>44144</v>
      </c>
      <c r="L1019" s="178">
        <v>44146</v>
      </c>
      <c r="M1019" s="178">
        <v>44148</v>
      </c>
      <c r="N1019" s="178">
        <v>44151</v>
      </c>
      <c r="O1019" s="178">
        <v>44153</v>
      </c>
      <c r="AA1019" s="166">
        <v>44162</v>
      </c>
      <c r="AC1019" s="107">
        <f>8/17*100</f>
        <v>47.058823529411761</v>
      </c>
      <c r="AD1019" s="107">
        <v>560.5</v>
      </c>
      <c r="AE1019" s="107">
        <v>222.5</v>
      </c>
      <c r="AH1019" s="108">
        <f>(AD1019-AF1019)/(D1019*$K$1*2)%</f>
        <v>11.323232323232324</v>
      </c>
      <c r="AI1019" s="108">
        <f>(AE1019+AF1019)/(D1019*$K$1*2)%</f>
        <v>4.4949494949494948</v>
      </c>
    </row>
    <row r="1020" spans="1:35" ht="15.75" hidden="1" customHeight="1">
      <c r="A1020" s="244" t="s">
        <v>1263</v>
      </c>
      <c r="B1020" s="226">
        <v>44134</v>
      </c>
      <c r="C1020" s="149">
        <v>10924.12</v>
      </c>
      <c r="D1020" s="107">
        <f t="shared" si="5"/>
        <v>4.5</v>
      </c>
      <c r="E1020" s="107">
        <v>260</v>
      </c>
      <c r="F1020" s="107" t="s">
        <v>263</v>
      </c>
      <c r="G1020" s="178">
        <v>44134</v>
      </c>
      <c r="H1020" s="178">
        <v>44134</v>
      </c>
      <c r="I1020" s="178">
        <v>44137</v>
      </c>
      <c r="J1020" s="178">
        <v>44141</v>
      </c>
      <c r="K1020" s="178">
        <v>44144</v>
      </c>
      <c r="L1020" s="178">
        <v>44146</v>
      </c>
      <c r="M1020" s="178">
        <v>44148</v>
      </c>
      <c r="N1020" s="178">
        <v>44151</v>
      </c>
      <c r="O1020" s="178">
        <v>44153</v>
      </c>
      <c r="AA1020" s="166">
        <v>44162</v>
      </c>
      <c r="AH1020" s="108">
        <f>(AD1020-AF1020)/(D1020*$K$1*2)%</f>
        <v>0</v>
      </c>
      <c r="AI1020" s="108">
        <f>(AE1020+AF1020)/(D1020*$K$1*2)%</f>
        <v>0</v>
      </c>
    </row>
    <row r="1021" spans="1:35" ht="15.75" hidden="1" customHeight="1">
      <c r="A1021" s="244" t="s">
        <v>1264</v>
      </c>
      <c r="B1021" s="226">
        <v>44134</v>
      </c>
      <c r="C1021" s="149">
        <v>10189.56</v>
      </c>
      <c r="D1021" s="107">
        <f t="shared" si="5"/>
        <v>4.5</v>
      </c>
      <c r="E1021" s="107">
        <v>261</v>
      </c>
      <c r="F1021" s="107" t="s">
        <v>263</v>
      </c>
      <c r="G1021" s="178">
        <v>44134</v>
      </c>
      <c r="H1021" s="178">
        <v>44134</v>
      </c>
      <c r="I1021" s="178">
        <v>44137</v>
      </c>
      <c r="J1021" s="178">
        <v>44141</v>
      </c>
      <c r="K1021" s="178">
        <v>44144</v>
      </c>
      <c r="L1021" s="178">
        <v>44146</v>
      </c>
      <c r="M1021" s="178">
        <v>44148</v>
      </c>
      <c r="N1021" s="178">
        <v>44152</v>
      </c>
      <c r="O1021" s="178">
        <v>44153</v>
      </c>
      <c r="AA1021" s="166">
        <v>44162</v>
      </c>
      <c r="AC1021" s="107">
        <f>15/26*100</f>
        <v>57.692307692307686</v>
      </c>
      <c r="AD1021" s="107">
        <v>550</v>
      </c>
      <c r="AE1021" s="107">
        <v>255</v>
      </c>
      <c r="AH1021" s="108">
        <f>(AD1021-AF1021)/(D1021*$K$1*2)%</f>
        <v>11.111111111111111</v>
      </c>
      <c r="AI1021" s="108">
        <f>(AE1021+AF1021)/(D1021*$K$1*2)%</f>
        <v>5.1515151515151514</v>
      </c>
    </row>
    <row r="1022" spans="1:35" ht="15.75" hidden="1" customHeight="1">
      <c r="A1022" s="244" t="s">
        <v>1265</v>
      </c>
      <c r="B1022" s="226">
        <v>44134</v>
      </c>
      <c r="C1022" s="149">
        <v>10189.56</v>
      </c>
      <c r="D1022" s="107">
        <f t="shared" si="5"/>
        <v>4.5</v>
      </c>
      <c r="E1022" s="107">
        <v>261</v>
      </c>
      <c r="F1022" s="107" t="s">
        <v>263</v>
      </c>
      <c r="G1022" s="178">
        <v>44134</v>
      </c>
      <c r="H1022" s="178">
        <v>44134</v>
      </c>
      <c r="I1022" s="178">
        <v>44137</v>
      </c>
      <c r="J1022" s="178">
        <v>44141</v>
      </c>
      <c r="K1022" s="178">
        <v>44144</v>
      </c>
      <c r="L1022" s="178">
        <v>44146</v>
      </c>
      <c r="M1022" s="178">
        <v>44148</v>
      </c>
      <c r="N1022" s="178">
        <v>44152</v>
      </c>
      <c r="O1022" s="178">
        <v>44153</v>
      </c>
      <c r="AA1022" s="166">
        <v>44162</v>
      </c>
      <c r="AC1022" s="107">
        <f>8/14*100</f>
        <v>57.142857142857139</v>
      </c>
      <c r="AD1022" s="107">
        <v>684</v>
      </c>
      <c r="AE1022" s="107">
        <v>164.5</v>
      </c>
      <c r="AH1022" s="108">
        <f>(AD1022-AF1022)/(D1022*$K$1*2)%</f>
        <v>13.818181818181818</v>
      </c>
      <c r="AI1022" s="108">
        <f>(AE1022+AF1022)/(D1022*$K$1*2)%</f>
        <v>3.3232323232323231</v>
      </c>
    </row>
    <row r="1023" spans="1:35" ht="15.75" hidden="1" customHeight="1">
      <c r="A1023" s="244" t="s">
        <v>1266</v>
      </c>
      <c r="B1023" s="226">
        <v>44134</v>
      </c>
      <c r="C1023" s="149">
        <v>10189.56</v>
      </c>
      <c r="D1023" s="107">
        <f t="shared" si="5"/>
        <v>4.5</v>
      </c>
      <c r="E1023" s="107">
        <v>261</v>
      </c>
      <c r="F1023" s="107" t="s">
        <v>263</v>
      </c>
      <c r="G1023" s="178">
        <v>44134</v>
      </c>
      <c r="H1023" s="178">
        <v>44134</v>
      </c>
      <c r="I1023" s="178">
        <v>44137</v>
      </c>
      <c r="J1023" s="178">
        <v>44141</v>
      </c>
      <c r="K1023" s="178">
        <v>44144</v>
      </c>
      <c r="L1023" s="178">
        <v>44146</v>
      </c>
      <c r="M1023" s="178">
        <v>44148</v>
      </c>
      <c r="N1023" s="178">
        <v>44152</v>
      </c>
      <c r="O1023" s="178">
        <v>44153</v>
      </c>
      <c r="AA1023" s="166">
        <v>44162</v>
      </c>
      <c r="AH1023" s="108">
        <f>(AD1023-AF1023)/(D1023*$K$1*2)%</f>
        <v>0</v>
      </c>
      <c r="AI1023" s="108">
        <f>(AE1023+AF1023)/(D1023*$K$1*2)%</f>
        <v>0</v>
      </c>
    </row>
    <row r="1024" spans="1:35" ht="15.75" hidden="1" customHeight="1">
      <c r="A1024" s="244" t="s">
        <v>1267</v>
      </c>
      <c r="B1024" s="226">
        <v>44134</v>
      </c>
      <c r="C1024" s="149">
        <v>10189.56</v>
      </c>
      <c r="D1024" s="107">
        <f t="shared" si="5"/>
        <v>4.5</v>
      </c>
      <c r="E1024" s="107">
        <v>261</v>
      </c>
      <c r="F1024" s="107" t="s">
        <v>263</v>
      </c>
      <c r="G1024" s="178">
        <v>44134</v>
      </c>
      <c r="H1024" s="178">
        <v>44134</v>
      </c>
      <c r="I1024" s="178">
        <v>44137</v>
      </c>
      <c r="J1024" s="178">
        <v>44141</v>
      </c>
      <c r="K1024" s="178">
        <v>44144</v>
      </c>
      <c r="L1024" s="178">
        <v>44146</v>
      </c>
      <c r="M1024" s="178">
        <v>44148</v>
      </c>
      <c r="N1024" s="178">
        <v>44152</v>
      </c>
      <c r="O1024" s="178">
        <v>44153</v>
      </c>
      <c r="AA1024" s="166">
        <v>44162</v>
      </c>
      <c r="AC1024" s="107">
        <f>9/18*100</f>
        <v>50</v>
      </c>
      <c r="AD1024" s="107">
        <v>653.5</v>
      </c>
      <c r="AE1024" s="107">
        <v>144</v>
      </c>
      <c r="AH1024" s="108">
        <f>(AD1024-AF1024)/(D1024*$K$1*2)%</f>
        <v>13.202020202020202</v>
      </c>
      <c r="AI1024" s="108">
        <f>(AE1024+AF1024)/(D1024*$K$1*2)%</f>
        <v>2.9090909090909092</v>
      </c>
    </row>
    <row r="1025" spans="1:35" ht="15.75" hidden="1" customHeight="1">
      <c r="A1025" s="244" t="s">
        <v>1268</v>
      </c>
      <c r="B1025" s="226">
        <v>44134</v>
      </c>
      <c r="C1025" s="149">
        <v>10189.56</v>
      </c>
      <c r="D1025" s="107">
        <f t="shared" si="5"/>
        <v>4.5</v>
      </c>
      <c r="E1025" s="107">
        <v>261</v>
      </c>
      <c r="F1025" s="107" t="s">
        <v>263</v>
      </c>
      <c r="G1025" s="178">
        <v>44134</v>
      </c>
      <c r="H1025" s="178">
        <v>44134</v>
      </c>
      <c r="I1025" s="178">
        <v>44137</v>
      </c>
      <c r="J1025" s="178">
        <v>44141</v>
      </c>
      <c r="K1025" s="178">
        <v>44144</v>
      </c>
      <c r="L1025" s="178">
        <v>44146</v>
      </c>
      <c r="M1025" s="178">
        <v>44148</v>
      </c>
      <c r="N1025" s="178">
        <v>44152</v>
      </c>
      <c r="O1025" s="178">
        <v>44153</v>
      </c>
      <c r="AA1025" s="166">
        <v>44162</v>
      </c>
      <c r="AH1025" s="108">
        <f>(AD1025-AF1025)/(D1025*$K$1*2)%</f>
        <v>0</v>
      </c>
      <c r="AI1025" s="108">
        <f>(AE1025+AF1025)/(D1025*$K$1*2)%</f>
        <v>0</v>
      </c>
    </row>
    <row r="1026" spans="1:35" ht="15.75" hidden="1" customHeight="1">
      <c r="A1026" s="244" t="s">
        <v>1269</v>
      </c>
      <c r="B1026" s="226">
        <v>44134</v>
      </c>
      <c r="C1026" s="149">
        <v>11616.5</v>
      </c>
      <c r="D1026" s="107">
        <f t="shared" si="5"/>
        <v>2.5</v>
      </c>
      <c r="E1026" s="107">
        <v>262</v>
      </c>
      <c r="F1026" s="107" t="s">
        <v>323</v>
      </c>
      <c r="G1026" s="178">
        <v>44134</v>
      </c>
      <c r="H1026" s="178">
        <v>44134</v>
      </c>
      <c r="I1026" s="178">
        <v>44137</v>
      </c>
      <c r="J1026" s="178">
        <v>44141</v>
      </c>
      <c r="K1026" s="178">
        <v>44144</v>
      </c>
    </row>
    <row r="1027" spans="1:35" ht="15.75" hidden="1" customHeight="1">
      <c r="A1027" s="244" t="s">
        <v>1270</v>
      </c>
      <c r="B1027" s="226">
        <v>44134</v>
      </c>
      <c r="C1027" s="149">
        <v>11616.5</v>
      </c>
      <c r="D1027" s="107">
        <f t="shared" si="5"/>
        <v>3.5</v>
      </c>
      <c r="E1027" s="107">
        <v>262</v>
      </c>
      <c r="F1027" s="107" t="s">
        <v>323</v>
      </c>
      <c r="G1027" s="178">
        <v>44134</v>
      </c>
      <c r="H1027" s="178">
        <v>44134</v>
      </c>
      <c r="I1027" s="178">
        <v>44137</v>
      </c>
      <c r="J1027" s="178">
        <v>44141</v>
      </c>
      <c r="K1027" s="178">
        <v>44144</v>
      </c>
      <c r="L1027" s="178">
        <v>44146</v>
      </c>
      <c r="M1027" s="178">
        <v>44152</v>
      </c>
      <c r="AA1027" s="166">
        <v>44153</v>
      </c>
    </row>
    <row r="1028" spans="1:35" ht="15.75" hidden="1" customHeight="1">
      <c r="A1028" s="244" t="s">
        <v>1271</v>
      </c>
      <c r="B1028" s="226">
        <v>44134</v>
      </c>
      <c r="C1028" s="149">
        <v>11616.5</v>
      </c>
      <c r="D1028" s="107">
        <f t="shared" si="5"/>
        <v>3</v>
      </c>
      <c r="E1028" s="107">
        <v>262</v>
      </c>
      <c r="F1028" s="107" t="s">
        <v>323</v>
      </c>
      <c r="G1028" s="178">
        <v>44134</v>
      </c>
      <c r="H1028" s="178">
        <v>44134</v>
      </c>
      <c r="I1028" s="178">
        <v>44137</v>
      </c>
      <c r="J1028" s="178">
        <v>44141</v>
      </c>
      <c r="K1028" s="178">
        <v>44144</v>
      </c>
      <c r="L1028" s="178">
        <v>44146</v>
      </c>
      <c r="AA1028" s="166">
        <v>44147</v>
      </c>
    </row>
    <row r="1029" spans="1:35" ht="15.75" hidden="1" customHeight="1">
      <c r="A1029" s="149" t="s">
        <v>1272</v>
      </c>
      <c r="B1029" s="226">
        <v>44139</v>
      </c>
      <c r="C1029" s="149">
        <v>12683.47</v>
      </c>
      <c r="D1029" s="107">
        <f t="shared" si="5"/>
        <v>2</v>
      </c>
      <c r="E1029" s="107">
        <v>263</v>
      </c>
      <c r="F1029" s="107" t="s">
        <v>323</v>
      </c>
      <c r="G1029" s="178">
        <v>44139</v>
      </c>
      <c r="H1029" s="178">
        <v>44139</v>
      </c>
      <c r="I1029" s="178">
        <v>44144</v>
      </c>
      <c r="J1029" s="178">
        <v>44146</v>
      </c>
      <c r="AA1029" s="166">
        <v>44147</v>
      </c>
    </row>
    <row r="1030" spans="1:35" ht="15.75" hidden="1" customHeight="1">
      <c r="A1030" s="149" t="s">
        <v>1273</v>
      </c>
      <c r="B1030" s="226">
        <v>44139</v>
      </c>
      <c r="C1030" s="149">
        <v>12683.47</v>
      </c>
      <c r="D1030" s="107">
        <f t="shared" si="5"/>
        <v>2</v>
      </c>
      <c r="E1030" s="107">
        <v>263</v>
      </c>
      <c r="F1030" s="107" t="s">
        <v>323</v>
      </c>
      <c r="G1030" s="178">
        <v>44139</v>
      </c>
      <c r="H1030" s="178">
        <v>44139</v>
      </c>
      <c r="I1030" s="178">
        <v>44144</v>
      </c>
      <c r="J1030" s="178">
        <v>44146</v>
      </c>
      <c r="AA1030" s="166">
        <v>44147</v>
      </c>
    </row>
    <row r="1031" spans="1:35" ht="15.75" hidden="1" customHeight="1">
      <c r="A1031" s="149" t="s">
        <v>1274</v>
      </c>
      <c r="B1031" s="226">
        <v>44139</v>
      </c>
      <c r="C1031" s="149">
        <v>12683.47</v>
      </c>
      <c r="D1031" s="107">
        <f t="shared" si="5"/>
        <v>2</v>
      </c>
      <c r="E1031" s="107">
        <v>263</v>
      </c>
      <c r="F1031" s="107" t="s">
        <v>323</v>
      </c>
      <c r="G1031" s="178">
        <v>44139</v>
      </c>
      <c r="H1031" s="178">
        <v>44139</v>
      </c>
      <c r="I1031" s="178">
        <v>44144</v>
      </c>
      <c r="J1031" s="178">
        <v>44146</v>
      </c>
      <c r="AA1031" s="166">
        <v>44147</v>
      </c>
    </row>
    <row r="1032" spans="1:35" ht="15.75" hidden="1" customHeight="1">
      <c r="A1032" s="149" t="s">
        <v>1275</v>
      </c>
      <c r="B1032" s="226">
        <v>44139</v>
      </c>
      <c r="C1032" s="149">
        <v>11064.47</v>
      </c>
      <c r="D1032" s="107">
        <f t="shared" ref="D1032:D1095" si="6">COUNTA(G1032:Z1032)*0.5</f>
        <v>2</v>
      </c>
      <c r="E1032" s="107">
        <v>264</v>
      </c>
      <c r="F1032" s="107" t="s">
        <v>323</v>
      </c>
      <c r="G1032" s="178">
        <v>44139</v>
      </c>
      <c r="H1032" s="178">
        <v>44139</v>
      </c>
      <c r="I1032" s="178">
        <v>44144</v>
      </c>
      <c r="J1032" s="178">
        <v>44146</v>
      </c>
    </row>
    <row r="1033" spans="1:35" ht="15.75" hidden="1" customHeight="1">
      <c r="A1033" s="149" t="s">
        <v>1276</v>
      </c>
      <c r="B1033" s="226">
        <v>44139</v>
      </c>
      <c r="C1033" s="149">
        <v>11064.47</v>
      </c>
      <c r="D1033" s="107">
        <f t="shared" si="6"/>
        <v>2</v>
      </c>
      <c r="E1033" s="107">
        <v>264</v>
      </c>
      <c r="F1033" s="107" t="s">
        <v>323</v>
      </c>
      <c r="G1033" s="178">
        <v>44139</v>
      </c>
      <c r="H1033" s="178">
        <v>44139</v>
      </c>
      <c r="I1033" s="178">
        <v>44144</v>
      </c>
      <c r="J1033" s="178">
        <v>44146</v>
      </c>
    </row>
    <row r="1034" spans="1:35" ht="15.75" hidden="1" customHeight="1">
      <c r="A1034" s="149" t="s">
        <v>1277</v>
      </c>
      <c r="B1034" s="226">
        <v>44139</v>
      </c>
      <c r="C1034" s="149">
        <v>11064.47</v>
      </c>
      <c r="D1034" s="107">
        <f t="shared" si="6"/>
        <v>2.5</v>
      </c>
      <c r="E1034" s="107">
        <v>264</v>
      </c>
      <c r="F1034" s="107" t="s">
        <v>323</v>
      </c>
      <c r="G1034" s="178">
        <v>44139</v>
      </c>
      <c r="H1034" s="178">
        <v>44139</v>
      </c>
      <c r="I1034" s="178">
        <v>44144</v>
      </c>
      <c r="J1034" s="178">
        <v>44146</v>
      </c>
      <c r="K1034" s="178">
        <v>44152</v>
      </c>
      <c r="AA1034" s="166">
        <v>44153</v>
      </c>
    </row>
    <row r="1035" spans="1:35" ht="15.75" hidden="1" customHeight="1">
      <c r="A1035" s="149" t="s">
        <v>1278</v>
      </c>
      <c r="B1035" s="226">
        <v>44139</v>
      </c>
      <c r="C1035" s="149">
        <v>11064.47</v>
      </c>
      <c r="D1035" s="107">
        <f t="shared" si="6"/>
        <v>2.5</v>
      </c>
      <c r="E1035" s="107">
        <v>264</v>
      </c>
      <c r="F1035" s="107" t="s">
        <v>323</v>
      </c>
      <c r="G1035" s="178">
        <v>44139</v>
      </c>
      <c r="H1035" s="178">
        <v>44139</v>
      </c>
      <c r="I1035" s="178">
        <v>44144</v>
      </c>
      <c r="J1035" s="178">
        <v>44146</v>
      </c>
      <c r="K1035" s="178">
        <v>44152</v>
      </c>
      <c r="AA1035" s="166">
        <v>44153</v>
      </c>
    </row>
    <row r="1036" spans="1:35" ht="15.75" hidden="1" customHeight="1">
      <c r="A1036" s="149" t="s">
        <v>1279</v>
      </c>
      <c r="B1036" s="226">
        <v>44139</v>
      </c>
      <c r="C1036" s="149">
        <v>11064.47</v>
      </c>
      <c r="D1036" s="107">
        <f t="shared" si="6"/>
        <v>2</v>
      </c>
      <c r="E1036" s="107">
        <v>264</v>
      </c>
      <c r="F1036" s="107" t="s">
        <v>323</v>
      </c>
      <c r="G1036" s="178">
        <v>44139</v>
      </c>
      <c r="H1036" s="178">
        <v>44139</v>
      </c>
      <c r="I1036" s="178">
        <v>44144</v>
      </c>
      <c r="J1036" s="178">
        <v>44146</v>
      </c>
    </row>
    <row r="1037" spans="1:35" ht="15.75" hidden="1" customHeight="1">
      <c r="A1037" s="149" t="s">
        <v>1280</v>
      </c>
      <c r="B1037" s="226">
        <v>44139</v>
      </c>
      <c r="C1037" s="149">
        <v>11064.47</v>
      </c>
      <c r="D1037" s="107">
        <f t="shared" si="6"/>
        <v>2.5</v>
      </c>
      <c r="E1037" s="107">
        <v>264</v>
      </c>
      <c r="F1037" s="107" t="s">
        <v>323</v>
      </c>
      <c r="G1037" s="178">
        <v>44139</v>
      </c>
      <c r="H1037" s="178">
        <v>44139</v>
      </c>
      <c r="I1037" s="178">
        <v>44144</v>
      </c>
      <c r="J1037" s="178">
        <v>44146</v>
      </c>
      <c r="K1037" s="178">
        <v>44152</v>
      </c>
      <c r="AA1037" s="166">
        <v>44153</v>
      </c>
    </row>
    <row r="1038" spans="1:35" ht="15.75" hidden="1" customHeight="1">
      <c r="A1038" s="149" t="s">
        <v>1281</v>
      </c>
      <c r="B1038" s="226">
        <v>44139</v>
      </c>
      <c r="C1038" s="149">
        <v>11064.47</v>
      </c>
      <c r="D1038" s="107">
        <f t="shared" si="6"/>
        <v>2</v>
      </c>
      <c r="E1038" s="107">
        <v>264</v>
      </c>
      <c r="F1038" s="107" t="s">
        <v>323</v>
      </c>
      <c r="G1038" s="178">
        <v>44139</v>
      </c>
      <c r="H1038" s="178">
        <v>44139</v>
      </c>
      <c r="I1038" s="178">
        <v>44144</v>
      </c>
      <c r="J1038" s="178">
        <v>44146</v>
      </c>
    </row>
    <row r="1039" spans="1:35" ht="15.75" hidden="1" customHeight="1">
      <c r="A1039" s="149" t="s">
        <v>1282</v>
      </c>
      <c r="B1039" s="226">
        <v>44139</v>
      </c>
      <c r="C1039" s="149">
        <v>11064.47</v>
      </c>
      <c r="D1039" s="107">
        <f t="shared" si="6"/>
        <v>2</v>
      </c>
      <c r="E1039" s="107">
        <v>264</v>
      </c>
      <c r="F1039" s="107" t="s">
        <v>323</v>
      </c>
      <c r="G1039" s="178">
        <v>44139</v>
      </c>
      <c r="H1039" s="178">
        <v>44139</v>
      </c>
      <c r="I1039" s="178">
        <v>44144</v>
      </c>
      <c r="J1039" s="178">
        <v>44146</v>
      </c>
    </row>
    <row r="1040" spans="1:35" ht="15.75" hidden="1" customHeight="1">
      <c r="A1040" s="149" t="s">
        <v>1283</v>
      </c>
      <c r="B1040" s="226">
        <v>44139</v>
      </c>
      <c r="C1040" s="149">
        <v>10249.76</v>
      </c>
      <c r="D1040" s="107">
        <f t="shared" si="6"/>
        <v>5</v>
      </c>
      <c r="E1040" s="107">
        <v>265</v>
      </c>
      <c r="F1040" s="107" t="s">
        <v>263</v>
      </c>
      <c r="G1040" s="178">
        <v>44139</v>
      </c>
      <c r="H1040" s="178">
        <v>44139</v>
      </c>
      <c r="I1040" s="178">
        <v>44144</v>
      </c>
      <c r="J1040" s="178">
        <v>44146</v>
      </c>
      <c r="K1040" s="178">
        <v>44148</v>
      </c>
      <c r="L1040" s="178">
        <v>44151</v>
      </c>
      <c r="M1040" s="178">
        <v>44153</v>
      </c>
      <c r="N1040" s="178">
        <v>44155</v>
      </c>
      <c r="O1040" s="178">
        <v>44158</v>
      </c>
      <c r="P1040" s="178">
        <v>44160</v>
      </c>
      <c r="AA1040" s="166">
        <v>44166</v>
      </c>
      <c r="AH1040" s="108">
        <f>(AD1040-AF1040)/(D1040*$K$1*2)%</f>
        <v>0</v>
      </c>
      <c r="AI1040" s="108">
        <f>(AE1040+AF1040)/(D1040*$K$1*2)%</f>
        <v>0</v>
      </c>
    </row>
    <row r="1041" spans="1:35" ht="15.75" hidden="1" customHeight="1">
      <c r="A1041" s="149" t="s">
        <v>1284</v>
      </c>
      <c r="B1041" s="226">
        <v>44139</v>
      </c>
      <c r="C1041" s="149">
        <v>10249.76</v>
      </c>
      <c r="D1041" s="107">
        <f t="shared" si="6"/>
        <v>5</v>
      </c>
      <c r="E1041" s="107">
        <v>265</v>
      </c>
      <c r="F1041" s="107" t="s">
        <v>263</v>
      </c>
      <c r="G1041" s="178">
        <v>44139</v>
      </c>
      <c r="H1041" s="178">
        <v>44139</v>
      </c>
      <c r="I1041" s="178">
        <v>44144</v>
      </c>
      <c r="J1041" s="178">
        <v>44146</v>
      </c>
      <c r="K1041" s="178">
        <v>44148</v>
      </c>
      <c r="L1041" s="178">
        <v>44151</v>
      </c>
      <c r="M1041" s="178">
        <v>44153</v>
      </c>
      <c r="N1041" s="178">
        <v>44155</v>
      </c>
      <c r="O1041" s="178">
        <v>44158</v>
      </c>
      <c r="P1041" s="178">
        <v>44160</v>
      </c>
      <c r="AA1041" s="166">
        <v>44166</v>
      </c>
      <c r="AH1041" s="108">
        <f>(AD1041-AF1041)/(D1041*$K$1*2)%</f>
        <v>0</v>
      </c>
      <c r="AI1041" s="108">
        <f>(AE1041+AF1041)/(D1041*$K$1*2)%</f>
        <v>0</v>
      </c>
    </row>
    <row r="1042" spans="1:35" ht="15.75" hidden="1" customHeight="1">
      <c r="A1042" s="149" t="s">
        <v>1285</v>
      </c>
      <c r="B1042" s="226">
        <v>44139</v>
      </c>
      <c r="C1042" s="149">
        <v>10249.76</v>
      </c>
      <c r="D1042" s="107">
        <f t="shared" si="6"/>
        <v>5</v>
      </c>
      <c r="E1042" s="107">
        <v>265</v>
      </c>
      <c r="F1042" s="107" t="s">
        <v>263</v>
      </c>
      <c r="G1042" s="178">
        <v>44139</v>
      </c>
      <c r="H1042" s="178">
        <v>44139</v>
      </c>
      <c r="I1042" s="178">
        <v>44144</v>
      </c>
      <c r="J1042" s="178">
        <v>44146</v>
      </c>
      <c r="K1042" s="178">
        <v>44148</v>
      </c>
      <c r="L1042" s="178">
        <v>44151</v>
      </c>
      <c r="M1042" s="178">
        <v>44153</v>
      </c>
      <c r="N1042" s="178">
        <v>44155</v>
      </c>
      <c r="O1042" s="178">
        <v>44158</v>
      </c>
      <c r="P1042" s="178">
        <v>44160</v>
      </c>
      <c r="AA1042" s="166">
        <v>44166</v>
      </c>
      <c r="AH1042" s="108">
        <f>(AD1042-AF1042)/(D1042*$K$1*2)%</f>
        <v>0</v>
      </c>
      <c r="AI1042" s="108">
        <f>(AE1042+AF1042)/(D1042*$K$1*2)%</f>
        <v>0</v>
      </c>
    </row>
    <row r="1043" spans="1:35" ht="15.75" hidden="1" customHeight="1">
      <c r="A1043" s="149" t="s">
        <v>1286</v>
      </c>
      <c r="B1043" s="226">
        <v>44139</v>
      </c>
      <c r="C1043" s="149">
        <v>10249.76</v>
      </c>
      <c r="D1043" s="107">
        <f t="shared" si="6"/>
        <v>5</v>
      </c>
      <c r="E1043" s="107">
        <v>265</v>
      </c>
      <c r="F1043" s="107" t="s">
        <v>263</v>
      </c>
      <c r="G1043" s="178">
        <v>44139</v>
      </c>
      <c r="H1043" s="178">
        <v>44139</v>
      </c>
      <c r="I1043" s="178">
        <v>44144</v>
      </c>
      <c r="J1043" s="178">
        <v>44146</v>
      </c>
      <c r="K1043" s="178">
        <v>44148</v>
      </c>
      <c r="L1043" s="178">
        <v>44151</v>
      </c>
      <c r="M1043" s="178">
        <v>44153</v>
      </c>
      <c r="N1043" s="178">
        <v>44155</v>
      </c>
      <c r="O1043" s="178">
        <v>44158</v>
      </c>
      <c r="P1043" s="178">
        <v>44160</v>
      </c>
      <c r="AA1043" s="166">
        <v>44166</v>
      </c>
      <c r="AH1043" s="108">
        <f>(AD1043-AF1043)/(D1043*$K$1*2)%</f>
        <v>0</v>
      </c>
      <c r="AI1043" s="108">
        <f>(AE1043+AF1043)/(D1043*$K$1*2)%</f>
        <v>0</v>
      </c>
    </row>
    <row r="1044" spans="1:35" ht="15.75" hidden="1" customHeight="1">
      <c r="A1044" s="149" t="s">
        <v>1287</v>
      </c>
      <c r="B1044" s="226">
        <v>44139</v>
      </c>
      <c r="C1044" s="149">
        <v>10249.76</v>
      </c>
      <c r="D1044" s="107">
        <f t="shared" si="6"/>
        <v>5</v>
      </c>
      <c r="E1044" s="107">
        <v>265</v>
      </c>
      <c r="F1044" s="107" t="s">
        <v>263</v>
      </c>
      <c r="G1044" s="178">
        <v>44139</v>
      </c>
      <c r="H1044" s="178">
        <v>44139</v>
      </c>
      <c r="I1044" s="178">
        <v>44144</v>
      </c>
      <c r="J1044" s="178">
        <v>44146</v>
      </c>
      <c r="K1044" s="178">
        <v>44148</v>
      </c>
      <c r="L1044" s="178">
        <v>44151</v>
      </c>
      <c r="M1044" s="178">
        <v>44153</v>
      </c>
      <c r="N1044" s="178">
        <v>44155</v>
      </c>
      <c r="O1044" s="178">
        <v>44158</v>
      </c>
      <c r="P1044" s="178">
        <v>44160</v>
      </c>
      <c r="AA1044" s="166">
        <v>44166</v>
      </c>
      <c r="AC1044" s="107">
        <f>11/37*100</f>
        <v>29.72972972972973</v>
      </c>
      <c r="AD1044" s="107">
        <v>1012</v>
      </c>
      <c r="AE1044" s="107">
        <v>193</v>
      </c>
      <c r="AH1044" s="108">
        <f>(AD1044-AF1044)/(D1044*$K$1*2)%</f>
        <v>18.399999999999999</v>
      </c>
      <c r="AI1044" s="108">
        <f>(AE1044+AF1044)/(D1044*$K$1*2)%</f>
        <v>3.5090909090909093</v>
      </c>
    </row>
    <row r="1045" spans="1:35" ht="15.75" hidden="1" customHeight="1">
      <c r="A1045" s="149" t="s">
        <v>1288</v>
      </c>
      <c r="B1045" s="226">
        <v>44139</v>
      </c>
      <c r="C1045" s="149">
        <v>10249.76</v>
      </c>
      <c r="D1045" s="107">
        <f t="shared" si="6"/>
        <v>5</v>
      </c>
      <c r="E1045" s="107">
        <v>265</v>
      </c>
      <c r="F1045" s="107" t="s">
        <v>263</v>
      </c>
      <c r="G1045" s="178">
        <v>44139</v>
      </c>
      <c r="H1045" s="178">
        <v>44139</v>
      </c>
      <c r="I1045" s="178">
        <v>44144</v>
      </c>
      <c r="J1045" s="178">
        <v>44146</v>
      </c>
      <c r="K1045" s="178">
        <v>44148</v>
      </c>
      <c r="L1045" s="178">
        <v>44151</v>
      </c>
      <c r="M1045" s="178">
        <v>44153</v>
      </c>
      <c r="N1045" s="178">
        <v>44155</v>
      </c>
      <c r="O1045" s="178">
        <v>44158</v>
      </c>
      <c r="P1045" s="178">
        <v>44160</v>
      </c>
      <c r="AA1045" s="166">
        <v>44166</v>
      </c>
      <c r="AC1045" s="107">
        <f>7/21*100</f>
        <v>33.333333333333329</v>
      </c>
      <c r="AD1045" s="107">
        <v>1140.5</v>
      </c>
      <c r="AE1045" s="107">
        <v>244</v>
      </c>
      <c r="AH1045" s="108">
        <f>(AD1045-AF1045)/(D1045*$K$1*2)%</f>
        <v>20.736363636363638</v>
      </c>
      <c r="AI1045" s="108">
        <f>(AE1045+AF1045)/(D1045*$K$1*2)%</f>
        <v>4.4363636363636365</v>
      </c>
    </row>
    <row r="1046" spans="1:35" ht="15.75" hidden="1" customHeight="1">
      <c r="A1046" s="149" t="s">
        <v>1289</v>
      </c>
      <c r="B1046" s="226">
        <v>44139</v>
      </c>
      <c r="C1046" s="149">
        <v>10249.76</v>
      </c>
      <c r="D1046" s="107">
        <f t="shared" si="6"/>
        <v>5</v>
      </c>
      <c r="E1046" s="107">
        <v>265</v>
      </c>
      <c r="F1046" s="107" t="s">
        <v>263</v>
      </c>
      <c r="G1046" s="178">
        <v>44139</v>
      </c>
      <c r="H1046" s="178">
        <v>44139</v>
      </c>
      <c r="I1046" s="178">
        <v>44144</v>
      </c>
      <c r="J1046" s="178">
        <v>44146</v>
      </c>
      <c r="K1046" s="178">
        <v>44148</v>
      </c>
      <c r="L1046" s="178">
        <v>44151</v>
      </c>
      <c r="M1046" s="178">
        <v>44153</v>
      </c>
      <c r="N1046" s="178">
        <v>44155</v>
      </c>
      <c r="O1046" s="178">
        <v>44158</v>
      </c>
      <c r="P1046" s="178">
        <v>44160</v>
      </c>
      <c r="AA1046" s="166">
        <v>44166</v>
      </c>
      <c r="AH1046" s="108">
        <f>(AD1046-AF1046)/(D1046*$K$1*2)%</f>
        <v>0</v>
      </c>
      <c r="AI1046" s="108">
        <f>(AE1046+AF1046)/(D1046*$K$1*2)%</f>
        <v>0</v>
      </c>
    </row>
    <row r="1047" spans="1:35" ht="15.75" hidden="1" customHeight="1">
      <c r="A1047" s="149" t="s">
        <v>1290</v>
      </c>
      <c r="B1047" s="226">
        <v>44139</v>
      </c>
      <c r="C1047" s="149">
        <v>10249.76</v>
      </c>
      <c r="D1047" s="107">
        <f t="shared" si="6"/>
        <v>5</v>
      </c>
      <c r="E1047" s="107">
        <v>265</v>
      </c>
      <c r="F1047" s="107" t="s">
        <v>263</v>
      </c>
      <c r="G1047" s="178">
        <v>44139</v>
      </c>
      <c r="H1047" s="178">
        <v>44139</v>
      </c>
      <c r="I1047" s="178">
        <v>44144</v>
      </c>
      <c r="J1047" s="178">
        <v>44146</v>
      </c>
      <c r="K1047" s="178">
        <v>44148</v>
      </c>
      <c r="L1047" s="178">
        <v>44151</v>
      </c>
      <c r="M1047" s="178">
        <v>44153</v>
      </c>
      <c r="N1047" s="178">
        <v>44155</v>
      </c>
      <c r="O1047" s="178">
        <v>44158</v>
      </c>
      <c r="P1047" s="178">
        <v>44160</v>
      </c>
      <c r="AA1047" s="166">
        <v>44166</v>
      </c>
      <c r="AC1047" s="107">
        <f>16/32*100</f>
        <v>50</v>
      </c>
      <c r="AD1047" s="107">
        <v>1033.5</v>
      </c>
      <c r="AE1047" s="107">
        <v>248.5</v>
      </c>
      <c r="AH1047" s="108">
        <f>(AD1047-AF1047)/(D1047*$K$1*2)%</f>
        <v>18.790909090909089</v>
      </c>
      <c r="AI1047" s="108">
        <f>(AE1047+AF1047)/(D1047*$K$1*2)%</f>
        <v>4.5181818181818185</v>
      </c>
    </row>
    <row r="1048" spans="1:35" ht="15.75" hidden="1" customHeight="1">
      <c r="A1048" s="149" t="s">
        <v>1291</v>
      </c>
      <c r="B1048" s="226">
        <v>44139</v>
      </c>
      <c r="C1048" s="149">
        <v>10249.76</v>
      </c>
      <c r="D1048" s="107">
        <f t="shared" si="6"/>
        <v>5</v>
      </c>
      <c r="E1048" s="107">
        <v>265</v>
      </c>
      <c r="F1048" s="107" t="s">
        <v>263</v>
      </c>
      <c r="G1048" s="178">
        <v>44139</v>
      </c>
      <c r="H1048" s="178">
        <v>44139</v>
      </c>
      <c r="I1048" s="178">
        <v>44144</v>
      </c>
      <c r="J1048" s="178">
        <v>44146</v>
      </c>
      <c r="K1048" s="178">
        <v>44148</v>
      </c>
      <c r="L1048" s="178">
        <v>44151</v>
      </c>
      <c r="M1048" s="178">
        <v>44153</v>
      </c>
      <c r="N1048" s="178">
        <v>44155</v>
      </c>
      <c r="O1048" s="178">
        <v>44158</v>
      </c>
      <c r="P1048" s="178">
        <v>44160</v>
      </c>
      <c r="AA1048" s="166">
        <v>44166</v>
      </c>
      <c r="AH1048" s="108">
        <f>(AD1048-AF1048)/(D1048*$K$1*2)%</f>
        <v>0</v>
      </c>
      <c r="AI1048" s="108">
        <f>(AE1048+AF1048)/(D1048*$K$1*2)%</f>
        <v>0</v>
      </c>
    </row>
    <row r="1049" spans="1:35" ht="15.75" hidden="1" customHeight="1">
      <c r="A1049" s="149" t="s">
        <v>1292</v>
      </c>
      <c r="B1049" s="226">
        <v>44139</v>
      </c>
      <c r="C1049" s="149">
        <v>10249.76</v>
      </c>
      <c r="D1049" s="107">
        <f t="shared" si="6"/>
        <v>5</v>
      </c>
      <c r="E1049" s="107">
        <v>265</v>
      </c>
      <c r="F1049" s="107" t="s">
        <v>263</v>
      </c>
      <c r="G1049" s="178">
        <v>44139</v>
      </c>
      <c r="H1049" s="178">
        <v>44139</v>
      </c>
      <c r="I1049" s="178">
        <v>44144</v>
      </c>
      <c r="J1049" s="178">
        <v>44146</v>
      </c>
      <c r="K1049" s="178">
        <v>44148</v>
      </c>
      <c r="L1049" s="178">
        <v>44151</v>
      </c>
      <c r="M1049" s="178">
        <v>44153</v>
      </c>
      <c r="N1049" s="178">
        <v>44155</v>
      </c>
      <c r="O1049" s="178">
        <v>44158</v>
      </c>
      <c r="P1049" s="178">
        <v>44160</v>
      </c>
      <c r="AA1049" s="166">
        <v>44166</v>
      </c>
      <c r="AH1049" s="108">
        <f>(AD1049-AF1049)/(D1049*$K$1*2)%</f>
        <v>0</v>
      </c>
      <c r="AI1049" s="108">
        <f>(AE1049+AF1049)/(D1049*$K$1*2)%</f>
        <v>0</v>
      </c>
    </row>
    <row r="1050" spans="1:35" ht="15.75" hidden="1" customHeight="1">
      <c r="A1050" s="149" t="s">
        <v>1293</v>
      </c>
      <c r="B1050" s="226">
        <v>44139</v>
      </c>
      <c r="C1050" s="247">
        <v>11302.8</v>
      </c>
      <c r="D1050" s="107">
        <f t="shared" si="6"/>
        <v>2</v>
      </c>
      <c r="E1050" s="107">
        <v>266</v>
      </c>
      <c r="F1050" s="107" t="s">
        <v>323</v>
      </c>
      <c r="G1050" s="178">
        <v>44139</v>
      </c>
      <c r="H1050" s="178">
        <v>44139</v>
      </c>
      <c r="I1050" s="178">
        <v>44144</v>
      </c>
      <c r="J1050" s="178">
        <v>44146</v>
      </c>
      <c r="AA1050" s="166">
        <v>44147</v>
      </c>
    </row>
    <row r="1051" spans="1:35" ht="15.75" hidden="1" customHeight="1">
      <c r="A1051" s="149" t="s">
        <v>1294</v>
      </c>
      <c r="B1051" s="226">
        <v>44139</v>
      </c>
      <c r="C1051" s="247">
        <v>11302.8</v>
      </c>
      <c r="D1051" s="107">
        <f t="shared" si="6"/>
        <v>2</v>
      </c>
      <c r="E1051" s="107">
        <v>266</v>
      </c>
      <c r="F1051" s="107" t="s">
        <v>323</v>
      </c>
      <c r="G1051" s="178">
        <v>44139</v>
      </c>
      <c r="H1051" s="178">
        <v>44139</v>
      </c>
      <c r="I1051" s="178">
        <v>44144</v>
      </c>
      <c r="J1051" s="178">
        <v>44146</v>
      </c>
      <c r="AA1051" s="166">
        <v>44147</v>
      </c>
    </row>
    <row r="1052" spans="1:35" ht="15.75" hidden="1" customHeight="1">
      <c r="A1052" s="149" t="s">
        <v>1295</v>
      </c>
      <c r="B1052" s="226">
        <v>44139</v>
      </c>
      <c r="C1052" s="247">
        <v>11302.8</v>
      </c>
      <c r="D1052" s="107">
        <f t="shared" si="6"/>
        <v>2</v>
      </c>
      <c r="E1052" s="107">
        <v>266</v>
      </c>
      <c r="F1052" s="107" t="s">
        <v>323</v>
      </c>
      <c r="G1052" s="178">
        <v>44139</v>
      </c>
      <c r="H1052" s="178">
        <v>44139</v>
      </c>
      <c r="I1052" s="178">
        <v>44144</v>
      </c>
      <c r="J1052" s="178">
        <v>44146</v>
      </c>
      <c r="AA1052" s="166">
        <v>44147</v>
      </c>
    </row>
    <row r="1053" spans="1:35" ht="15.75" hidden="1" customHeight="1">
      <c r="A1053" s="149" t="s">
        <v>1296</v>
      </c>
      <c r="B1053" s="226">
        <v>44139</v>
      </c>
      <c r="C1053" s="247">
        <v>11302.8</v>
      </c>
      <c r="D1053" s="107">
        <f t="shared" si="6"/>
        <v>2</v>
      </c>
      <c r="E1053" s="107">
        <v>266</v>
      </c>
      <c r="F1053" s="107" t="s">
        <v>323</v>
      </c>
      <c r="G1053" s="178">
        <v>44139</v>
      </c>
      <c r="H1053" s="178">
        <v>44139</v>
      </c>
      <c r="I1053" s="178">
        <v>44144</v>
      </c>
      <c r="J1053" s="178">
        <v>44146</v>
      </c>
      <c r="AA1053" s="166">
        <v>44147</v>
      </c>
    </row>
    <row r="1054" spans="1:35" ht="15.75" hidden="1" customHeight="1">
      <c r="A1054" s="149" t="s">
        <v>1297</v>
      </c>
      <c r="B1054" s="226">
        <v>44139</v>
      </c>
      <c r="C1054" s="247">
        <v>11302.8</v>
      </c>
      <c r="D1054" s="107">
        <f t="shared" si="6"/>
        <v>2</v>
      </c>
      <c r="E1054" s="107">
        <v>266</v>
      </c>
      <c r="F1054" s="107" t="s">
        <v>323</v>
      </c>
      <c r="G1054" s="178">
        <v>44139</v>
      </c>
      <c r="H1054" s="178">
        <v>44139</v>
      </c>
      <c r="I1054" s="178">
        <v>44144</v>
      </c>
      <c r="J1054" s="178">
        <v>44146</v>
      </c>
      <c r="AA1054" s="166">
        <v>44147</v>
      </c>
    </row>
    <row r="1055" spans="1:35" ht="15.75" hidden="1" customHeight="1">
      <c r="A1055" s="149" t="s">
        <v>1298</v>
      </c>
      <c r="B1055" s="226">
        <v>44139</v>
      </c>
      <c r="C1055" s="149">
        <v>10398.81</v>
      </c>
      <c r="D1055" s="107">
        <f t="shared" si="6"/>
        <v>3</v>
      </c>
      <c r="E1055" s="107">
        <v>267</v>
      </c>
      <c r="F1055" s="107" t="s">
        <v>323</v>
      </c>
      <c r="G1055" s="178">
        <v>44139</v>
      </c>
      <c r="H1055" s="178">
        <v>44139</v>
      </c>
      <c r="I1055" s="178">
        <v>44144</v>
      </c>
      <c r="J1055" s="178">
        <v>44146</v>
      </c>
      <c r="K1055" s="178">
        <v>44148</v>
      </c>
      <c r="L1055" s="178">
        <v>44152</v>
      </c>
      <c r="AA1055" s="166">
        <v>44155</v>
      </c>
    </row>
    <row r="1056" spans="1:35" ht="15.75" hidden="1" customHeight="1">
      <c r="A1056" s="149" t="s">
        <v>1299</v>
      </c>
      <c r="B1056" s="226">
        <v>44139</v>
      </c>
      <c r="C1056" s="149">
        <v>10398.81</v>
      </c>
      <c r="D1056" s="107">
        <f t="shared" si="6"/>
        <v>3</v>
      </c>
      <c r="E1056" s="107">
        <v>267</v>
      </c>
      <c r="F1056" s="107" t="s">
        <v>323</v>
      </c>
      <c r="G1056" s="178">
        <v>44139</v>
      </c>
      <c r="H1056" s="178">
        <v>44139</v>
      </c>
      <c r="I1056" s="178">
        <v>44144</v>
      </c>
      <c r="J1056" s="178">
        <v>44146</v>
      </c>
      <c r="K1056" s="178">
        <v>44148</v>
      </c>
      <c r="L1056" s="178">
        <v>44152</v>
      </c>
      <c r="AA1056" s="166">
        <v>44153</v>
      </c>
    </row>
    <row r="1057" spans="1:35" ht="15.75" hidden="1" customHeight="1">
      <c r="A1057" s="149" t="s">
        <v>1300</v>
      </c>
      <c r="B1057" s="226">
        <v>44139</v>
      </c>
      <c r="C1057" s="149">
        <v>10398.81</v>
      </c>
      <c r="D1057" s="107">
        <f t="shared" si="6"/>
        <v>3</v>
      </c>
      <c r="E1057" s="107">
        <v>267</v>
      </c>
      <c r="F1057" s="107" t="s">
        <v>323</v>
      </c>
      <c r="G1057" s="178">
        <v>44139</v>
      </c>
      <c r="H1057" s="178">
        <v>44139</v>
      </c>
      <c r="I1057" s="178">
        <v>44144</v>
      </c>
      <c r="J1057" s="178">
        <v>44146</v>
      </c>
      <c r="K1057" s="178">
        <v>44148</v>
      </c>
      <c r="L1057" s="178">
        <v>44152</v>
      </c>
      <c r="AA1057" s="166">
        <v>44155</v>
      </c>
    </row>
    <row r="1058" spans="1:35" ht="15.75" hidden="1" customHeight="1">
      <c r="A1058" s="149" t="s">
        <v>1301</v>
      </c>
      <c r="B1058" s="226">
        <v>44139</v>
      </c>
      <c r="C1058" s="149">
        <v>10398.81</v>
      </c>
      <c r="D1058" s="107">
        <f t="shared" si="6"/>
        <v>3.5</v>
      </c>
      <c r="E1058" s="107">
        <v>267</v>
      </c>
      <c r="F1058" s="107" t="s">
        <v>323</v>
      </c>
      <c r="G1058" s="178">
        <v>44139</v>
      </c>
      <c r="H1058" s="178">
        <v>44139</v>
      </c>
      <c r="I1058" s="178">
        <v>44144</v>
      </c>
      <c r="J1058" s="178">
        <v>44146</v>
      </c>
      <c r="K1058" s="178">
        <v>44148</v>
      </c>
      <c r="L1058" s="178">
        <v>44152</v>
      </c>
      <c r="M1058" s="178">
        <v>44153</v>
      </c>
      <c r="AA1058" s="166">
        <v>44155</v>
      </c>
    </row>
    <row r="1059" spans="1:35" ht="15.75" hidden="1" customHeight="1">
      <c r="A1059" s="149" t="s">
        <v>1302</v>
      </c>
      <c r="B1059" s="226">
        <v>44139</v>
      </c>
      <c r="C1059" s="149">
        <v>10398.81</v>
      </c>
      <c r="D1059" s="107">
        <f t="shared" si="6"/>
        <v>3</v>
      </c>
      <c r="E1059" s="107">
        <v>267</v>
      </c>
      <c r="F1059" s="107" t="s">
        <v>323</v>
      </c>
      <c r="G1059" s="178">
        <v>44139</v>
      </c>
      <c r="H1059" s="178">
        <v>44139</v>
      </c>
      <c r="I1059" s="178">
        <v>44144</v>
      </c>
      <c r="J1059" s="178">
        <v>44146</v>
      </c>
      <c r="K1059" s="178">
        <v>44148</v>
      </c>
      <c r="L1059" s="178">
        <v>44152</v>
      </c>
      <c r="AA1059" s="166">
        <v>44155</v>
      </c>
    </row>
    <row r="1060" spans="1:35" ht="15.75" hidden="1" customHeight="1">
      <c r="A1060" s="149" t="s">
        <v>1303</v>
      </c>
      <c r="B1060" s="226">
        <v>44139</v>
      </c>
      <c r="C1060" s="149">
        <v>10398.81</v>
      </c>
      <c r="D1060" s="107">
        <f t="shared" si="6"/>
        <v>2.5</v>
      </c>
      <c r="E1060" s="107">
        <v>267</v>
      </c>
      <c r="F1060" s="107" t="s">
        <v>323</v>
      </c>
      <c r="G1060" s="178">
        <v>44139</v>
      </c>
      <c r="H1060" s="178">
        <v>44139</v>
      </c>
      <c r="I1060" s="178">
        <v>44144</v>
      </c>
      <c r="J1060" s="178">
        <v>44146</v>
      </c>
      <c r="K1060" s="178">
        <v>44148</v>
      </c>
      <c r="AA1060" s="166">
        <v>44153</v>
      </c>
    </row>
    <row r="1061" spans="1:35" ht="15.75" hidden="1" customHeight="1">
      <c r="A1061" s="149" t="s">
        <v>1304</v>
      </c>
      <c r="B1061" s="226">
        <v>44139</v>
      </c>
      <c r="C1061" s="149">
        <v>10398.81</v>
      </c>
      <c r="D1061" s="107">
        <f t="shared" si="6"/>
        <v>3</v>
      </c>
      <c r="E1061" s="107">
        <v>267</v>
      </c>
      <c r="F1061" s="107" t="s">
        <v>323</v>
      </c>
      <c r="G1061" s="178">
        <v>44139</v>
      </c>
      <c r="H1061" s="178">
        <v>44139</v>
      </c>
      <c r="I1061" s="178">
        <v>44144</v>
      </c>
      <c r="J1061" s="178">
        <v>44146</v>
      </c>
      <c r="K1061" s="178">
        <v>44148</v>
      </c>
      <c r="L1061" s="178">
        <v>44152</v>
      </c>
      <c r="AA1061" s="166">
        <v>44153</v>
      </c>
    </row>
    <row r="1062" spans="1:35" ht="15.75" hidden="1" customHeight="1">
      <c r="A1062" s="149" t="s">
        <v>1305</v>
      </c>
      <c r="B1062" s="226">
        <v>44139</v>
      </c>
      <c r="C1062" s="149">
        <v>10398.81</v>
      </c>
      <c r="D1062" s="107">
        <f t="shared" si="6"/>
        <v>3</v>
      </c>
      <c r="E1062" s="107">
        <v>267</v>
      </c>
      <c r="F1062" s="107" t="s">
        <v>323</v>
      </c>
      <c r="G1062" s="178">
        <v>44139</v>
      </c>
      <c r="H1062" s="178">
        <v>44139</v>
      </c>
      <c r="I1062" s="178">
        <v>44144</v>
      </c>
      <c r="J1062" s="178">
        <v>44146</v>
      </c>
      <c r="K1062" s="178">
        <v>44148</v>
      </c>
      <c r="L1062" s="178">
        <v>44152</v>
      </c>
      <c r="AA1062" s="166">
        <v>44155</v>
      </c>
    </row>
    <row r="1063" spans="1:35" ht="15.75" hidden="1" customHeight="1">
      <c r="A1063" s="149" t="s">
        <v>1306</v>
      </c>
      <c r="B1063" s="226">
        <v>44139</v>
      </c>
      <c r="C1063" s="149">
        <v>10398.81</v>
      </c>
      <c r="D1063" s="107">
        <f t="shared" si="6"/>
        <v>3</v>
      </c>
      <c r="E1063" s="107">
        <v>267</v>
      </c>
      <c r="F1063" s="107" t="s">
        <v>323</v>
      </c>
      <c r="G1063" s="178">
        <v>44139</v>
      </c>
      <c r="H1063" s="178">
        <v>44139</v>
      </c>
      <c r="I1063" s="178">
        <v>44144</v>
      </c>
      <c r="J1063" s="178">
        <v>44146</v>
      </c>
      <c r="K1063" s="178">
        <v>44148</v>
      </c>
      <c r="L1063" s="178">
        <v>44152</v>
      </c>
      <c r="AA1063" s="166">
        <v>44153</v>
      </c>
    </row>
    <row r="1064" spans="1:35" ht="15.75" hidden="1" customHeight="1">
      <c r="A1064" s="149" t="s">
        <v>1307</v>
      </c>
      <c r="B1064" s="226">
        <v>44139</v>
      </c>
      <c r="C1064" s="149">
        <v>10059.370000000001</v>
      </c>
      <c r="D1064" s="107">
        <f t="shared" si="6"/>
        <v>5</v>
      </c>
      <c r="E1064" s="107">
        <v>268</v>
      </c>
      <c r="F1064" s="107" t="s">
        <v>263</v>
      </c>
      <c r="G1064" s="178">
        <v>44139</v>
      </c>
      <c r="H1064" s="178">
        <v>44139</v>
      </c>
      <c r="I1064" s="178">
        <v>44144</v>
      </c>
      <c r="J1064" s="178">
        <v>44146</v>
      </c>
      <c r="K1064" s="178">
        <v>44148</v>
      </c>
      <c r="L1064" s="178">
        <v>44151</v>
      </c>
      <c r="M1064" s="178">
        <v>44153</v>
      </c>
      <c r="N1064" s="178">
        <v>44155</v>
      </c>
      <c r="O1064" s="178">
        <v>44158</v>
      </c>
      <c r="P1064" s="178">
        <v>44160</v>
      </c>
      <c r="AA1064" s="166">
        <v>44169</v>
      </c>
      <c r="AC1064" s="107">
        <f>7/15</f>
        <v>0.46666666666666667</v>
      </c>
      <c r="AD1064" s="107">
        <v>1204</v>
      </c>
      <c r="AE1064" s="107">
        <v>226</v>
      </c>
      <c r="AH1064" s="108">
        <f>(AD1064-AF1064)/(D1064*$K$1*2)%</f>
        <v>21.890909090909091</v>
      </c>
      <c r="AI1064" s="108">
        <f>(AE1064+AF1064)/(D1064*$K$1*2)%</f>
        <v>4.1090909090909093</v>
      </c>
    </row>
    <row r="1065" spans="1:35" ht="15.75" hidden="1" customHeight="1">
      <c r="A1065" s="149" t="s">
        <v>1308</v>
      </c>
      <c r="B1065" s="226">
        <v>44139</v>
      </c>
      <c r="C1065" s="149">
        <v>10059.370000000001</v>
      </c>
      <c r="D1065" s="107">
        <f t="shared" si="6"/>
        <v>5</v>
      </c>
      <c r="E1065" s="107">
        <v>268</v>
      </c>
      <c r="F1065" s="107" t="s">
        <v>263</v>
      </c>
      <c r="G1065" s="178">
        <v>44139</v>
      </c>
      <c r="H1065" s="178">
        <v>44139</v>
      </c>
      <c r="I1065" s="178">
        <v>44144</v>
      </c>
      <c r="J1065" s="178">
        <v>44146</v>
      </c>
      <c r="K1065" s="178">
        <v>44148</v>
      </c>
      <c r="L1065" s="178">
        <v>44151</v>
      </c>
      <c r="M1065" s="178">
        <v>44153</v>
      </c>
      <c r="N1065" s="178">
        <v>44155</v>
      </c>
      <c r="O1065" s="178">
        <v>44158</v>
      </c>
      <c r="P1065" s="178">
        <v>44160</v>
      </c>
      <c r="AA1065" s="166">
        <v>44169</v>
      </c>
      <c r="AH1065" s="108">
        <f>(AD1065-AF1065)/(D1065*$K$1*2)%</f>
        <v>0</v>
      </c>
      <c r="AI1065" s="108">
        <f>(AE1065+AF1065)/(D1065*$K$1*2)%</f>
        <v>0</v>
      </c>
    </row>
    <row r="1066" spans="1:35" ht="15.75" hidden="1" customHeight="1">
      <c r="A1066" s="149" t="s">
        <v>1309</v>
      </c>
      <c r="B1066" s="226">
        <v>44139</v>
      </c>
      <c r="C1066" s="149">
        <v>10059.370000000001</v>
      </c>
      <c r="D1066" s="107">
        <f t="shared" si="6"/>
        <v>5</v>
      </c>
      <c r="E1066" s="107">
        <v>268</v>
      </c>
      <c r="F1066" s="107" t="s">
        <v>263</v>
      </c>
      <c r="G1066" s="178">
        <v>44139</v>
      </c>
      <c r="H1066" s="178">
        <v>44139</v>
      </c>
      <c r="I1066" s="178">
        <v>44144</v>
      </c>
      <c r="J1066" s="178">
        <v>44146</v>
      </c>
      <c r="K1066" s="178">
        <v>44148</v>
      </c>
      <c r="L1066" s="178">
        <v>44151</v>
      </c>
      <c r="M1066" s="178">
        <v>44153</v>
      </c>
      <c r="N1066" s="178">
        <v>44155</v>
      </c>
      <c r="O1066" s="178">
        <v>44158</v>
      </c>
      <c r="P1066" s="178">
        <v>44160</v>
      </c>
      <c r="AA1066" s="166">
        <v>44169</v>
      </c>
      <c r="AH1066" s="108">
        <f>(AD1066-AF1066)/(D1066*$K$1*2)%</f>
        <v>0</v>
      </c>
      <c r="AI1066" s="108">
        <f>(AE1066+AF1066)/(D1066*$K$1*2)%</f>
        <v>0</v>
      </c>
    </row>
    <row r="1067" spans="1:35" ht="15.75" hidden="1" customHeight="1">
      <c r="A1067" s="149" t="s">
        <v>1310</v>
      </c>
      <c r="B1067" s="226">
        <v>44139</v>
      </c>
      <c r="C1067" s="149">
        <v>10059.370000000001</v>
      </c>
      <c r="D1067" s="107">
        <f t="shared" si="6"/>
        <v>5</v>
      </c>
      <c r="E1067" s="107">
        <v>268</v>
      </c>
      <c r="F1067" s="107" t="s">
        <v>263</v>
      </c>
      <c r="G1067" s="178">
        <v>44139</v>
      </c>
      <c r="H1067" s="178">
        <v>44139</v>
      </c>
      <c r="I1067" s="178">
        <v>44144</v>
      </c>
      <c r="J1067" s="178">
        <v>44146</v>
      </c>
      <c r="K1067" s="178">
        <v>44148</v>
      </c>
      <c r="L1067" s="178">
        <v>44151</v>
      </c>
      <c r="M1067" s="178">
        <v>44153</v>
      </c>
      <c r="N1067" s="178">
        <v>44155</v>
      </c>
      <c r="O1067" s="178">
        <v>44158</v>
      </c>
      <c r="P1067" s="178">
        <v>44160</v>
      </c>
      <c r="AA1067" s="166">
        <v>44169</v>
      </c>
      <c r="AH1067" s="108">
        <f>(AD1067-AF1067)/(D1067*$K$1*2)%</f>
        <v>0</v>
      </c>
      <c r="AI1067" s="108">
        <f>(AE1067+AF1067)/(D1067*$K$1*2)%</f>
        <v>0</v>
      </c>
    </row>
    <row r="1068" spans="1:35" ht="15.75" hidden="1" customHeight="1">
      <c r="A1068" s="149" t="s">
        <v>1311</v>
      </c>
      <c r="B1068" s="226">
        <v>44139</v>
      </c>
      <c r="C1068" s="149">
        <v>10059.370000000001</v>
      </c>
      <c r="D1068" s="107">
        <f t="shared" si="6"/>
        <v>5</v>
      </c>
      <c r="E1068" s="107">
        <v>268</v>
      </c>
      <c r="F1068" s="107" t="s">
        <v>263</v>
      </c>
      <c r="G1068" s="178">
        <v>44139</v>
      </c>
      <c r="H1068" s="178">
        <v>44139</v>
      </c>
      <c r="I1068" s="178">
        <v>44144</v>
      </c>
      <c r="J1068" s="178">
        <v>44146</v>
      </c>
      <c r="K1068" s="178">
        <v>44148</v>
      </c>
      <c r="L1068" s="178">
        <v>44151</v>
      </c>
      <c r="M1068" s="178">
        <v>44153</v>
      </c>
      <c r="N1068" s="178">
        <v>44155</v>
      </c>
      <c r="O1068" s="178">
        <v>44158</v>
      </c>
      <c r="P1068" s="178">
        <v>44160</v>
      </c>
      <c r="AA1068" s="166">
        <v>44169</v>
      </c>
      <c r="AC1068" s="107">
        <f>9/16</f>
        <v>0.5625</v>
      </c>
      <c r="AD1068" s="107">
        <v>1108.5</v>
      </c>
      <c r="AE1068" s="107">
        <v>168</v>
      </c>
      <c r="AH1068" s="108">
        <f>(AD1068-AF1068)/(D1068*$K$1*2)%</f>
        <v>20.154545454545456</v>
      </c>
      <c r="AI1068" s="108">
        <f>(AE1068+AF1068)/(D1068*$K$1*2)%</f>
        <v>3.0545454545454547</v>
      </c>
    </row>
    <row r="1069" spans="1:35" ht="15.75" hidden="1" customHeight="1">
      <c r="A1069" s="149" t="s">
        <v>1312</v>
      </c>
      <c r="B1069" s="226">
        <v>44139</v>
      </c>
      <c r="C1069" s="149">
        <v>12561.07</v>
      </c>
      <c r="D1069" s="107">
        <f t="shared" si="6"/>
        <v>5</v>
      </c>
      <c r="E1069" s="107">
        <v>269</v>
      </c>
      <c r="F1069" s="107" t="s">
        <v>263</v>
      </c>
      <c r="G1069" s="178">
        <v>44139</v>
      </c>
      <c r="H1069" s="178">
        <v>44139</v>
      </c>
      <c r="I1069" s="178">
        <v>44144</v>
      </c>
      <c r="J1069" s="178">
        <v>44146</v>
      </c>
      <c r="K1069" s="178">
        <v>44148</v>
      </c>
      <c r="L1069" s="178">
        <v>44151</v>
      </c>
      <c r="M1069" s="178">
        <v>44153</v>
      </c>
      <c r="N1069" s="178">
        <v>44155</v>
      </c>
      <c r="O1069" s="178">
        <v>44158</v>
      </c>
      <c r="P1069" s="178">
        <v>44160</v>
      </c>
      <c r="AA1069" s="166">
        <v>44169</v>
      </c>
      <c r="AC1069" s="107">
        <f>10/22</f>
        <v>0.45454545454545453</v>
      </c>
      <c r="AD1069" s="107">
        <v>1100</v>
      </c>
      <c r="AE1069" s="107">
        <v>197</v>
      </c>
      <c r="AH1069" s="108">
        <f>(AD1069-AF1069)/(D1069*$K$1*2)%</f>
        <v>20</v>
      </c>
      <c r="AI1069" s="108">
        <f>(AE1069+AF1069)/(D1069*$K$1*2)%</f>
        <v>3.581818181818182</v>
      </c>
    </row>
    <row r="1070" spans="1:35" ht="15.75" hidden="1" customHeight="1">
      <c r="A1070" s="107" t="s">
        <v>1313</v>
      </c>
      <c r="B1070" s="226">
        <v>44146</v>
      </c>
      <c r="C1070" s="230">
        <v>15889</v>
      </c>
      <c r="D1070" s="107">
        <f t="shared" si="6"/>
        <v>4.5</v>
      </c>
      <c r="E1070" s="107">
        <v>270</v>
      </c>
      <c r="F1070" s="107" t="s">
        <v>263</v>
      </c>
      <c r="G1070" s="178">
        <v>44146</v>
      </c>
      <c r="H1070" s="178">
        <v>44146</v>
      </c>
      <c r="I1070" s="178">
        <v>44152</v>
      </c>
      <c r="J1070" s="178">
        <v>44153</v>
      </c>
      <c r="K1070" s="178">
        <v>44155</v>
      </c>
      <c r="L1070" s="178">
        <v>44158</v>
      </c>
      <c r="M1070" s="178">
        <v>44160</v>
      </c>
      <c r="N1070" s="178">
        <v>44166</v>
      </c>
      <c r="O1070" s="178">
        <v>44169</v>
      </c>
      <c r="AA1070" s="166">
        <v>44174</v>
      </c>
      <c r="AC1070" s="107">
        <f>7/18</f>
        <v>0.3888888888888889</v>
      </c>
      <c r="AD1070" s="107">
        <v>409.5</v>
      </c>
      <c r="AE1070" s="107">
        <v>197</v>
      </c>
      <c r="AH1070" s="108">
        <f>(AD1070-AF1070)/(D1070*$K$1*2)%</f>
        <v>8.2727272727272734</v>
      </c>
      <c r="AI1070" s="108">
        <f>(AE1070+AF1070)/(D1070*$K$1*2)%</f>
        <v>3.9797979797979797</v>
      </c>
    </row>
    <row r="1071" spans="1:35" ht="15.75" hidden="1" customHeight="1">
      <c r="A1071" s="107" t="s">
        <v>1314</v>
      </c>
      <c r="B1071" s="226">
        <v>44146</v>
      </c>
      <c r="C1071" s="230">
        <f>11216/2</f>
        <v>5608</v>
      </c>
      <c r="D1071" s="107">
        <f t="shared" si="6"/>
        <v>4</v>
      </c>
      <c r="E1071" s="107">
        <v>271</v>
      </c>
      <c r="F1071" s="107" t="s">
        <v>263</v>
      </c>
      <c r="G1071" s="178">
        <v>44146</v>
      </c>
      <c r="H1071" s="178">
        <v>44146</v>
      </c>
      <c r="I1071" s="178">
        <v>44152</v>
      </c>
      <c r="J1071" s="178">
        <v>44153</v>
      </c>
      <c r="K1071" s="178">
        <v>44155</v>
      </c>
      <c r="L1071" s="178">
        <v>44158</v>
      </c>
      <c r="M1071" s="178">
        <v>44160</v>
      </c>
      <c r="N1071" s="178">
        <v>44166</v>
      </c>
      <c r="AA1071" s="166">
        <v>44173</v>
      </c>
      <c r="AC1071" s="107">
        <f>14/15</f>
        <v>0.93333333333333335</v>
      </c>
      <c r="AD1071" s="107">
        <v>483</v>
      </c>
      <c r="AE1071" s="107">
        <v>127.5</v>
      </c>
      <c r="AH1071" s="108">
        <f>(AD1071-AF1071)/(D1071*$K$1*2)%</f>
        <v>10.977272727272727</v>
      </c>
      <c r="AI1071" s="108">
        <f>(AE1071+AF1071)/(D1071*$K$1*2)%</f>
        <v>2.8977272727272729</v>
      </c>
    </row>
    <row r="1072" spans="1:35" ht="15.75" hidden="1" customHeight="1">
      <c r="A1072" s="107" t="s">
        <v>1315</v>
      </c>
      <c r="B1072" s="226">
        <v>44146</v>
      </c>
      <c r="C1072" s="230">
        <f t="shared" ref="C1072:C1076" si="7">11216/2</f>
        <v>5608</v>
      </c>
      <c r="D1072" s="107">
        <f t="shared" si="6"/>
        <v>4</v>
      </c>
      <c r="E1072" s="107">
        <v>271</v>
      </c>
      <c r="F1072" s="107" t="s">
        <v>263</v>
      </c>
      <c r="G1072" s="178">
        <v>44146</v>
      </c>
      <c r="H1072" s="178">
        <v>44146</v>
      </c>
      <c r="I1072" s="178">
        <v>44152</v>
      </c>
      <c r="J1072" s="178">
        <v>44153</v>
      </c>
      <c r="K1072" s="178">
        <v>44155</v>
      </c>
      <c r="L1072" s="178">
        <v>44158</v>
      </c>
      <c r="M1072" s="178">
        <v>44160</v>
      </c>
      <c r="N1072" s="178">
        <v>44166</v>
      </c>
      <c r="AA1072" s="166">
        <v>44173</v>
      </c>
      <c r="AC1072" s="107">
        <f>12/13</f>
        <v>0.92307692307692313</v>
      </c>
      <c r="AD1072" s="107">
        <v>497.5</v>
      </c>
      <c r="AE1072" s="107">
        <v>125</v>
      </c>
      <c r="AH1072" s="108">
        <f>(AD1072-AF1072)/(D1072*$K$1*2)%</f>
        <v>11.306818181818182</v>
      </c>
      <c r="AI1072" s="108">
        <f>(AE1072+AF1072)/(D1072*$K$1*2)%</f>
        <v>2.8409090909090908</v>
      </c>
    </row>
    <row r="1073" spans="1:35" ht="15.75" hidden="1" customHeight="1">
      <c r="A1073" s="107" t="s">
        <v>1316</v>
      </c>
      <c r="B1073" s="226">
        <v>44146</v>
      </c>
      <c r="C1073" s="230">
        <f t="shared" si="7"/>
        <v>5608</v>
      </c>
      <c r="D1073" s="107">
        <f t="shared" si="6"/>
        <v>4</v>
      </c>
      <c r="E1073" s="107">
        <v>271</v>
      </c>
      <c r="F1073" s="107" t="s">
        <v>263</v>
      </c>
      <c r="G1073" s="178">
        <v>44146</v>
      </c>
      <c r="H1073" s="178">
        <v>44146</v>
      </c>
      <c r="I1073" s="178">
        <v>44152</v>
      </c>
      <c r="J1073" s="178">
        <v>44153</v>
      </c>
      <c r="K1073" s="178">
        <v>44155</v>
      </c>
      <c r="L1073" s="178">
        <v>44158</v>
      </c>
      <c r="M1073" s="178">
        <v>44160</v>
      </c>
      <c r="N1073" s="178">
        <v>44166</v>
      </c>
      <c r="AA1073" s="166">
        <v>44173</v>
      </c>
      <c r="AH1073" s="108">
        <f>(AD1073-AF1073)/(D1073*$K$1*2)%</f>
        <v>0</v>
      </c>
      <c r="AI1073" s="108">
        <f>(AE1073+AF1073)/(D1073*$K$1*2)%</f>
        <v>0</v>
      </c>
    </row>
    <row r="1074" spans="1:35" ht="15.75" hidden="1" customHeight="1">
      <c r="A1074" s="107" t="s">
        <v>1317</v>
      </c>
      <c r="B1074" s="226">
        <v>44146</v>
      </c>
      <c r="C1074" s="230">
        <f t="shared" si="7"/>
        <v>5608</v>
      </c>
      <c r="D1074" s="107">
        <f t="shared" si="6"/>
        <v>4</v>
      </c>
      <c r="E1074" s="107">
        <v>271</v>
      </c>
      <c r="F1074" s="107" t="s">
        <v>263</v>
      </c>
      <c r="G1074" s="178">
        <v>44146</v>
      </c>
      <c r="H1074" s="178">
        <v>44146</v>
      </c>
      <c r="I1074" s="178">
        <v>44152</v>
      </c>
      <c r="J1074" s="178">
        <v>44153</v>
      </c>
      <c r="K1074" s="178">
        <v>44155</v>
      </c>
      <c r="L1074" s="178">
        <v>44158</v>
      </c>
      <c r="M1074" s="178">
        <v>44160</v>
      </c>
      <c r="N1074" s="178">
        <v>44166</v>
      </c>
      <c r="AA1074" s="166">
        <v>44173</v>
      </c>
      <c r="AC1074" s="107">
        <f>12/14</f>
        <v>0.8571428571428571</v>
      </c>
      <c r="AD1074" s="107">
        <v>433</v>
      </c>
      <c r="AE1074" s="107">
        <v>123.5</v>
      </c>
      <c r="AH1074" s="108">
        <f>(AD1074-AF1074)/(D1074*$K$1*2)%</f>
        <v>9.8409090909090917</v>
      </c>
      <c r="AI1074" s="108">
        <f>(AE1074+AF1074)/(D1074*$K$1*2)%</f>
        <v>2.8068181818181817</v>
      </c>
    </row>
    <row r="1075" spans="1:35" ht="15.75" hidden="1" customHeight="1">
      <c r="A1075" s="107" t="s">
        <v>1318</v>
      </c>
      <c r="B1075" s="226">
        <v>44146</v>
      </c>
      <c r="C1075" s="230">
        <f t="shared" si="7"/>
        <v>5608</v>
      </c>
      <c r="D1075" s="107">
        <f t="shared" si="6"/>
        <v>4</v>
      </c>
      <c r="E1075" s="107">
        <v>271</v>
      </c>
      <c r="F1075" s="107" t="s">
        <v>263</v>
      </c>
      <c r="G1075" s="178">
        <v>44146</v>
      </c>
      <c r="H1075" s="178">
        <v>44146</v>
      </c>
      <c r="I1075" s="178">
        <v>44152</v>
      </c>
      <c r="J1075" s="178">
        <v>44153</v>
      </c>
      <c r="K1075" s="178">
        <v>44155</v>
      </c>
      <c r="L1075" s="178">
        <v>44158</v>
      </c>
      <c r="M1075" s="178">
        <v>44160</v>
      </c>
      <c r="N1075" s="178">
        <v>44166</v>
      </c>
      <c r="AA1075" s="166">
        <v>44173</v>
      </c>
      <c r="AH1075" s="108">
        <f>(AD1075-AF1075)/(D1075*$K$1*2)%</f>
        <v>0</v>
      </c>
      <c r="AI1075" s="108">
        <f>(AE1075+AF1075)/(D1075*$K$1*2)%</f>
        <v>0</v>
      </c>
    </row>
    <row r="1076" spans="1:35" ht="15.75" hidden="1" customHeight="1">
      <c r="A1076" s="107" t="s">
        <v>1319</v>
      </c>
      <c r="B1076" s="226">
        <v>44146</v>
      </c>
      <c r="C1076" s="230">
        <f t="shared" si="7"/>
        <v>5608</v>
      </c>
      <c r="D1076" s="107">
        <f t="shared" si="6"/>
        <v>4</v>
      </c>
      <c r="E1076" s="107">
        <v>271</v>
      </c>
      <c r="F1076" s="107" t="s">
        <v>263</v>
      </c>
      <c r="G1076" s="178">
        <v>44146</v>
      </c>
      <c r="H1076" s="178">
        <v>44146</v>
      </c>
      <c r="I1076" s="178">
        <v>44152</v>
      </c>
      <c r="J1076" s="178">
        <v>44153</v>
      </c>
      <c r="K1076" s="178">
        <v>44155</v>
      </c>
      <c r="L1076" s="178">
        <v>44158</v>
      </c>
      <c r="M1076" s="178">
        <v>44160</v>
      </c>
      <c r="N1076" s="178">
        <v>44166</v>
      </c>
      <c r="AA1076" s="166">
        <v>44169</v>
      </c>
      <c r="AC1076" s="107">
        <f>16/22*100</f>
        <v>72.727272727272734</v>
      </c>
      <c r="AD1076" s="107">
        <v>615</v>
      </c>
      <c r="AE1076" s="107">
        <v>142</v>
      </c>
      <c r="AH1076" s="108">
        <f>(AD1076-AF1076)/(D1076*$K$1*2)%</f>
        <v>13.977272727272727</v>
      </c>
      <c r="AI1076" s="108">
        <f>(AE1076+AF1076)/(D1076*$K$1*2)%</f>
        <v>3.2272727272727271</v>
      </c>
    </row>
    <row r="1077" spans="1:35" ht="15.75" hidden="1" customHeight="1">
      <c r="A1077" s="107" t="s">
        <v>1320</v>
      </c>
      <c r="B1077" s="226">
        <v>44146</v>
      </c>
      <c r="C1077" s="230">
        <v>11216</v>
      </c>
      <c r="D1077" s="107">
        <f t="shared" si="6"/>
        <v>4.5</v>
      </c>
      <c r="E1077" s="107">
        <v>271</v>
      </c>
      <c r="F1077" s="107" t="s">
        <v>263</v>
      </c>
      <c r="G1077" s="178">
        <v>44146</v>
      </c>
      <c r="H1077" s="178">
        <v>44146</v>
      </c>
      <c r="I1077" s="178">
        <v>44152</v>
      </c>
      <c r="J1077" s="178">
        <v>44153</v>
      </c>
      <c r="K1077" s="178">
        <v>44155</v>
      </c>
      <c r="L1077" s="178">
        <v>44158</v>
      </c>
      <c r="M1077" s="178">
        <v>44160</v>
      </c>
      <c r="N1077" s="178">
        <v>44166</v>
      </c>
      <c r="O1077" s="178">
        <v>44169</v>
      </c>
      <c r="AA1077" s="166">
        <v>44174</v>
      </c>
      <c r="AH1077" s="108">
        <f>(AD1077-AF1077)/(D1077*$K$1*2)%</f>
        <v>0</v>
      </c>
      <c r="AI1077" s="108">
        <f>(AE1077+AF1077)/(D1077*$K$1*2)%</f>
        <v>0</v>
      </c>
    </row>
    <row r="1078" spans="1:35" ht="15.75" hidden="1" customHeight="1">
      <c r="A1078" s="107" t="s">
        <v>1321</v>
      </c>
      <c r="B1078" s="226">
        <v>44146</v>
      </c>
      <c r="C1078" s="230">
        <v>11216</v>
      </c>
      <c r="D1078" s="107">
        <f t="shared" si="6"/>
        <v>4.5</v>
      </c>
      <c r="E1078" s="107">
        <v>271</v>
      </c>
      <c r="F1078" s="107" t="s">
        <v>263</v>
      </c>
      <c r="G1078" s="178">
        <v>44146</v>
      </c>
      <c r="H1078" s="178">
        <v>44146</v>
      </c>
      <c r="I1078" s="178">
        <v>44152</v>
      </c>
      <c r="J1078" s="178">
        <v>44153</v>
      </c>
      <c r="K1078" s="178">
        <v>44155</v>
      </c>
      <c r="L1078" s="178">
        <v>44158</v>
      </c>
      <c r="M1078" s="178">
        <v>44160</v>
      </c>
      <c r="N1078" s="178">
        <v>44166</v>
      </c>
      <c r="O1078" s="178">
        <v>44169</v>
      </c>
      <c r="AA1078" s="166">
        <v>44174</v>
      </c>
      <c r="AC1078" s="107">
        <f>14/18</f>
        <v>0.77777777777777779</v>
      </c>
      <c r="AD1078" s="107">
        <v>959</v>
      </c>
      <c r="AE1078" s="107">
        <v>208</v>
      </c>
      <c r="AH1078" s="108">
        <f>(AD1078-AF1078)/(D1078*$K$1*2)%</f>
        <v>19.373737373737374</v>
      </c>
      <c r="AI1078" s="108">
        <f>(AE1078+AF1078)/(D1078*$K$1*2)%</f>
        <v>4.2020202020202024</v>
      </c>
    </row>
    <row r="1079" spans="1:35" ht="15.75" hidden="1" customHeight="1">
      <c r="A1079" s="107" t="s">
        <v>1322</v>
      </c>
      <c r="B1079" s="226">
        <v>44146</v>
      </c>
      <c r="C1079" s="230">
        <v>11216</v>
      </c>
      <c r="D1079" s="107">
        <f t="shared" si="6"/>
        <v>4.5</v>
      </c>
      <c r="E1079" s="107">
        <v>271</v>
      </c>
      <c r="F1079" s="107" t="s">
        <v>263</v>
      </c>
      <c r="G1079" s="178">
        <v>44146</v>
      </c>
      <c r="H1079" s="178">
        <v>44146</v>
      </c>
      <c r="I1079" s="178">
        <v>44152</v>
      </c>
      <c r="J1079" s="178">
        <v>44153</v>
      </c>
      <c r="K1079" s="178">
        <v>44155</v>
      </c>
      <c r="L1079" s="178">
        <v>44158</v>
      </c>
      <c r="M1079" s="178">
        <v>44160</v>
      </c>
      <c r="N1079" s="178">
        <v>44166</v>
      </c>
      <c r="O1079" s="178">
        <v>44169</v>
      </c>
      <c r="AA1079" s="166">
        <v>44174</v>
      </c>
      <c r="AH1079" s="108">
        <f>(AD1079-AF1079)/(D1079*$K$1*2)%</f>
        <v>0</v>
      </c>
      <c r="AI1079" s="108">
        <f>(AE1079+AF1079)/(D1079*$K$1*2)%</f>
        <v>0</v>
      </c>
    </row>
    <row r="1080" spans="1:35" ht="15.75" hidden="1" customHeight="1">
      <c r="A1080" s="107" t="s">
        <v>1323</v>
      </c>
      <c r="B1080" s="226">
        <v>44146</v>
      </c>
      <c r="C1080" s="230">
        <v>11216</v>
      </c>
      <c r="D1080" s="107">
        <f t="shared" si="6"/>
        <v>4.5</v>
      </c>
      <c r="E1080" s="107">
        <v>271</v>
      </c>
      <c r="F1080" s="107" t="s">
        <v>263</v>
      </c>
      <c r="G1080" s="178">
        <v>44146</v>
      </c>
      <c r="H1080" s="178">
        <v>44146</v>
      </c>
      <c r="I1080" s="178">
        <v>44152</v>
      </c>
      <c r="J1080" s="178">
        <v>44153</v>
      </c>
      <c r="K1080" s="178">
        <v>44155</v>
      </c>
      <c r="L1080" s="178">
        <v>44158</v>
      </c>
      <c r="M1080" s="178">
        <v>44160</v>
      </c>
      <c r="N1080" s="178">
        <v>44166</v>
      </c>
      <c r="O1080" s="178">
        <v>44169</v>
      </c>
      <c r="AA1080" s="166">
        <v>44174</v>
      </c>
      <c r="AC1080" s="107">
        <f>9/17</f>
        <v>0.52941176470588236</v>
      </c>
      <c r="AD1080" s="107">
        <v>959</v>
      </c>
      <c r="AE1080" s="107">
        <v>198</v>
      </c>
      <c r="AH1080" s="108">
        <f>(AD1080-AF1080)/(D1080*$K$1*2)%</f>
        <v>19.373737373737374</v>
      </c>
      <c r="AI1080" s="108">
        <f>(AE1080+AF1080)/(D1080*$K$1*2)%</f>
        <v>4</v>
      </c>
    </row>
    <row r="1081" spans="1:35" ht="15.75" hidden="1" customHeight="1">
      <c r="A1081" s="107" t="s">
        <v>1324</v>
      </c>
      <c r="B1081" s="226">
        <v>44146</v>
      </c>
      <c r="C1081" s="230">
        <v>12843</v>
      </c>
      <c r="D1081" s="107">
        <f t="shared" si="6"/>
        <v>3.5</v>
      </c>
      <c r="E1081" s="107">
        <v>272</v>
      </c>
      <c r="F1081" s="107" t="s">
        <v>323</v>
      </c>
      <c r="G1081" s="178">
        <v>44146</v>
      </c>
      <c r="H1081" s="178">
        <v>44146</v>
      </c>
      <c r="I1081" s="178">
        <v>44152</v>
      </c>
      <c r="J1081" s="178">
        <v>44153</v>
      </c>
      <c r="K1081" s="178">
        <v>44155</v>
      </c>
      <c r="L1081" s="178">
        <v>44158</v>
      </c>
      <c r="M1081" s="178">
        <v>44160</v>
      </c>
      <c r="AA1081" s="166">
        <v>44169</v>
      </c>
    </row>
    <row r="1082" spans="1:35" ht="15.75" hidden="1" customHeight="1">
      <c r="A1082" s="107" t="s">
        <v>1325</v>
      </c>
      <c r="B1082" s="226">
        <v>44146</v>
      </c>
      <c r="C1082" s="230">
        <v>12843</v>
      </c>
      <c r="D1082" s="107">
        <f t="shared" si="6"/>
        <v>3.5</v>
      </c>
      <c r="E1082" s="107">
        <v>272</v>
      </c>
      <c r="F1082" s="107" t="s">
        <v>323</v>
      </c>
      <c r="G1082" s="178">
        <v>44146</v>
      </c>
      <c r="H1082" s="178">
        <v>44146</v>
      </c>
      <c r="I1082" s="178">
        <v>44152</v>
      </c>
      <c r="J1082" s="178">
        <v>44153</v>
      </c>
      <c r="K1082" s="178">
        <v>44155</v>
      </c>
      <c r="L1082" s="178">
        <v>44158</v>
      </c>
      <c r="M1082" s="178">
        <v>44160</v>
      </c>
      <c r="AA1082" s="166">
        <v>44169</v>
      </c>
    </row>
    <row r="1083" spans="1:35" ht="15.75" hidden="1" customHeight="1">
      <c r="A1083" s="107" t="s">
        <v>1326</v>
      </c>
      <c r="B1083" s="226">
        <v>44146</v>
      </c>
      <c r="C1083" s="230">
        <v>10963</v>
      </c>
      <c r="D1083" s="107">
        <f t="shared" si="6"/>
        <v>4.5</v>
      </c>
      <c r="E1083" s="107">
        <v>273</v>
      </c>
      <c r="F1083" s="107" t="s">
        <v>263</v>
      </c>
      <c r="G1083" s="178">
        <v>44146</v>
      </c>
      <c r="H1083" s="178">
        <v>44146</v>
      </c>
      <c r="I1083" s="178">
        <v>44152</v>
      </c>
      <c r="J1083" s="178">
        <v>44153</v>
      </c>
      <c r="K1083" s="178">
        <v>44155</v>
      </c>
      <c r="L1083" s="178">
        <v>44158</v>
      </c>
      <c r="M1083" s="178">
        <v>44160</v>
      </c>
      <c r="N1083" s="178">
        <v>44166</v>
      </c>
      <c r="O1083" s="178">
        <v>44169</v>
      </c>
      <c r="AA1083" s="166">
        <v>44175</v>
      </c>
      <c r="AH1083" s="108">
        <f>(AD1083-AF1083)/(D1083*$K$1*2)%</f>
        <v>0</v>
      </c>
      <c r="AI1083" s="108">
        <f>(AE1083+AF1083)/(D1083*$K$1*2)%</f>
        <v>0</v>
      </c>
    </row>
    <row r="1084" spans="1:35" ht="15.75" hidden="1" customHeight="1">
      <c r="A1084" s="107" t="s">
        <v>1327</v>
      </c>
      <c r="B1084" s="226">
        <v>44146</v>
      </c>
      <c r="C1084" s="230">
        <v>10963</v>
      </c>
      <c r="D1084" s="107">
        <f t="shared" si="6"/>
        <v>4.5</v>
      </c>
      <c r="E1084" s="107">
        <v>273</v>
      </c>
      <c r="F1084" s="107" t="s">
        <v>263</v>
      </c>
      <c r="G1084" s="178">
        <v>44146</v>
      </c>
      <c r="H1084" s="178">
        <v>44146</v>
      </c>
      <c r="I1084" s="178">
        <v>44152</v>
      </c>
      <c r="J1084" s="178">
        <v>44153</v>
      </c>
      <c r="K1084" s="178">
        <v>44155</v>
      </c>
      <c r="L1084" s="178">
        <v>44158</v>
      </c>
      <c r="M1084" s="178">
        <v>44160</v>
      </c>
      <c r="N1084" s="178">
        <v>44166</v>
      </c>
      <c r="O1084" s="178">
        <v>44169</v>
      </c>
      <c r="AA1084" s="166">
        <v>44175</v>
      </c>
      <c r="AC1084" s="107">
        <f>9/19</f>
        <v>0.47368421052631576</v>
      </c>
      <c r="AD1084" s="107">
        <v>825</v>
      </c>
      <c r="AE1084" s="107">
        <v>203.5</v>
      </c>
      <c r="AH1084" s="108">
        <f>(AD1084-AF1084)/(D1084*$K$1*2)%</f>
        <v>16.666666666666668</v>
      </c>
      <c r="AI1084" s="108">
        <f>(AE1084+AF1084)/(D1084*$K$1*2)%</f>
        <v>4.1111111111111107</v>
      </c>
    </row>
    <row r="1085" spans="1:35" ht="15.75" hidden="1" customHeight="1">
      <c r="A1085" s="107" t="s">
        <v>1328</v>
      </c>
      <c r="B1085" s="226">
        <v>44146</v>
      </c>
      <c r="C1085" s="230">
        <v>10963</v>
      </c>
      <c r="D1085" s="107">
        <f t="shared" si="6"/>
        <v>4.5</v>
      </c>
      <c r="E1085" s="107">
        <v>273</v>
      </c>
      <c r="F1085" s="107" t="s">
        <v>263</v>
      </c>
      <c r="G1085" s="178">
        <v>44146</v>
      </c>
      <c r="H1085" s="178">
        <v>44146</v>
      </c>
      <c r="I1085" s="178">
        <v>44152</v>
      </c>
      <c r="J1085" s="178">
        <v>44153</v>
      </c>
      <c r="K1085" s="178">
        <v>44155</v>
      </c>
      <c r="L1085" s="178">
        <v>44158</v>
      </c>
      <c r="M1085" s="178">
        <v>44160</v>
      </c>
      <c r="N1085" s="178">
        <v>44166</v>
      </c>
      <c r="O1085" s="178">
        <v>44169</v>
      </c>
      <c r="AA1085" s="166">
        <v>44175</v>
      </c>
      <c r="AC1085" s="107">
        <f>8/14</f>
        <v>0.5714285714285714</v>
      </c>
      <c r="AD1085" s="107">
        <v>933</v>
      </c>
      <c r="AE1085" s="107">
        <v>202</v>
      </c>
      <c r="AH1085" s="108">
        <f>(AD1085-AF1085)/(D1085*$K$1*2)%</f>
        <v>18.848484848484848</v>
      </c>
      <c r="AI1085" s="108">
        <f>(AE1085+AF1085)/(D1085*$K$1*2)%</f>
        <v>4.0808080808080804</v>
      </c>
    </row>
    <row r="1086" spans="1:35" ht="15.75" hidden="1" customHeight="1">
      <c r="A1086" s="107" t="s">
        <v>1329</v>
      </c>
      <c r="B1086" s="226">
        <v>44146</v>
      </c>
      <c r="C1086" s="230">
        <v>10963</v>
      </c>
      <c r="D1086" s="107">
        <f t="shared" si="6"/>
        <v>4.5</v>
      </c>
      <c r="E1086" s="107">
        <v>273</v>
      </c>
      <c r="F1086" s="107" t="s">
        <v>263</v>
      </c>
      <c r="G1086" s="178">
        <v>44146</v>
      </c>
      <c r="H1086" s="178">
        <v>44146</v>
      </c>
      <c r="I1086" s="178">
        <v>44152</v>
      </c>
      <c r="J1086" s="178">
        <v>44153</v>
      </c>
      <c r="K1086" s="178">
        <v>44155</v>
      </c>
      <c r="L1086" s="178">
        <v>44158</v>
      </c>
      <c r="M1086" s="178">
        <v>44160</v>
      </c>
      <c r="N1086" s="178">
        <v>44166</v>
      </c>
      <c r="O1086" s="178">
        <v>44169</v>
      </c>
      <c r="AA1086" s="166">
        <v>44175</v>
      </c>
      <c r="AH1086" s="108">
        <f>(AD1086-AF1086)/(D1086*$K$1*2)%</f>
        <v>0</v>
      </c>
      <c r="AI1086" s="108">
        <f>(AE1086+AF1086)/(D1086*$K$1*2)%</f>
        <v>0</v>
      </c>
    </row>
    <row r="1087" spans="1:35" ht="15.75" hidden="1" customHeight="1">
      <c r="A1087" s="107" t="s">
        <v>1330</v>
      </c>
      <c r="B1087" s="226">
        <v>44146</v>
      </c>
      <c r="C1087" s="230">
        <v>10963</v>
      </c>
      <c r="D1087" s="107">
        <f t="shared" si="6"/>
        <v>4.5</v>
      </c>
      <c r="E1087" s="107">
        <v>273</v>
      </c>
      <c r="F1087" s="107" t="s">
        <v>263</v>
      </c>
      <c r="G1087" s="178">
        <v>44146</v>
      </c>
      <c r="H1087" s="178">
        <v>44146</v>
      </c>
      <c r="I1087" s="178">
        <v>44152</v>
      </c>
      <c r="J1087" s="178">
        <v>44153</v>
      </c>
      <c r="K1087" s="178">
        <v>44155</v>
      </c>
      <c r="L1087" s="178">
        <v>44158</v>
      </c>
      <c r="M1087" s="178">
        <v>44160</v>
      </c>
      <c r="N1087" s="178">
        <v>44166</v>
      </c>
      <c r="O1087" s="178">
        <v>44169</v>
      </c>
      <c r="AA1087" s="166">
        <v>44175</v>
      </c>
      <c r="AH1087" s="108">
        <f>(AD1087-AF1087)/(D1087*$K$1*2)%</f>
        <v>0</v>
      </c>
      <c r="AI1087" s="108">
        <f>(AE1087+AF1087)/(D1087*$K$1*2)%</f>
        <v>0</v>
      </c>
    </row>
    <row r="1088" spans="1:35" ht="15.75" hidden="1" customHeight="1">
      <c r="A1088" s="107" t="s">
        <v>1331</v>
      </c>
      <c r="B1088" s="226">
        <v>44146</v>
      </c>
      <c r="C1088" s="230">
        <v>10963</v>
      </c>
      <c r="D1088" s="107">
        <f t="shared" si="6"/>
        <v>4.5</v>
      </c>
      <c r="E1088" s="107">
        <v>273</v>
      </c>
      <c r="F1088" s="107" t="s">
        <v>263</v>
      </c>
      <c r="G1088" s="178">
        <v>44146</v>
      </c>
      <c r="H1088" s="178">
        <v>44146</v>
      </c>
      <c r="I1088" s="178">
        <v>44152</v>
      </c>
      <c r="J1088" s="178">
        <v>44153</v>
      </c>
      <c r="K1088" s="178">
        <v>44155</v>
      </c>
      <c r="L1088" s="178">
        <v>44158</v>
      </c>
      <c r="M1088" s="178">
        <v>44160</v>
      </c>
      <c r="N1088" s="178">
        <v>44166</v>
      </c>
      <c r="O1088" s="178">
        <v>44169</v>
      </c>
      <c r="AA1088" s="166">
        <v>44175</v>
      </c>
      <c r="AC1088" s="107">
        <f>4/15</f>
        <v>0.26666666666666666</v>
      </c>
      <c r="AD1088" s="107">
        <v>1014.5</v>
      </c>
      <c r="AE1088" s="107">
        <v>221.5</v>
      </c>
      <c r="AH1088" s="108">
        <f>(AD1088-AF1088)/(D1088*$K$1*2)%</f>
        <v>20.494949494949495</v>
      </c>
      <c r="AI1088" s="108">
        <f>(AE1088+AF1088)/(D1088*$K$1*2)%</f>
        <v>4.4747474747474749</v>
      </c>
    </row>
    <row r="1089" spans="1:35" ht="15.75" hidden="1" customHeight="1">
      <c r="A1089" s="107" t="s">
        <v>1332</v>
      </c>
      <c r="B1089" s="226">
        <v>44146</v>
      </c>
      <c r="C1089" s="230">
        <v>10963</v>
      </c>
      <c r="D1089" s="107">
        <f t="shared" si="6"/>
        <v>4</v>
      </c>
      <c r="E1089" s="107">
        <v>273</v>
      </c>
      <c r="F1089" s="107" t="s">
        <v>263</v>
      </c>
      <c r="G1089" s="178">
        <v>44146</v>
      </c>
      <c r="H1089" s="178">
        <v>44146</v>
      </c>
      <c r="I1089" s="178">
        <v>44152</v>
      </c>
      <c r="J1089" s="178">
        <v>44155</v>
      </c>
      <c r="K1089" s="178">
        <v>44158</v>
      </c>
      <c r="L1089" s="178">
        <v>44160</v>
      </c>
      <c r="M1089" s="178">
        <v>44166</v>
      </c>
      <c r="N1089" s="178">
        <v>44169</v>
      </c>
      <c r="AA1089" s="166">
        <v>44175</v>
      </c>
      <c r="AH1089" s="108">
        <f>(AD1089-AF1089)/(D1089*$K$1*2)%</f>
        <v>0</v>
      </c>
      <c r="AI1089" s="108">
        <f>(AE1089+AF1089)/(D1089*$K$1*2)%</f>
        <v>0</v>
      </c>
    </row>
    <row r="1090" spans="1:35" ht="15.75" hidden="1" customHeight="1">
      <c r="A1090" s="107" t="s">
        <v>1333</v>
      </c>
      <c r="B1090" s="226">
        <v>44146</v>
      </c>
      <c r="C1090" s="230">
        <v>10082</v>
      </c>
      <c r="D1090" s="107">
        <f t="shared" si="6"/>
        <v>3.5</v>
      </c>
      <c r="E1090" s="107">
        <v>274</v>
      </c>
      <c r="F1090" s="107" t="s">
        <v>263</v>
      </c>
      <c r="G1090" s="178">
        <v>44146</v>
      </c>
      <c r="H1090" s="178">
        <v>44146</v>
      </c>
      <c r="I1090" s="178">
        <v>44151</v>
      </c>
      <c r="J1090" s="178">
        <v>44153</v>
      </c>
      <c r="K1090" s="178">
        <v>44155</v>
      </c>
      <c r="L1090" s="178">
        <v>44158</v>
      </c>
      <c r="M1090" s="178">
        <v>44160</v>
      </c>
      <c r="AA1090" s="166">
        <v>44173</v>
      </c>
      <c r="AH1090" s="108">
        <f>(AD1090-AF1090)/(D1090*$K$1*2)%</f>
        <v>0</v>
      </c>
      <c r="AI1090" s="108">
        <f>(AE1090+AF1090)/(D1090*$K$1*2)%</f>
        <v>0</v>
      </c>
    </row>
    <row r="1091" spans="1:35" ht="15.75" hidden="1" customHeight="1">
      <c r="A1091" s="107" t="s">
        <v>1334</v>
      </c>
      <c r="B1091" s="226">
        <v>44146</v>
      </c>
      <c r="C1091" s="230">
        <v>10082</v>
      </c>
      <c r="D1091" s="107">
        <f t="shared" si="6"/>
        <v>3.5</v>
      </c>
      <c r="E1091" s="107">
        <v>274</v>
      </c>
      <c r="F1091" s="107" t="s">
        <v>263</v>
      </c>
      <c r="G1091" s="178">
        <v>44146</v>
      </c>
      <c r="H1091" s="178">
        <v>44146</v>
      </c>
      <c r="I1091" s="178">
        <v>44151</v>
      </c>
      <c r="J1091" s="178">
        <v>44153</v>
      </c>
      <c r="K1091" s="178">
        <v>44155</v>
      </c>
      <c r="L1091" s="178">
        <v>44158</v>
      </c>
      <c r="M1091" s="178">
        <v>44160</v>
      </c>
      <c r="AA1091" s="166">
        <v>44173</v>
      </c>
      <c r="AH1091" s="108">
        <f>(AD1091-AF1091)/(D1091*$K$1*2)%</f>
        <v>0</v>
      </c>
      <c r="AI1091" s="108">
        <f>(AE1091+AF1091)/(D1091*$K$1*2)%</f>
        <v>0</v>
      </c>
    </row>
    <row r="1092" spans="1:35" ht="15.75" hidden="1" customHeight="1">
      <c r="A1092" s="107" t="s">
        <v>1335</v>
      </c>
      <c r="B1092" s="226">
        <v>44146</v>
      </c>
      <c r="C1092" s="230">
        <v>10082</v>
      </c>
      <c r="D1092" s="107">
        <f t="shared" si="6"/>
        <v>3.5</v>
      </c>
      <c r="E1092" s="107">
        <v>274</v>
      </c>
      <c r="F1092" s="107" t="s">
        <v>263</v>
      </c>
      <c r="G1092" s="178">
        <v>44146</v>
      </c>
      <c r="H1092" s="178">
        <v>44146</v>
      </c>
      <c r="I1092" s="178">
        <v>44151</v>
      </c>
      <c r="J1092" s="178">
        <v>44153</v>
      </c>
      <c r="K1092" s="178">
        <v>44155</v>
      </c>
      <c r="L1092" s="178">
        <v>44158</v>
      </c>
      <c r="M1092" s="178">
        <v>44160</v>
      </c>
      <c r="AA1092" s="166">
        <v>44173</v>
      </c>
      <c r="AH1092" s="108">
        <f>(AD1092-AF1092)/(D1092*$K$1*2)%</f>
        <v>0</v>
      </c>
      <c r="AI1092" s="108">
        <f>(AE1092+AF1092)/(D1092*$K$1*2)%</f>
        <v>0</v>
      </c>
    </row>
    <row r="1093" spans="1:35" ht="15.75" hidden="1" customHeight="1">
      <c r="A1093" s="107" t="s">
        <v>1336</v>
      </c>
      <c r="B1093" s="226">
        <v>44146</v>
      </c>
      <c r="C1093" s="230">
        <v>10082</v>
      </c>
      <c r="D1093" s="107">
        <f t="shared" si="6"/>
        <v>3.5</v>
      </c>
      <c r="E1093" s="107">
        <v>274</v>
      </c>
      <c r="F1093" s="107" t="s">
        <v>263</v>
      </c>
      <c r="G1093" s="178">
        <v>44146</v>
      </c>
      <c r="H1093" s="178">
        <v>44146</v>
      </c>
      <c r="I1093" s="178">
        <v>44151</v>
      </c>
      <c r="J1093" s="178">
        <v>44153</v>
      </c>
      <c r="K1093" s="178">
        <v>44155</v>
      </c>
      <c r="L1093" s="178">
        <v>44158</v>
      </c>
      <c r="M1093" s="178">
        <v>44160</v>
      </c>
      <c r="AA1093" s="166">
        <v>44173</v>
      </c>
      <c r="AC1093" s="107">
        <f>10/18</f>
        <v>0.55555555555555558</v>
      </c>
      <c r="AD1093" s="107">
        <v>806.5</v>
      </c>
      <c r="AE1093" s="107">
        <v>148</v>
      </c>
      <c r="AH1093" s="108">
        <f>(AD1093-AF1093)/(D1093*$K$1*2)%</f>
        <v>20.948051948051948</v>
      </c>
      <c r="AI1093" s="108">
        <f>(AE1093+AF1093)/(D1093*$K$1*2)%</f>
        <v>3.8441558441558441</v>
      </c>
    </row>
    <row r="1094" spans="1:35" ht="15.75" hidden="1" customHeight="1">
      <c r="A1094" s="107" t="s">
        <v>1337</v>
      </c>
      <c r="B1094" s="226">
        <v>44146</v>
      </c>
      <c r="C1094" s="230">
        <v>10082</v>
      </c>
      <c r="D1094" s="107">
        <f t="shared" si="6"/>
        <v>3.5</v>
      </c>
      <c r="E1094" s="107">
        <v>274</v>
      </c>
      <c r="F1094" s="107" t="s">
        <v>263</v>
      </c>
      <c r="G1094" s="178">
        <v>44146</v>
      </c>
      <c r="H1094" s="178">
        <v>44146</v>
      </c>
      <c r="I1094" s="178">
        <v>44151</v>
      </c>
      <c r="J1094" s="178">
        <v>44153</v>
      </c>
      <c r="K1094" s="178">
        <v>44155</v>
      </c>
      <c r="L1094" s="178">
        <v>44158</v>
      </c>
      <c r="M1094" s="178">
        <v>44160</v>
      </c>
      <c r="AA1094" s="166">
        <v>44173</v>
      </c>
      <c r="AC1094" s="107">
        <f>11/17</f>
        <v>0.6470588235294118</v>
      </c>
      <c r="AD1094" s="107">
        <v>711</v>
      </c>
      <c r="AE1094" s="107">
        <v>148.5</v>
      </c>
      <c r="AH1094" s="108">
        <f>(AD1094-AF1094)/(D1094*$K$1*2)%</f>
        <v>18.467532467532468</v>
      </c>
      <c r="AI1094" s="108">
        <f>(AE1094+AF1094)/(D1094*$K$1*2)%</f>
        <v>3.8571428571428572</v>
      </c>
    </row>
    <row r="1095" spans="1:35" ht="15.75" hidden="1" customHeight="1">
      <c r="A1095" s="107" t="s">
        <v>1338</v>
      </c>
      <c r="B1095" s="226">
        <v>44146</v>
      </c>
      <c r="C1095" s="230">
        <v>10082</v>
      </c>
      <c r="D1095" s="107">
        <f t="shared" si="6"/>
        <v>3.5</v>
      </c>
      <c r="E1095" s="107">
        <v>274</v>
      </c>
      <c r="F1095" s="107" t="s">
        <v>263</v>
      </c>
      <c r="G1095" s="178">
        <v>44146</v>
      </c>
      <c r="H1095" s="178">
        <v>44146</v>
      </c>
      <c r="I1095" s="178">
        <v>44151</v>
      </c>
      <c r="J1095" s="178">
        <v>44153</v>
      </c>
      <c r="K1095" s="178">
        <v>44155</v>
      </c>
      <c r="L1095" s="178">
        <v>44158</v>
      </c>
      <c r="M1095" s="178">
        <v>44160</v>
      </c>
      <c r="AA1095" s="166">
        <v>44173</v>
      </c>
      <c r="AH1095" s="108">
        <f>(AD1095-AF1095)/(D1095*$K$1*2)%</f>
        <v>0</v>
      </c>
      <c r="AI1095" s="108">
        <f>(AE1095+AF1095)/(D1095*$K$1*2)%</f>
        <v>0</v>
      </c>
    </row>
    <row r="1096" spans="1:35" ht="15.75" hidden="1" customHeight="1">
      <c r="A1096" s="107" t="s">
        <v>1339</v>
      </c>
      <c r="B1096" s="226">
        <v>44146</v>
      </c>
      <c r="C1096" s="230">
        <v>10082</v>
      </c>
      <c r="D1096" s="107">
        <f t="shared" ref="D1096:D1159" si="8">COUNTA(G1096:Z1096)*0.5</f>
        <v>3.5</v>
      </c>
      <c r="E1096" s="107">
        <v>274</v>
      </c>
      <c r="F1096" s="107" t="s">
        <v>263</v>
      </c>
      <c r="G1096" s="178">
        <v>44146</v>
      </c>
      <c r="H1096" s="178">
        <v>44146</v>
      </c>
      <c r="I1096" s="178">
        <v>44151</v>
      </c>
      <c r="J1096" s="178">
        <v>44153</v>
      </c>
      <c r="K1096" s="178">
        <v>44155</v>
      </c>
      <c r="L1096" s="178">
        <v>44158</v>
      </c>
      <c r="M1096" s="178">
        <v>44160</v>
      </c>
      <c r="AA1096" s="166">
        <v>44173</v>
      </c>
      <c r="AH1096" s="108">
        <f>(AD1096-AF1096)/(D1096*$K$1*2)%</f>
        <v>0</v>
      </c>
      <c r="AI1096" s="108">
        <f>(AE1096+AF1096)/(D1096*$K$1*2)%</f>
        <v>0</v>
      </c>
    </row>
    <row r="1097" spans="1:35" ht="15.75" hidden="1" customHeight="1">
      <c r="A1097" s="107" t="s">
        <v>1340</v>
      </c>
      <c r="B1097" s="226">
        <v>44146</v>
      </c>
      <c r="C1097" s="230">
        <v>10082</v>
      </c>
      <c r="D1097" s="107">
        <f t="shared" si="8"/>
        <v>3.5</v>
      </c>
      <c r="E1097" s="107">
        <v>274</v>
      </c>
      <c r="F1097" s="107" t="s">
        <v>263</v>
      </c>
      <c r="G1097" s="178">
        <v>44146</v>
      </c>
      <c r="H1097" s="178">
        <v>44146</v>
      </c>
      <c r="I1097" s="178">
        <v>44151</v>
      </c>
      <c r="J1097" s="178">
        <v>44153</v>
      </c>
      <c r="K1097" s="178">
        <v>44155</v>
      </c>
      <c r="L1097" s="178">
        <v>44158</v>
      </c>
      <c r="M1097" s="178">
        <v>44160</v>
      </c>
      <c r="AA1097" s="166">
        <v>44173</v>
      </c>
      <c r="AH1097" s="108">
        <f>(AD1097-AF1097)/(D1097*$K$1*2)%</f>
        <v>0</v>
      </c>
      <c r="AI1097" s="108">
        <f>(AE1097+AF1097)/(D1097*$K$1*2)%</f>
        <v>0</v>
      </c>
    </row>
    <row r="1098" spans="1:35" ht="15.75" hidden="1" customHeight="1">
      <c r="A1098" s="107" t="s">
        <v>1341</v>
      </c>
      <c r="B1098" s="226">
        <v>44146</v>
      </c>
      <c r="C1098" s="230">
        <v>10082</v>
      </c>
      <c r="D1098" s="107">
        <f t="shared" si="8"/>
        <v>3.5</v>
      </c>
      <c r="E1098" s="107">
        <v>274</v>
      </c>
      <c r="F1098" s="107" t="s">
        <v>263</v>
      </c>
      <c r="G1098" s="178">
        <v>44146</v>
      </c>
      <c r="H1098" s="178">
        <v>44146</v>
      </c>
      <c r="I1098" s="178">
        <v>44151</v>
      </c>
      <c r="J1098" s="178">
        <v>44153</v>
      </c>
      <c r="K1098" s="178">
        <v>44155</v>
      </c>
      <c r="L1098" s="178">
        <v>44158</v>
      </c>
      <c r="M1098" s="178">
        <v>44160</v>
      </c>
      <c r="AA1098" s="166">
        <v>44173</v>
      </c>
      <c r="AH1098" s="108">
        <f>(AD1098-AF1098)/(D1098*$K$1*2)%</f>
        <v>0</v>
      </c>
      <c r="AI1098" s="108">
        <f>(AE1098+AF1098)/(D1098*$K$1*2)%</f>
        <v>0</v>
      </c>
    </row>
    <row r="1099" spans="1:35" ht="15.75" hidden="1" customHeight="1">
      <c r="A1099" s="107" t="s">
        <v>1342</v>
      </c>
      <c r="B1099" s="226">
        <v>44146</v>
      </c>
      <c r="C1099" s="230">
        <v>10082</v>
      </c>
      <c r="D1099" s="107">
        <f t="shared" si="8"/>
        <v>3.5</v>
      </c>
      <c r="E1099" s="107">
        <v>274</v>
      </c>
      <c r="F1099" s="107" t="s">
        <v>263</v>
      </c>
      <c r="G1099" s="178">
        <v>44146</v>
      </c>
      <c r="H1099" s="178">
        <v>44146</v>
      </c>
      <c r="I1099" s="178">
        <v>44151</v>
      </c>
      <c r="J1099" s="178">
        <v>44153</v>
      </c>
      <c r="K1099" s="178">
        <v>44155</v>
      </c>
      <c r="L1099" s="178">
        <v>44158</v>
      </c>
      <c r="M1099" s="178">
        <v>44160</v>
      </c>
      <c r="AA1099" s="166">
        <v>44173</v>
      </c>
      <c r="AH1099" s="108">
        <f>(AD1099-AF1099)/(D1099*$K$1*2)%</f>
        <v>0</v>
      </c>
      <c r="AI1099" s="108">
        <f>(AE1099+AF1099)/(D1099*$K$1*2)%</f>
        <v>0</v>
      </c>
    </row>
    <row r="1100" spans="1:35" ht="15.75" hidden="1" customHeight="1">
      <c r="A1100" s="107" t="s">
        <v>1343</v>
      </c>
      <c r="B1100" s="226">
        <v>44146</v>
      </c>
      <c r="C1100" s="230">
        <v>10082</v>
      </c>
      <c r="D1100" s="107">
        <f t="shared" si="8"/>
        <v>3.5</v>
      </c>
      <c r="E1100" s="107">
        <v>274</v>
      </c>
      <c r="F1100" s="107" t="s">
        <v>263</v>
      </c>
      <c r="G1100" s="178">
        <v>44146</v>
      </c>
      <c r="H1100" s="178">
        <v>44146</v>
      </c>
      <c r="I1100" s="178">
        <v>44151</v>
      </c>
      <c r="J1100" s="178">
        <v>44153</v>
      </c>
      <c r="K1100" s="178">
        <v>44155</v>
      </c>
      <c r="L1100" s="178">
        <v>44158</v>
      </c>
      <c r="M1100" s="178">
        <v>44160</v>
      </c>
      <c r="AA1100" s="166">
        <v>44173</v>
      </c>
      <c r="AH1100" s="108">
        <f>(AD1100-AF1100)/(D1100*$K$1*2)%</f>
        <v>0</v>
      </c>
      <c r="AI1100" s="108">
        <f>(AE1100+AF1100)/(D1100*$K$1*2)%</f>
        <v>0</v>
      </c>
    </row>
    <row r="1101" spans="1:35" ht="15.75" hidden="1" customHeight="1">
      <c r="A1101" s="107" t="s">
        <v>1344</v>
      </c>
      <c r="B1101" s="226">
        <v>44146</v>
      </c>
      <c r="C1101" s="230">
        <v>10082</v>
      </c>
      <c r="D1101" s="107">
        <f t="shared" si="8"/>
        <v>3.5</v>
      </c>
      <c r="E1101" s="107">
        <v>274</v>
      </c>
      <c r="F1101" s="107" t="s">
        <v>263</v>
      </c>
      <c r="G1101" s="178">
        <v>44146</v>
      </c>
      <c r="H1101" s="178">
        <v>44146</v>
      </c>
      <c r="I1101" s="178">
        <v>44151</v>
      </c>
      <c r="J1101" s="178">
        <v>44153</v>
      </c>
      <c r="K1101" s="178">
        <v>44155</v>
      </c>
      <c r="L1101" s="178">
        <v>44158</v>
      </c>
      <c r="M1101" s="178">
        <v>44160</v>
      </c>
      <c r="AA1101" s="166">
        <v>44173</v>
      </c>
      <c r="AC1101" s="107">
        <f>9/12</f>
        <v>0.75</v>
      </c>
      <c r="AD1101" s="107">
        <v>576</v>
      </c>
      <c r="AE1101" s="107">
        <v>150</v>
      </c>
      <c r="AH1101" s="108">
        <f>(AD1101-AF1101)/(D1101*$K$1*2)%</f>
        <v>14.961038961038961</v>
      </c>
      <c r="AI1101" s="108">
        <f>(AE1101+AF1101)/(D1101*$K$1*2)%</f>
        <v>3.8961038961038961</v>
      </c>
    </row>
    <row r="1102" spans="1:35" ht="15.75" hidden="1" customHeight="1">
      <c r="A1102" s="107" t="s">
        <v>1345</v>
      </c>
      <c r="B1102" s="226">
        <v>44146</v>
      </c>
      <c r="C1102" s="230">
        <v>9752</v>
      </c>
      <c r="D1102" s="107">
        <f t="shared" si="8"/>
        <v>3.5</v>
      </c>
      <c r="E1102" s="107">
        <v>275</v>
      </c>
      <c r="F1102" s="107" t="s">
        <v>323</v>
      </c>
      <c r="G1102" s="178">
        <v>44146</v>
      </c>
      <c r="H1102" s="178">
        <v>44146</v>
      </c>
      <c r="I1102" s="178">
        <v>44148</v>
      </c>
      <c r="J1102" s="178">
        <v>44153</v>
      </c>
      <c r="K1102" s="178">
        <v>44155</v>
      </c>
      <c r="L1102" s="178">
        <v>44158</v>
      </c>
      <c r="M1102" s="178">
        <v>44160</v>
      </c>
      <c r="AA1102" s="166">
        <v>44176</v>
      </c>
    </row>
    <row r="1103" spans="1:35" ht="15.75" hidden="1" customHeight="1">
      <c r="A1103" s="107" t="s">
        <v>1346</v>
      </c>
      <c r="B1103" s="226">
        <v>44146</v>
      </c>
      <c r="C1103" s="230">
        <v>7423</v>
      </c>
      <c r="D1103" s="107">
        <f t="shared" si="8"/>
        <v>3.5</v>
      </c>
      <c r="E1103" s="107">
        <v>276</v>
      </c>
      <c r="F1103" s="107" t="s">
        <v>323</v>
      </c>
      <c r="G1103" s="178">
        <v>44146</v>
      </c>
      <c r="H1103" s="178">
        <v>44146</v>
      </c>
      <c r="I1103" s="178">
        <v>44148</v>
      </c>
      <c r="J1103" s="178">
        <v>44151</v>
      </c>
      <c r="K1103" s="178">
        <v>44155</v>
      </c>
      <c r="L1103" s="178">
        <v>44158</v>
      </c>
      <c r="M1103" s="178">
        <v>44160</v>
      </c>
      <c r="AA1103" s="166">
        <v>44176</v>
      </c>
    </row>
    <row r="1104" spans="1:35" ht="15.75" hidden="1" customHeight="1">
      <c r="A1104" s="107" t="s">
        <v>1347</v>
      </c>
      <c r="B1104" s="226">
        <v>44148</v>
      </c>
      <c r="C1104" s="230">
        <v>12769</v>
      </c>
      <c r="D1104" s="107">
        <f t="shared" si="8"/>
        <v>6</v>
      </c>
      <c r="E1104" s="107">
        <v>277</v>
      </c>
      <c r="F1104" s="107" t="s">
        <v>263</v>
      </c>
      <c r="G1104" s="178">
        <v>44148</v>
      </c>
      <c r="H1104" s="178">
        <v>44148</v>
      </c>
      <c r="I1104" s="178">
        <v>44151</v>
      </c>
      <c r="J1104" s="178">
        <v>44153</v>
      </c>
      <c r="K1104" s="178">
        <v>44155</v>
      </c>
      <c r="L1104" s="178">
        <v>44158</v>
      </c>
      <c r="M1104" s="178">
        <v>44160</v>
      </c>
      <c r="N1104" s="178">
        <v>44166</v>
      </c>
      <c r="O1104" s="178">
        <v>44169</v>
      </c>
      <c r="P1104" s="178">
        <v>44172</v>
      </c>
      <c r="Q1104" s="178">
        <v>44176</v>
      </c>
      <c r="R1104" s="178">
        <v>44181</v>
      </c>
      <c r="AA1104" s="166">
        <v>44183</v>
      </c>
      <c r="AC1104" s="107">
        <f>9/18</f>
        <v>0.5</v>
      </c>
      <c r="AD1104" s="107">
        <v>1278</v>
      </c>
      <c r="AE1104" s="107">
        <v>269</v>
      </c>
      <c r="AH1104" s="108">
        <f>(AD1104-AF1104)/(D1104*$K$1*2)%</f>
        <v>19.363636363636363</v>
      </c>
      <c r="AI1104" s="108">
        <f>(AE1104+AF1104)/(D1104*$K$1*2)%</f>
        <v>4.0757575757575761</v>
      </c>
    </row>
    <row r="1105" spans="1:35" ht="15.75" hidden="1" customHeight="1">
      <c r="A1105" s="107" t="s">
        <v>1348</v>
      </c>
      <c r="B1105" s="226">
        <v>44148</v>
      </c>
      <c r="C1105" s="230">
        <v>12769</v>
      </c>
      <c r="D1105" s="107">
        <f t="shared" si="8"/>
        <v>6</v>
      </c>
      <c r="E1105" s="107">
        <v>277</v>
      </c>
      <c r="F1105" s="107" t="s">
        <v>263</v>
      </c>
      <c r="G1105" s="178">
        <v>44148</v>
      </c>
      <c r="H1105" s="178">
        <v>44148</v>
      </c>
      <c r="I1105" s="178">
        <v>44151</v>
      </c>
      <c r="J1105" s="178">
        <v>44153</v>
      </c>
      <c r="K1105" s="178">
        <v>44155</v>
      </c>
      <c r="L1105" s="178">
        <v>44158</v>
      </c>
      <c r="M1105" s="178">
        <v>44160</v>
      </c>
      <c r="N1105" s="178">
        <v>44166</v>
      </c>
      <c r="O1105" s="178">
        <v>44169</v>
      </c>
      <c r="P1105" s="178">
        <v>44172</v>
      </c>
      <c r="Q1105" s="178">
        <v>44176</v>
      </c>
      <c r="R1105" s="178">
        <v>44181</v>
      </c>
      <c r="AA1105" s="166">
        <v>44183</v>
      </c>
      <c r="AC1105" s="107">
        <f>5/12</f>
        <v>0.41666666666666669</v>
      </c>
      <c r="AD1105" s="107">
        <v>1247.5</v>
      </c>
      <c r="AE1105" s="107">
        <v>255.5</v>
      </c>
      <c r="AH1105" s="108">
        <f>(AD1105-AF1105)/(D1105*$K$1*2)%</f>
        <v>18.901515151515152</v>
      </c>
      <c r="AI1105" s="108">
        <f>(AE1105+AF1105)/(D1105*$K$1*2)%</f>
        <v>3.8712121212121211</v>
      </c>
    </row>
    <row r="1106" spans="1:35" ht="15.75" hidden="1" customHeight="1">
      <c r="A1106" s="107" t="s">
        <v>1349</v>
      </c>
      <c r="B1106" s="226">
        <v>44148</v>
      </c>
      <c r="C1106" s="230">
        <v>12769</v>
      </c>
      <c r="D1106" s="107">
        <f t="shared" si="8"/>
        <v>6</v>
      </c>
      <c r="E1106" s="107">
        <v>277</v>
      </c>
      <c r="F1106" s="107" t="s">
        <v>263</v>
      </c>
      <c r="G1106" s="178">
        <v>44148</v>
      </c>
      <c r="H1106" s="178">
        <v>44148</v>
      </c>
      <c r="I1106" s="178">
        <v>44151</v>
      </c>
      <c r="J1106" s="178">
        <v>44153</v>
      </c>
      <c r="K1106" s="178">
        <v>44155</v>
      </c>
      <c r="L1106" s="178">
        <v>44158</v>
      </c>
      <c r="M1106" s="178">
        <v>44160</v>
      </c>
      <c r="N1106" s="178">
        <v>44166</v>
      </c>
      <c r="O1106" s="178">
        <v>44169</v>
      </c>
      <c r="P1106" s="178">
        <v>44172</v>
      </c>
      <c r="Q1106" s="178">
        <v>44176</v>
      </c>
      <c r="R1106" s="178">
        <v>44181</v>
      </c>
      <c r="AA1106" s="166">
        <v>44183</v>
      </c>
      <c r="AC1106" s="107">
        <f>9/17</f>
        <v>0.52941176470588236</v>
      </c>
      <c r="AD1106" s="107">
        <v>1107.5</v>
      </c>
      <c r="AE1106" s="107">
        <v>520</v>
      </c>
      <c r="AH1106" s="108">
        <f>(AD1106-AF1106)/(D1106*$K$1*2)%</f>
        <v>16.780303030303031</v>
      </c>
      <c r="AI1106" s="108">
        <f>(AE1106+AF1106)/(D1106*$K$1*2)%</f>
        <v>7.8787878787878789</v>
      </c>
    </row>
    <row r="1107" spans="1:35" ht="15.75" hidden="1" customHeight="1">
      <c r="A1107" s="107" t="s">
        <v>1350</v>
      </c>
      <c r="B1107" s="226">
        <v>44148</v>
      </c>
      <c r="C1107" s="230">
        <v>10738</v>
      </c>
      <c r="D1107" s="107">
        <f t="shared" si="8"/>
        <v>4.5</v>
      </c>
      <c r="E1107" s="107">
        <v>278</v>
      </c>
      <c r="F1107" s="107" t="s">
        <v>263</v>
      </c>
      <c r="G1107" s="178">
        <v>44148</v>
      </c>
      <c r="H1107" s="178">
        <v>44148</v>
      </c>
      <c r="I1107" s="178">
        <v>44152</v>
      </c>
      <c r="J1107" s="178">
        <v>44153</v>
      </c>
      <c r="K1107" s="178">
        <v>44155</v>
      </c>
      <c r="L1107" s="178">
        <v>44158</v>
      </c>
      <c r="M1107" s="178">
        <v>44160</v>
      </c>
      <c r="N1107" s="178">
        <v>44166</v>
      </c>
      <c r="O1107" s="178">
        <v>44169</v>
      </c>
      <c r="AA1107" s="166">
        <v>44176</v>
      </c>
      <c r="AC1107" s="107">
        <f>19/31*100</f>
        <v>61.29032258064516</v>
      </c>
      <c r="AD1107" s="107">
        <v>822</v>
      </c>
      <c r="AE1107" s="107">
        <v>204.5</v>
      </c>
      <c r="AH1107" s="108">
        <f>(AD1107-AF1107)/(D1107*$K$1*2)%</f>
        <v>16.606060606060606</v>
      </c>
      <c r="AI1107" s="108">
        <f>(AE1107+AF1107)/(D1107*$K$1*2)%</f>
        <v>4.1313131313131315</v>
      </c>
    </row>
    <row r="1108" spans="1:35" ht="15.75" hidden="1" customHeight="1">
      <c r="A1108" s="107" t="s">
        <v>1351</v>
      </c>
      <c r="B1108" s="226">
        <v>44148</v>
      </c>
      <c r="C1108" s="230">
        <v>10738</v>
      </c>
      <c r="D1108" s="107">
        <f t="shared" si="8"/>
        <v>4.5</v>
      </c>
      <c r="E1108" s="107">
        <v>278</v>
      </c>
      <c r="F1108" s="107" t="s">
        <v>263</v>
      </c>
      <c r="G1108" s="178">
        <v>44148</v>
      </c>
      <c r="H1108" s="178">
        <v>44148</v>
      </c>
      <c r="I1108" s="178">
        <v>44152</v>
      </c>
      <c r="J1108" s="178">
        <v>44153</v>
      </c>
      <c r="K1108" s="178">
        <v>44155</v>
      </c>
      <c r="L1108" s="178">
        <v>44158</v>
      </c>
      <c r="M1108" s="178">
        <v>44160</v>
      </c>
      <c r="N1108" s="178">
        <v>44166</v>
      </c>
      <c r="O1108" s="178">
        <v>44169</v>
      </c>
      <c r="AA1108" s="166">
        <v>44176</v>
      </c>
      <c r="AH1108" s="108">
        <f>(AD1108-AF1108)/(D1108*$K$1*2)%</f>
        <v>0</v>
      </c>
      <c r="AI1108" s="108">
        <f>(AE1108+AF1108)/(D1108*$K$1*2)%</f>
        <v>0</v>
      </c>
    </row>
    <row r="1109" spans="1:35" ht="15.75" hidden="1" customHeight="1">
      <c r="A1109" s="107" t="s">
        <v>1352</v>
      </c>
      <c r="B1109" s="226">
        <v>44148</v>
      </c>
      <c r="C1109" s="230">
        <v>10799</v>
      </c>
      <c r="D1109" s="107">
        <f t="shared" si="8"/>
        <v>4.5</v>
      </c>
      <c r="E1109" s="107">
        <v>279</v>
      </c>
      <c r="F1109" s="107" t="s">
        <v>263</v>
      </c>
      <c r="G1109" s="178">
        <v>44148</v>
      </c>
      <c r="H1109" s="178">
        <v>44148</v>
      </c>
      <c r="I1109" s="178">
        <v>44152</v>
      </c>
      <c r="J1109" s="178">
        <v>44153</v>
      </c>
      <c r="K1109" s="178">
        <v>44155</v>
      </c>
      <c r="L1109" s="178">
        <v>44158</v>
      </c>
      <c r="M1109" s="178">
        <v>44160</v>
      </c>
      <c r="N1109" s="178">
        <v>44166</v>
      </c>
      <c r="O1109" s="178">
        <v>44169</v>
      </c>
      <c r="AA1109" s="166">
        <v>44176</v>
      </c>
      <c r="AH1109" s="108">
        <f>(AD1109-AF1109)/(D1109*$K$1*2)%</f>
        <v>0</v>
      </c>
      <c r="AI1109" s="108">
        <f>(AE1109+AF1109)/(D1109*$K$1*2)%</f>
        <v>0</v>
      </c>
    </row>
    <row r="1110" spans="1:35" ht="15.75" hidden="1" customHeight="1">
      <c r="A1110" s="107" t="s">
        <v>1353</v>
      </c>
      <c r="B1110" s="226">
        <v>44148</v>
      </c>
      <c r="C1110" s="230">
        <v>10799</v>
      </c>
      <c r="D1110" s="107">
        <f t="shared" si="8"/>
        <v>4.5</v>
      </c>
      <c r="E1110" s="107">
        <v>279</v>
      </c>
      <c r="F1110" s="107" t="s">
        <v>263</v>
      </c>
      <c r="G1110" s="178">
        <v>44148</v>
      </c>
      <c r="H1110" s="178">
        <v>44148</v>
      </c>
      <c r="I1110" s="178">
        <v>44152</v>
      </c>
      <c r="J1110" s="178">
        <v>44153</v>
      </c>
      <c r="K1110" s="178">
        <v>44155</v>
      </c>
      <c r="L1110" s="178">
        <v>44158</v>
      </c>
      <c r="M1110" s="178">
        <v>44160</v>
      </c>
      <c r="N1110" s="178">
        <v>44166</v>
      </c>
      <c r="O1110" s="178">
        <v>44169</v>
      </c>
      <c r="AA1110" s="166">
        <v>44176</v>
      </c>
      <c r="AC1110" s="107">
        <f>13/28*100</f>
        <v>46.428571428571431</v>
      </c>
      <c r="AD1110" s="107">
        <v>945</v>
      </c>
      <c r="AE1110" s="107">
        <v>191</v>
      </c>
      <c r="AH1110" s="108">
        <f>(AD1110-AF1110)/(D1110*$K$1*2)%</f>
        <v>19.09090909090909</v>
      </c>
      <c r="AI1110" s="108">
        <f>(AE1110+AF1110)/(D1110*$K$1*2)%</f>
        <v>3.8585858585858586</v>
      </c>
    </row>
    <row r="1111" spans="1:35" ht="15.75" hidden="1" customHeight="1">
      <c r="A1111" s="107" t="s">
        <v>1354</v>
      </c>
      <c r="B1111" s="226">
        <v>44148</v>
      </c>
      <c r="C1111" s="230">
        <v>10799</v>
      </c>
      <c r="D1111" s="107">
        <f t="shared" si="8"/>
        <v>4.5</v>
      </c>
      <c r="E1111" s="107">
        <v>279</v>
      </c>
      <c r="F1111" s="107" t="s">
        <v>263</v>
      </c>
      <c r="G1111" s="178">
        <v>44148</v>
      </c>
      <c r="H1111" s="178">
        <v>44148</v>
      </c>
      <c r="I1111" s="178">
        <v>44152</v>
      </c>
      <c r="J1111" s="178">
        <v>44153</v>
      </c>
      <c r="K1111" s="178">
        <v>44155</v>
      </c>
      <c r="L1111" s="178">
        <v>44158</v>
      </c>
      <c r="M1111" s="178">
        <v>44160</v>
      </c>
      <c r="N1111" s="178">
        <v>44166</v>
      </c>
      <c r="O1111" s="178">
        <v>44169</v>
      </c>
      <c r="AA1111" s="166">
        <v>44176</v>
      </c>
      <c r="AH1111" s="108">
        <f>(AD1111-AF1111)/(D1111*$K$1*2)%</f>
        <v>0</v>
      </c>
      <c r="AI1111" s="108">
        <f>(AE1111+AF1111)/(D1111*$K$1*2)%</f>
        <v>0</v>
      </c>
    </row>
    <row r="1112" spans="1:35" ht="15.75" hidden="1" customHeight="1">
      <c r="A1112" s="107" t="s">
        <v>1355</v>
      </c>
      <c r="B1112" s="226">
        <v>44148</v>
      </c>
      <c r="C1112" s="230">
        <v>10799</v>
      </c>
      <c r="D1112" s="107">
        <f t="shared" si="8"/>
        <v>4.5</v>
      </c>
      <c r="E1112" s="107">
        <v>279</v>
      </c>
      <c r="F1112" s="107" t="s">
        <v>263</v>
      </c>
      <c r="G1112" s="178">
        <v>44148</v>
      </c>
      <c r="H1112" s="178">
        <v>44148</v>
      </c>
      <c r="I1112" s="178">
        <v>44152</v>
      </c>
      <c r="J1112" s="178">
        <v>44153</v>
      </c>
      <c r="K1112" s="178">
        <v>44155</v>
      </c>
      <c r="L1112" s="178">
        <v>44158</v>
      </c>
      <c r="M1112" s="178">
        <v>44160</v>
      </c>
      <c r="N1112" s="178">
        <v>44166</v>
      </c>
      <c r="O1112" s="178">
        <v>44169</v>
      </c>
      <c r="AA1112" s="166">
        <v>44176</v>
      </c>
      <c r="AH1112" s="108">
        <f>(AD1112-AF1112)/(D1112*$K$1*2)%</f>
        <v>0</v>
      </c>
      <c r="AI1112" s="108">
        <f>(AE1112+AF1112)/(D1112*$K$1*2)%</f>
        <v>0</v>
      </c>
    </row>
    <row r="1113" spans="1:35" ht="15.75" hidden="1" customHeight="1">
      <c r="A1113" s="107" t="s">
        <v>1356</v>
      </c>
      <c r="B1113" s="226">
        <v>44148</v>
      </c>
      <c r="C1113" s="230">
        <v>10799</v>
      </c>
      <c r="D1113" s="107">
        <f t="shared" si="8"/>
        <v>4.5</v>
      </c>
      <c r="E1113" s="107">
        <v>279</v>
      </c>
      <c r="F1113" s="107" t="s">
        <v>263</v>
      </c>
      <c r="G1113" s="178">
        <v>44148</v>
      </c>
      <c r="H1113" s="178">
        <v>44148</v>
      </c>
      <c r="I1113" s="178">
        <v>44152</v>
      </c>
      <c r="J1113" s="178">
        <v>44153</v>
      </c>
      <c r="K1113" s="178">
        <v>44155</v>
      </c>
      <c r="L1113" s="178">
        <v>44158</v>
      </c>
      <c r="M1113" s="178">
        <v>44160</v>
      </c>
      <c r="N1113" s="178">
        <v>44166</v>
      </c>
      <c r="O1113" s="178">
        <v>44169</v>
      </c>
      <c r="AA1113" s="166">
        <v>44176</v>
      </c>
      <c r="AC1113" s="107">
        <f>19/27*100</f>
        <v>70.370370370370367</v>
      </c>
      <c r="AD1113" s="107">
        <v>978.5</v>
      </c>
      <c r="AE1113" s="107">
        <v>209.5</v>
      </c>
      <c r="AH1113" s="108">
        <f>(AD1113-AF1113)/(D1113*$K$1*2)%</f>
        <v>19.767676767676768</v>
      </c>
      <c r="AI1113" s="108">
        <f>(AE1113+AF1113)/(D1113*$K$1*2)%</f>
        <v>4.2323232323232327</v>
      </c>
    </row>
    <row r="1114" spans="1:35" ht="15.75" hidden="1" customHeight="1">
      <c r="A1114" s="107" t="s">
        <v>1357</v>
      </c>
      <c r="B1114" s="226">
        <v>44148</v>
      </c>
      <c r="C1114" s="230">
        <v>10799</v>
      </c>
      <c r="D1114" s="107">
        <f t="shared" si="8"/>
        <v>4.5</v>
      </c>
      <c r="E1114" s="107">
        <v>279</v>
      </c>
      <c r="F1114" s="107" t="s">
        <v>263</v>
      </c>
      <c r="G1114" s="178">
        <v>44148</v>
      </c>
      <c r="H1114" s="178">
        <v>44148</v>
      </c>
      <c r="I1114" s="178">
        <v>44152</v>
      </c>
      <c r="J1114" s="178">
        <v>44153</v>
      </c>
      <c r="K1114" s="178">
        <v>44155</v>
      </c>
      <c r="L1114" s="178">
        <v>44158</v>
      </c>
      <c r="M1114" s="178">
        <v>44160</v>
      </c>
      <c r="N1114" s="178">
        <v>44166</v>
      </c>
      <c r="O1114" s="178">
        <v>44169</v>
      </c>
      <c r="AA1114" s="166">
        <v>44176</v>
      </c>
      <c r="AH1114" s="108">
        <f>(AD1114-AF1114)/(D1114*$K$1*2)%</f>
        <v>0</v>
      </c>
      <c r="AI1114" s="108">
        <f>(AE1114+AF1114)/(D1114*$K$1*2)%</f>
        <v>0</v>
      </c>
    </row>
    <row r="1115" spans="1:35" ht="15.75" hidden="1" customHeight="1">
      <c r="A1115" s="107" t="s">
        <v>1358</v>
      </c>
      <c r="B1115" s="226">
        <v>44148</v>
      </c>
      <c r="C1115" s="230">
        <v>10799</v>
      </c>
      <c r="D1115" s="107">
        <f t="shared" si="8"/>
        <v>4.5</v>
      </c>
      <c r="E1115" s="107">
        <v>279</v>
      </c>
      <c r="F1115" s="107" t="s">
        <v>263</v>
      </c>
      <c r="G1115" s="178">
        <v>44148</v>
      </c>
      <c r="H1115" s="178">
        <v>44148</v>
      </c>
      <c r="I1115" s="178">
        <v>44152</v>
      </c>
      <c r="J1115" s="178">
        <v>44153</v>
      </c>
      <c r="K1115" s="178">
        <v>44155</v>
      </c>
      <c r="L1115" s="178">
        <v>44158</v>
      </c>
      <c r="M1115" s="178">
        <v>44160</v>
      </c>
      <c r="N1115" s="178">
        <v>44166</v>
      </c>
      <c r="O1115" s="178">
        <v>44169</v>
      </c>
      <c r="AA1115" s="166">
        <v>44176</v>
      </c>
      <c r="AH1115" s="108">
        <f>(AD1115-AF1115)/(D1115*$K$1*2)%</f>
        <v>0</v>
      </c>
      <c r="AI1115" s="108">
        <f>(AE1115+AF1115)/(D1115*$K$1*2)%</f>
        <v>0</v>
      </c>
    </row>
    <row r="1116" spans="1:35" ht="15.75" hidden="1" customHeight="1">
      <c r="A1116" s="107" t="s">
        <v>1359</v>
      </c>
      <c r="B1116" s="226">
        <v>44148</v>
      </c>
      <c r="C1116" s="230">
        <v>10799</v>
      </c>
      <c r="D1116" s="107">
        <f t="shared" si="8"/>
        <v>4.5</v>
      </c>
      <c r="E1116" s="107">
        <v>279</v>
      </c>
      <c r="F1116" s="107" t="s">
        <v>263</v>
      </c>
      <c r="G1116" s="178">
        <v>44148</v>
      </c>
      <c r="H1116" s="178">
        <v>44148</v>
      </c>
      <c r="I1116" s="178">
        <v>44152</v>
      </c>
      <c r="J1116" s="178">
        <v>44153</v>
      </c>
      <c r="K1116" s="178">
        <v>44155</v>
      </c>
      <c r="L1116" s="178">
        <v>44158</v>
      </c>
      <c r="M1116" s="178">
        <v>44160</v>
      </c>
      <c r="N1116" s="178">
        <v>44166</v>
      </c>
      <c r="O1116" s="178">
        <v>44169</v>
      </c>
      <c r="AA1116" s="166">
        <v>44176</v>
      </c>
      <c r="AH1116" s="108">
        <f>(AD1116-AF1116)/(D1116*$K$1*2)%</f>
        <v>0</v>
      </c>
      <c r="AI1116" s="108">
        <f>(AE1116+AF1116)/(D1116*$K$1*2)%</f>
        <v>0</v>
      </c>
    </row>
    <row r="1117" spans="1:35" ht="15.75" hidden="1" customHeight="1">
      <c r="A1117" s="107" t="s">
        <v>1360</v>
      </c>
      <c r="B1117" s="226">
        <v>44148</v>
      </c>
      <c r="C1117" s="230">
        <v>10799</v>
      </c>
      <c r="D1117" s="107">
        <f t="shared" si="8"/>
        <v>4.5</v>
      </c>
      <c r="E1117" s="107">
        <v>279</v>
      </c>
      <c r="F1117" s="107" t="s">
        <v>263</v>
      </c>
      <c r="G1117" s="178">
        <v>44148</v>
      </c>
      <c r="H1117" s="178">
        <v>44148</v>
      </c>
      <c r="I1117" s="178">
        <v>44152</v>
      </c>
      <c r="J1117" s="178">
        <v>44153</v>
      </c>
      <c r="K1117" s="178">
        <v>44155</v>
      </c>
      <c r="L1117" s="178">
        <v>44158</v>
      </c>
      <c r="M1117" s="178">
        <v>44160</v>
      </c>
      <c r="N1117" s="178">
        <v>44166</v>
      </c>
      <c r="O1117" s="178">
        <v>44169</v>
      </c>
      <c r="AA1117" s="166">
        <v>44176</v>
      </c>
      <c r="AH1117" s="108">
        <f>(AD1117-AF1117)/(D1117*$K$1*2)%</f>
        <v>0</v>
      </c>
      <c r="AI1117" s="108">
        <f>(AE1117+AF1117)/(D1117*$K$1*2)%</f>
        <v>0</v>
      </c>
    </row>
    <row r="1118" spans="1:35" ht="15.75" hidden="1" customHeight="1">
      <c r="A1118" s="107" t="s">
        <v>1361</v>
      </c>
      <c r="B1118" s="226">
        <v>44148</v>
      </c>
      <c r="C1118" s="230">
        <v>13138</v>
      </c>
      <c r="D1118" s="107">
        <f t="shared" si="8"/>
        <v>5</v>
      </c>
      <c r="E1118" s="107">
        <v>280</v>
      </c>
      <c r="F1118" s="107" t="s">
        <v>263</v>
      </c>
      <c r="G1118" s="178">
        <v>44148</v>
      </c>
      <c r="H1118" s="178">
        <v>44148</v>
      </c>
      <c r="I1118" s="178">
        <v>44152</v>
      </c>
      <c r="J1118" s="178">
        <v>44153</v>
      </c>
      <c r="K1118" s="178">
        <v>44155</v>
      </c>
      <c r="L1118" s="178">
        <v>44158</v>
      </c>
      <c r="M1118" s="178">
        <v>44160</v>
      </c>
      <c r="N1118" s="178">
        <v>44166</v>
      </c>
      <c r="O1118" s="178">
        <v>44169</v>
      </c>
      <c r="P1118" s="178">
        <v>44172</v>
      </c>
      <c r="AA1118" s="166">
        <v>44175</v>
      </c>
      <c r="AH1118" s="108">
        <f>(AD1118-AF1118)/(D1118*$K$1*2)%</f>
        <v>0</v>
      </c>
      <c r="AI1118" s="108">
        <f>(AE1118+AF1118)/(D1118*$K$1*2)%</f>
        <v>0</v>
      </c>
    </row>
    <row r="1119" spans="1:35" ht="15.75" hidden="1" customHeight="1">
      <c r="A1119" s="107" t="s">
        <v>1362</v>
      </c>
      <c r="B1119" s="226">
        <v>44148</v>
      </c>
      <c r="C1119" s="230">
        <v>13138</v>
      </c>
      <c r="D1119" s="107">
        <f t="shared" si="8"/>
        <v>5</v>
      </c>
      <c r="E1119" s="107">
        <v>280</v>
      </c>
      <c r="F1119" s="107" t="s">
        <v>263</v>
      </c>
      <c r="G1119" s="178">
        <v>44148</v>
      </c>
      <c r="H1119" s="178">
        <v>44148</v>
      </c>
      <c r="I1119" s="178">
        <v>44152</v>
      </c>
      <c r="J1119" s="178">
        <v>44153</v>
      </c>
      <c r="K1119" s="178">
        <v>44155</v>
      </c>
      <c r="L1119" s="178">
        <v>44158</v>
      </c>
      <c r="M1119" s="178">
        <v>44160</v>
      </c>
      <c r="N1119" s="178">
        <v>44166</v>
      </c>
      <c r="O1119" s="178">
        <v>44169</v>
      </c>
      <c r="P1119" s="178">
        <v>44172</v>
      </c>
      <c r="AA1119" s="166">
        <v>44175</v>
      </c>
      <c r="AC1119" s="107">
        <f>4/20</f>
        <v>0.2</v>
      </c>
      <c r="AD1119" s="107">
        <v>1387</v>
      </c>
      <c r="AE1119" s="107">
        <v>203</v>
      </c>
      <c r="AH1119" s="108">
        <f>(AD1119-AF1119)/(D1119*$K$1*2)%</f>
        <v>25.218181818181819</v>
      </c>
      <c r="AI1119" s="108">
        <f>(AE1119+AF1119)/(D1119*$K$1*2)%</f>
        <v>3.6909090909090909</v>
      </c>
    </row>
    <row r="1120" spans="1:35" ht="15.75" hidden="1" customHeight="1">
      <c r="A1120" s="107" t="s">
        <v>1363</v>
      </c>
      <c r="B1120" s="226">
        <v>44148</v>
      </c>
      <c r="C1120" s="230">
        <v>11048</v>
      </c>
      <c r="D1120" s="107">
        <f t="shared" si="8"/>
        <v>4.5</v>
      </c>
      <c r="E1120" s="107">
        <v>281</v>
      </c>
      <c r="F1120" s="107" t="s">
        <v>263</v>
      </c>
      <c r="G1120" s="178">
        <v>44148</v>
      </c>
      <c r="H1120" s="178">
        <v>44148</v>
      </c>
      <c r="I1120" s="178">
        <v>44152</v>
      </c>
      <c r="J1120" s="178">
        <v>44153</v>
      </c>
      <c r="K1120" s="178">
        <v>44155</v>
      </c>
      <c r="L1120" s="178">
        <v>44158</v>
      </c>
      <c r="M1120" s="178">
        <v>44160</v>
      </c>
      <c r="N1120" s="178">
        <v>44166</v>
      </c>
      <c r="O1120" s="178">
        <v>44169</v>
      </c>
      <c r="AA1120" s="166">
        <v>44175</v>
      </c>
      <c r="AH1120" s="108">
        <f>(AD1120-AF1120)/(D1120*$K$1*2)%</f>
        <v>0</v>
      </c>
      <c r="AI1120" s="108">
        <f>(AE1120+AF1120)/(D1120*$K$1*2)%</f>
        <v>0</v>
      </c>
    </row>
    <row r="1121" spans="1:35" ht="15.75" hidden="1" customHeight="1">
      <c r="A1121" s="107" t="s">
        <v>1364</v>
      </c>
      <c r="B1121" s="226">
        <v>44148</v>
      </c>
      <c r="C1121" s="230">
        <v>11048</v>
      </c>
      <c r="D1121" s="107">
        <f t="shared" si="8"/>
        <v>4.5</v>
      </c>
      <c r="E1121" s="107">
        <v>281</v>
      </c>
      <c r="F1121" s="107" t="s">
        <v>263</v>
      </c>
      <c r="G1121" s="178">
        <v>44148</v>
      </c>
      <c r="H1121" s="178">
        <v>44148</v>
      </c>
      <c r="I1121" s="178">
        <v>44152</v>
      </c>
      <c r="J1121" s="178">
        <v>44153</v>
      </c>
      <c r="K1121" s="178">
        <v>44155</v>
      </c>
      <c r="L1121" s="178">
        <v>44158</v>
      </c>
      <c r="M1121" s="178">
        <v>44160</v>
      </c>
      <c r="N1121" s="178">
        <v>44166</v>
      </c>
      <c r="O1121" s="178">
        <v>44169</v>
      </c>
      <c r="AA1121" s="166">
        <v>44175</v>
      </c>
      <c r="AH1121" s="108">
        <f>(AD1121-AF1121)/(D1121*$K$1*2)%</f>
        <v>0</v>
      </c>
      <c r="AI1121" s="108">
        <f>(AE1121+AF1121)/(D1121*$K$1*2)%</f>
        <v>0</v>
      </c>
    </row>
    <row r="1122" spans="1:35" ht="15.75" hidden="1" customHeight="1">
      <c r="A1122" s="107" t="s">
        <v>1365</v>
      </c>
      <c r="B1122" s="226">
        <v>44148</v>
      </c>
      <c r="C1122" s="230">
        <v>11048</v>
      </c>
      <c r="D1122" s="107">
        <f t="shared" si="8"/>
        <v>4.5</v>
      </c>
      <c r="E1122" s="107">
        <v>281</v>
      </c>
      <c r="F1122" s="107" t="s">
        <v>263</v>
      </c>
      <c r="G1122" s="178">
        <v>44148</v>
      </c>
      <c r="H1122" s="178">
        <v>44148</v>
      </c>
      <c r="I1122" s="178">
        <v>44152</v>
      </c>
      <c r="J1122" s="178">
        <v>44153</v>
      </c>
      <c r="K1122" s="178">
        <v>44155</v>
      </c>
      <c r="L1122" s="178">
        <v>44158</v>
      </c>
      <c r="M1122" s="178">
        <v>44160</v>
      </c>
      <c r="N1122" s="178">
        <v>44166</v>
      </c>
      <c r="O1122" s="178">
        <v>44169</v>
      </c>
      <c r="AA1122" s="166">
        <v>44175</v>
      </c>
      <c r="AC1122" s="107">
        <f>5/19</f>
        <v>0.26315789473684209</v>
      </c>
      <c r="AD1122" s="107">
        <v>1066</v>
      </c>
      <c r="AE1122" s="107">
        <v>193</v>
      </c>
      <c r="AH1122" s="108">
        <f>(AD1122-AF1122)/(D1122*$K$1*2)%</f>
        <v>21.535353535353536</v>
      </c>
      <c r="AI1122" s="108">
        <f>(AE1122+AF1122)/(D1122*$K$1*2)%</f>
        <v>3.8989898989898988</v>
      </c>
    </row>
    <row r="1123" spans="1:35" ht="15.75" hidden="1" customHeight="1">
      <c r="A1123" s="107" t="s">
        <v>1366</v>
      </c>
      <c r="B1123" s="226">
        <v>44148</v>
      </c>
      <c r="C1123" s="230">
        <v>11048</v>
      </c>
      <c r="D1123" s="107">
        <f t="shared" si="8"/>
        <v>4.5</v>
      </c>
      <c r="E1123" s="107">
        <v>281</v>
      </c>
      <c r="F1123" s="107" t="s">
        <v>263</v>
      </c>
      <c r="G1123" s="178">
        <v>44148</v>
      </c>
      <c r="H1123" s="178">
        <v>44148</v>
      </c>
      <c r="I1123" s="178">
        <v>44152</v>
      </c>
      <c r="J1123" s="178">
        <v>44153</v>
      </c>
      <c r="K1123" s="178">
        <v>44155</v>
      </c>
      <c r="L1123" s="178">
        <v>44158</v>
      </c>
      <c r="M1123" s="178">
        <v>44160</v>
      </c>
      <c r="N1123" s="178">
        <v>44166</v>
      </c>
      <c r="O1123" s="178">
        <v>44169</v>
      </c>
      <c r="AA1123" s="166">
        <v>44175</v>
      </c>
      <c r="AH1123" s="108">
        <f>(AD1123-AF1123)/(D1123*$K$1*2)%</f>
        <v>0</v>
      </c>
      <c r="AI1123" s="108">
        <f>(AE1123+AF1123)/(D1123*$K$1*2)%</f>
        <v>0</v>
      </c>
    </row>
    <row r="1124" spans="1:35" ht="15.75" hidden="1" customHeight="1">
      <c r="A1124" s="107" t="s">
        <v>1367</v>
      </c>
      <c r="B1124" s="226">
        <v>44148</v>
      </c>
      <c r="C1124" s="230">
        <v>11048</v>
      </c>
      <c r="D1124" s="107">
        <f t="shared" si="8"/>
        <v>5</v>
      </c>
      <c r="E1124" s="107">
        <v>281</v>
      </c>
      <c r="F1124" s="107" t="s">
        <v>263</v>
      </c>
      <c r="G1124" s="178">
        <v>44148</v>
      </c>
      <c r="H1124" s="178">
        <v>44148</v>
      </c>
      <c r="I1124" s="178">
        <v>44152</v>
      </c>
      <c r="J1124" s="178">
        <v>44153</v>
      </c>
      <c r="K1124" s="178">
        <v>44155</v>
      </c>
      <c r="L1124" s="178">
        <v>44158</v>
      </c>
      <c r="M1124" s="178">
        <v>44160</v>
      </c>
      <c r="N1124" s="178">
        <v>44166</v>
      </c>
      <c r="O1124" s="178">
        <v>44169</v>
      </c>
      <c r="P1124" s="178">
        <v>44172</v>
      </c>
      <c r="AA1124" s="166">
        <v>44175</v>
      </c>
      <c r="AH1124" s="108">
        <f>(AD1124-AF1124)/(D1124*$K$1*2)%</f>
        <v>0</v>
      </c>
      <c r="AI1124" s="108">
        <f>(AE1124+AF1124)/(D1124*$K$1*2)%</f>
        <v>0</v>
      </c>
    </row>
    <row r="1125" spans="1:35" ht="15.75" hidden="1" customHeight="1">
      <c r="A1125" s="107" t="s">
        <v>1368</v>
      </c>
      <c r="B1125" s="226">
        <v>44148</v>
      </c>
      <c r="C1125" s="230">
        <v>11048</v>
      </c>
      <c r="D1125" s="107">
        <f t="shared" si="8"/>
        <v>4.5</v>
      </c>
      <c r="E1125" s="107">
        <v>281</v>
      </c>
      <c r="F1125" s="107" t="s">
        <v>263</v>
      </c>
      <c r="G1125" s="178">
        <v>44148</v>
      </c>
      <c r="H1125" s="178">
        <v>44148</v>
      </c>
      <c r="I1125" s="178">
        <v>44152</v>
      </c>
      <c r="J1125" s="178">
        <v>44153</v>
      </c>
      <c r="K1125" s="178">
        <v>44155</v>
      </c>
      <c r="L1125" s="178">
        <v>44158</v>
      </c>
      <c r="M1125" s="178">
        <v>44160</v>
      </c>
      <c r="N1125" s="178">
        <v>44166</v>
      </c>
      <c r="O1125" s="178">
        <v>44169</v>
      </c>
      <c r="AA1125" s="166">
        <v>44175</v>
      </c>
      <c r="AC1125" s="107">
        <f>5/13</f>
        <v>0.38461538461538464</v>
      </c>
      <c r="AD1125" s="107">
        <v>1115.5</v>
      </c>
      <c r="AE1125" s="107">
        <v>170.5</v>
      </c>
      <c r="AH1125" s="108">
        <f>(AD1125-AF1125)/(D1125*$K$1*2)%</f>
        <v>22.535353535353536</v>
      </c>
      <c r="AI1125" s="108">
        <f>(AE1125+AF1125)/(D1125*$K$1*2)%</f>
        <v>3.4444444444444446</v>
      </c>
    </row>
    <row r="1126" spans="1:35" ht="15.75" hidden="1" customHeight="1">
      <c r="A1126" s="107" t="s">
        <v>1369</v>
      </c>
      <c r="B1126" s="226">
        <v>44148</v>
      </c>
      <c r="C1126" s="230">
        <v>11048</v>
      </c>
      <c r="D1126" s="107">
        <f t="shared" si="8"/>
        <v>5</v>
      </c>
      <c r="E1126" s="107">
        <v>281</v>
      </c>
      <c r="F1126" s="107" t="s">
        <v>263</v>
      </c>
      <c r="G1126" s="178">
        <v>44148</v>
      </c>
      <c r="H1126" s="178">
        <v>44148</v>
      </c>
      <c r="I1126" s="178">
        <v>44152</v>
      </c>
      <c r="J1126" s="178">
        <v>44153</v>
      </c>
      <c r="K1126" s="178">
        <v>44155</v>
      </c>
      <c r="L1126" s="178">
        <v>44158</v>
      </c>
      <c r="M1126" s="178">
        <v>44160</v>
      </c>
      <c r="N1126" s="178">
        <v>44166</v>
      </c>
      <c r="O1126" s="178">
        <v>44169</v>
      </c>
      <c r="P1126" s="178">
        <v>44172</v>
      </c>
      <c r="AA1126" s="166">
        <v>44175</v>
      </c>
      <c r="AH1126" s="108">
        <f>(AD1126-AF1126)/(D1126*$K$1*2)%</f>
        <v>0</v>
      </c>
      <c r="AI1126" s="108">
        <f>(AE1126+AF1126)/(D1126*$K$1*2)%</f>
        <v>0</v>
      </c>
    </row>
    <row r="1127" spans="1:35" ht="15.75" hidden="1" customHeight="1">
      <c r="A1127" s="244" t="s">
        <v>1370</v>
      </c>
      <c r="B1127" s="226">
        <v>44153</v>
      </c>
      <c r="C1127" s="149">
        <v>10565.65</v>
      </c>
      <c r="D1127" s="107">
        <f t="shared" si="8"/>
        <v>5</v>
      </c>
      <c r="E1127" s="107">
        <v>282</v>
      </c>
      <c r="F1127" s="107" t="s">
        <v>263</v>
      </c>
      <c r="G1127" s="178">
        <v>44153</v>
      </c>
      <c r="H1127" s="178">
        <v>44153</v>
      </c>
      <c r="I1127" s="178">
        <v>44155</v>
      </c>
      <c r="J1127" s="178">
        <v>44158</v>
      </c>
      <c r="K1127" s="178">
        <v>44160</v>
      </c>
      <c r="L1127" s="178">
        <v>44166</v>
      </c>
      <c r="M1127" s="178">
        <v>44169</v>
      </c>
      <c r="N1127" s="178">
        <v>44172</v>
      </c>
      <c r="O1127" s="178">
        <v>44174</v>
      </c>
      <c r="P1127" s="178">
        <v>44176</v>
      </c>
      <c r="AA1127" s="166">
        <v>44181</v>
      </c>
      <c r="AH1127" s="108">
        <f>(AD1127-AF1127)/(D1127*$K$1*2)%</f>
        <v>0</v>
      </c>
      <c r="AI1127" s="108">
        <f>(AE1127+AF1127)/(D1127*$K$1*2)%</f>
        <v>0</v>
      </c>
    </row>
    <row r="1128" spans="1:35" ht="15.75" hidden="1" customHeight="1">
      <c r="A1128" s="244" t="s">
        <v>1371</v>
      </c>
      <c r="B1128" s="226">
        <v>44153</v>
      </c>
      <c r="C1128" s="149">
        <v>10565.65</v>
      </c>
      <c r="D1128" s="107">
        <f t="shared" si="8"/>
        <v>5</v>
      </c>
      <c r="E1128" s="107">
        <v>282</v>
      </c>
      <c r="F1128" s="107" t="s">
        <v>263</v>
      </c>
      <c r="G1128" s="178">
        <v>44153</v>
      </c>
      <c r="H1128" s="178">
        <v>44153</v>
      </c>
      <c r="I1128" s="178">
        <v>44155</v>
      </c>
      <c r="J1128" s="178">
        <v>44158</v>
      </c>
      <c r="K1128" s="178">
        <v>44160</v>
      </c>
      <c r="L1128" s="178">
        <v>44166</v>
      </c>
      <c r="M1128" s="178">
        <v>44169</v>
      </c>
      <c r="N1128" s="178">
        <v>44172</v>
      </c>
      <c r="O1128" s="178">
        <v>44174</v>
      </c>
      <c r="P1128" s="178">
        <v>44176</v>
      </c>
      <c r="AA1128" s="166">
        <v>44181</v>
      </c>
      <c r="AC1128" s="107">
        <f>13/21*100</f>
        <v>61.904761904761905</v>
      </c>
      <c r="AD1128" s="107">
        <v>914</v>
      </c>
      <c r="AE1128" s="107">
        <v>259</v>
      </c>
      <c r="AH1128" s="108">
        <f>(AD1128-AF1128)/(D1128*$K$1*2)%</f>
        <v>16.618181818181817</v>
      </c>
      <c r="AI1128" s="108">
        <f>(AE1128+AF1128)/(D1128*$K$1*2)%</f>
        <v>4.709090909090909</v>
      </c>
    </row>
    <row r="1129" spans="1:35" ht="15.75" hidden="1" customHeight="1">
      <c r="A1129" s="244" t="s">
        <v>1372</v>
      </c>
      <c r="B1129" s="226">
        <v>44153</v>
      </c>
      <c r="C1129" s="149">
        <v>10565.65</v>
      </c>
      <c r="D1129" s="107">
        <f t="shared" si="8"/>
        <v>5</v>
      </c>
      <c r="E1129" s="107">
        <v>282</v>
      </c>
      <c r="F1129" s="107" t="s">
        <v>263</v>
      </c>
      <c r="G1129" s="178">
        <v>44153</v>
      </c>
      <c r="H1129" s="178">
        <v>44153</v>
      </c>
      <c r="I1129" s="178">
        <v>44155</v>
      </c>
      <c r="J1129" s="178">
        <v>44158</v>
      </c>
      <c r="K1129" s="178">
        <v>44160</v>
      </c>
      <c r="L1129" s="178">
        <v>44166</v>
      </c>
      <c r="M1129" s="178">
        <v>44169</v>
      </c>
      <c r="N1129" s="178">
        <v>44172</v>
      </c>
      <c r="O1129" s="178">
        <v>44174</v>
      </c>
      <c r="P1129" s="178">
        <v>44176</v>
      </c>
      <c r="AA1129" s="166">
        <v>44181</v>
      </c>
      <c r="AC1129" s="107">
        <f>7/15*100</f>
        <v>46.666666666666664</v>
      </c>
      <c r="AD1129" s="107">
        <v>897</v>
      </c>
      <c r="AE1129" s="107">
        <v>234.5</v>
      </c>
      <c r="AH1129" s="108">
        <f>(AD1129-AF1129)/(D1129*$K$1*2)%</f>
        <v>16.309090909090909</v>
      </c>
      <c r="AI1129" s="108">
        <f>(AE1129+AF1129)/(D1129*$K$1*2)%</f>
        <v>4.2636363636363637</v>
      </c>
    </row>
    <row r="1130" spans="1:35" ht="15.75" hidden="1" customHeight="1">
      <c r="A1130" s="244" t="s">
        <v>1373</v>
      </c>
      <c r="B1130" s="226">
        <v>44153</v>
      </c>
      <c r="C1130" s="149">
        <v>10565.65</v>
      </c>
      <c r="D1130" s="107">
        <f t="shared" si="8"/>
        <v>5</v>
      </c>
      <c r="E1130" s="107">
        <v>282</v>
      </c>
      <c r="F1130" s="107" t="s">
        <v>263</v>
      </c>
      <c r="G1130" s="178">
        <v>44153</v>
      </c>
      <c r="H1130" s="178">
        <v>44153</v>
      </c>
      <c r="I1130" s="178">
        <v>44155</v>
      </c>
      <c r="J1130" s="178">
        <v>44158</v>
      </c>
      <c r="K1130" s="178">
        <v>44160</v>
      </c>
      <c r="L1130" s="178">
        <v>44166</v>
      </c>
      <c r="M1130" s="178">
        <v>44169</v>
      </c>
      <c r="N1130" s="178">
        <v>44172</v>
      </c>
      <c r="O1130" s="178">
        <v>44174</v>
      </c>
      <c r="P1130" s="178">
        <v>44176</v>
      </c>
      <c r="AA1130" s="166">
        <v>44181</v>
      </c>
      <c r="AH1130" s="108">
        <f>(AD1130-AF1130)/(D1130*$K$1*2)%</f>
        <v>0</v>
      </c>
      <c r="AI1130" s="108">
        <f>(AE1130+AF1130)/(D1130*$K$1*2)%</f>
        <v>0</v>
      </c>
    </row>
    <row r="1131" spans="1:35" ht="15.75" hidden="1" customHeight="1">
      <c r="A1131" s="244" t="s">
        <v>1374</v>
      </c>
      <c r="B1131" s="226">
        <v>44153</v>
      </c>
      <c r="C1131" s="149">
        <v>10565.65</v>
      </c>
      <c r="D1131" s="107">
        <f t="shared" si="8"/>
        <v>5</v>
      </c>
      <c r="E1131" s="107">
        <v>282</v>
      </c>
      <c r="F1131" s="107" t="s">
        <v>263</v>
      </c>
      <c r="G1131" s="178">
        <v>44153</v>
      </c>
      <c r="H1131" s="178">
        <v>44153</v>
      </c>
      <c r="I1131" s="178">
        <v>44155</v>
      </c>
      <c r="J1131" s="178">
        <v>44158</v>
      </c>
      <c r="K1131" s="178">
        <v>44160</v>
      </c>
      <c r="L1131" s="178">
        <v>44166</v>
      </c>
      <c r="M1131" s="178">
        <v>44169</v>
      </c>
      <c r="N1131" s="178">
        <v>44172</v>
      </c>
      <c r="O1131" s="178">
        <v>44174</v>
      </c>
      <c r="P1131" s="250">
        <v>44176</v>
      </c>
      <c r="AA1131" s="166">
        <v>44181</v>
      </c>
      <c r="AH1131" s="108">
        <f>(AD1131-AF1131)/(D1131*$K$1*2)%</f>
        <v>0</v>
      </c>
      <c r="AI1131" s="108">
        <f>(AE1131+AF1131)/(D1131*$K$1*2)%</f>
        <v>0</v>
      </c>
    </row>
    <row r="1132" spans="1:35" ht="15.75" hidden="1" customHeight="1">
      <c r="A1132" s="244" t="s">
        <v>1375</v>
      </c>
      <c r="B1132" s="226">
        <v>44153</v>
      </c>
      <c r="C1132" s="149">
        <v>10565.65</v>
      </c>
      <c r="D1132" s="107">
        <f t="shared" si="8"/>
        <v>5</v>
      </c>
      <c r="E1132" s="107">
        <v>282</v>
      </c>
      <c r="F1132" s="107" t="s">
        <v>263</v>
      </c>
      <c r="G1132" s="178">
        <v>44153</v>
      </c>
      <c r="H1132" s="178">
        <v>44153</v>
      </c>
      <c r="I1132" s="178">
        <v>44155</v>
      </c>
      <c r="J1132" s="178">
        <v>44158</v>
      </c>
      <c r="K1132" s="178">
        <v>44160</v>
      </c>
      <c r="L1132" s="178">
        <v>44166</v>
      </c>
      <c r="M1132" s="178">
        <v>44169</v>
      </c>
      <c r="N1132" s="178">
        <v>44172</v>
      </c>
      <c r="O1132" s="178">
        <v>44174</v>
      </c>
      <c r="P1132" s="178">
        <v>44176</v>
      </c>
      <c r="AA1132" s="166">
        <v>44181</v>
      </c>
      <c r="AH1132" s="108">
        <f>(AD1132-AF1132)/(D1132*$K$1*2)%</f>
        <v>0</v>
      </c>
      <c r="AI1132" s="108">
        <f>(AE1132+AF1132)/(D1132*$K$1*2)%</f>
        <v>0</v>
      </c>
    </row>
    <row r="1133" spans="1:35" ht="15.75" hidden="1" customHeight="1">
      <c r="A1133" s="244" t="s">
        <v>1376</v>
      </c>
      <c r="B1133" s="226">
        <v>44153</v>
      </c>
      <c r="C1133" s="149">
        <v>10565.65</v>
      </c>
      <c r="D1133" s="107">
        <f t="shared" si="8"/>
        <v>5</v>
      </c>
      <c r="E1133" s="107">
        <v>282</v>
      </c>
      <c r="F1133" s="107" t="s">
        <v>263</v>
      </c>
      <c r="G1133" s="178">
        <v>44153</v>
      </c>
      <c r="H1133" s="178">
        <v>44153</v>
      </c>
      <c r="I1133" s="178">
        <v>44155</v>
      </c>
      <c r="J1133" s="178">
        <v>44158</v>
      </c>
      <c r="K1133" s="178">
        <v>44160</v>
      </c>
      <c r="L1133" s="178">
        <v>44166</v>
      </c>
      <c r="M1133" s="178">
        <v>44169</v>
      </c>
      <c r="N1133" s="178">
        <v>44172</v>
      </c>
      <c r="O1133" s="178">
        <v>44174</v>
      </c>
      <c r="P1133" s="178">
        <v>44176</v>
      </c>
      <c r="AA1133" s="166">
        <v>44181</v>
      </c>
      <c r="AH1133" s="108">
        <f>(AD1133-AF1133)/(D1133*$K$1*2)%</f>
        <v>0</v>
      </c>
      <c r="AI1133" s="108">
        <f>(AE1133+AF1133)/(D1133*$K$1*2)%</f>
        <v>0</v>
      </c>
    </row>
    <row r="1134" spans="1:35" ht="15.75" hidden="1" customHeight="1">
      <c r="A1134" s="244" t="s">
        <v>1377</v>
      </c>
      <c r="B1134" s="226">
        <v>44153</v>
      </c>
      <c r="C1134" s="149">
        <v>10565.65</v>
      </c>
      <c r="D1134" s="107">
        <f t="shared" si="8"/>
        <v>5</v>
      </c>
      <c r="E1134" s="107">
        <v>282</v>
      </c>
      <c r="F1134" s="107" t="s">
        <v>263</v>
      </c>
      <c r="G1134" s="178">
        <v>44153</v>
      </c>
      <c r="H1134" s="178">
        <v>44153</v>
      </c>
      <c r="I1134" s="178">
        <v>44155</v>
      </c>
      <c r="J1134" s="178">
        <v>44158</v>
      </c>
      <c r="K1134" s="178">
        <v>44160</v>
      </c>
      <c r="L1134" s="178">
        <v>44166</v>
      </c>
      <c r="M1134" s="178">
        <v>44169</v>
      </c>
      <c r="N1134" s="178">
        <v>44172</v>
      </c>
      <c r="O1134" s="178">
        <v>44174</v>
      </c>
      <c r="P1134" s="178">
        <v>44176</v>
      </c>
      <c r="AA1134" s="166">
        <v>44181</v>
      </c>
      <c r="AC1134" s="107">
        <f>7/13*100</f>
        <v>53.846153846153847</v>
      </c>
      <c r="AD1134" s="107">
        <v>839</v>
      </c>
      <c r="AE1134" s="107">
        <v>256</v>
      </c>
      <c r="AH1134" s="108">
        <f>(AD1134-AF1134)/(D1134*$K$1*2)%</f>
        <v>15.254545454545454</v>
      </c>
      <c r="AI1134" s="108">
        <f>(AE1134+AF1134)/(D1134*$K$1*2)%</f>
        <v>4.6545454545454543</v>
      </c>
    </row>
    <row r="1135" spans="1:35" ht="15.75" hidden="1" customHeight="1">
      <c r="A1135" s="244" t="s">
        <v>1378</v>
      </c>
      <c r="B1135" s="226">
        <v>44153</v>
      </c>
      <c r="C1135" s="149">
        <v>10322.459999999999</v>
      </c>
      <c r="D1135" s="107">
        <f t="shared" si="8"/>
        <v>5</v>
      </c>
      <c r="E1135" s="107">
        <v>283</v>
      </c>
      <c r="F1135" s="107" t="s">
        <v>263</v>
      </c>
      <c r="G1135" s="178">
        <v>44153</v>
      </c>
      <c r="H1135" s="178">
        <v>44153</v>
      </c>
      <c r="I1135" s="178">
        <v>44155</v>
      </c>
      <c r="J1135" s="178">
        <v>44158</v>
      </c>
      <c r="K1135" s="178">
        <v>44160</v>
      </c>
      <c r="L1135" s="178">
        <v>44166</v>
      </c>
      <c r="M1135" s="178">
        <v>44169</v>
      </c>
      <c r="N1135" s="178">
        <v>44172</v>
      </c>
      <c r="O1135" s="178">
        <v>44174</v>
      </c>
      <c r="P1135" s="178">
        <v>44176</v>
      </c>
      <c r="AA1135" s="166">
        <v>44181</v>
      </c>
      <c r="AH1135" s="108">
        <f>(AD1135-AF1135)/(D1135*$K$1*2)%</f>
        <v>0</v>
      </c>
      <c r="AI1135" s="108">
        <f>(AE1135+AF1135)/(D1135*$K$1*2)%</f>
        <v>0</v>
      </c>
    </row>
    <row r="1136" spans="1:35" ht="15.75" hidden="1" customHeight="1">
      <c r="A1136" s="244" t="s">
        <v>1379</v>
      </c>
      <c r="B1136" s="226">
        <v>44153</v>
      </c>
      <c r="C1136" s="149">
        <v>10322.459999999999</v>
      </c>
      <c r="D1136" s="107">
        <f t="shared" si="8"/>
        <v>5</v>
      </c>
      <c r="E1136" s="107">
        <v>283</v>
      </c>
      <c r="F1136" s="107" t="s">
        <v>323</v>
      </c>
      <c r="G1136" s="178">
        <v>44153</v>
      </c>
      <c r="H1136" s="178">
        <v>44153</v>
      </c>
      <c r="I1136" s="178">
        <v>44155</v>
      </c>
      <c r="J1136" s="178">
        <v>44158</v>
      </c>
      <c r="K1136" s="178">
        <v>44160</v>
      </c>
      <c r="L1136" s="178">
        <v>44166</v>
      </c>
      <c r="M1136" s="178">
        <v>44169</v>
      </c>
      <c r="N1136" s="178">
        <v>44172</v>
      </c>
      <c r="O1136" s="178">
        <v>44174</v>
      </c>
      <c r="P1136" s="178">
        <v>44176</v>
      </c>
      <c r="AA1136" s="166">
        <v>44181</v>
      </c>
    </row>
    <row r="1137" spans="1:35" ht="15.75" hidden="1" customHeight="1">
      <c r="A1137" s="244" t="s">
        <v>1380</v>
      </c>
      <c r="B1137" s="226">
        <v>44153</v>
      </c>
      <c r="C1137" s="149">
        <v>9718.44</v>
      </c>
      <c r="D1137" s="107">
        <f t="shared" si="8"/>
        <v>3</v>
      </c>
      <c r="E1137" s="107">
        <v>284</v>
      </c>
      <c r="F1137" s="107" t="s">
        <v>263</v>
      </c>
      <c r="G1137" s="178">
        <v>44153</v>
      </c>
      <c r="H1137" s="178">
        <v>44153</v>
      </c>
      <c r="I1137" s="178">
        <v>44153</v>
      </c>
      <c r="J1137" s="178">
        <v>44153</v>
      </c>
      <c r="K1137" s="178">
        <v>44153</v>
      </c>
      <c r="L1137" s="178">
        <v>44153</v>
      </c>
      <c r="AA1137" s="166">
        <v>44174</v>
      </c>
      <c r="AH1137" s="108">
        <f>(AD1137-AF1137)/(D1137*$K$1*2)%</f>
        <v>0</v>
      </c>
      <c r="AI1137" s="108">
        <f>(AE1137+AF1137)/(D1137*$K$1*2)%</f>
        <v>0</v>
      </c>
    </row>
    <row r="1138" spans="1:35" ht="15.75" hidden="1" customHeight="1">
      <c r="A1138" s="244" t="s">
        <v>1381</v>
      </c>
      <c r="B1138" s="226">
        <v>44153</v>
      </c>
      <c r="C1138" s="149">
        <v>9718.44</v>
      </c>
      <c r="D1138" s="107">
        <f t="shared" si="8"/>
        <v>3</v>
      </c>
      <c r="E1138" s="107">
        <v>284</v>
      </c>
      <c r="F1138" s="107" t="s">
        <v>263</v>
      </c>
      <c r="G1138" s="178">
        <v>44153</v>
      </c>
      <c r="H1138" s="178">
        <v>44153</v>
      </c>
      <c r="I1138" s="178">
        <v>44153</v>
      </c>
      <c r="J1138" s="178">
        <v>44153</v>
      </c>
      <c r="K1138" s="178">
        <v>44153</v>
      </c>
      <c r="L1138" s="178">
        <v>44153</v>
      </c>
      <c r="AA1138" s="166">
        <v>44174</v>
      </c>
      <c r="AC1138" s="107">
        <f>13/15</f>
        <v>0.8666666666666667</v>
      </c>
      <c r="AD1138" s="107">
        <v>848</v>
      </c>
      <c r="AE1138" s="107">
        <v>181</v>
      </c>
      <c r="AH1138" s="108">
        <f>(AD1138-AF1138)/(D1138*$K$1*2)%</f>
        <v>25.696969696969695</v>
      </c>
      <c r="AI1138" s="108">
        <f>(AE1138+AF1138)/(D1138*$K$1*2)%</f>
        <v>5.4848484848484844</v>
      </c>
    </row>
    <row r="1139" spans="1:35" ht="15.75" hidden="1" customHeight="1">
      <c r="A1139" s="244" t="s">
        <v>1382</v>
      </c>
      <c r="B1139" s="226">
        <v>44153</v>
      </c>
      <c r="C1139" s="149">
        <v>9718.44</v>
      </c>
      <c r="D1139" s="107">
        <f t="shared" si="8"/>
        <v>3</v>
      </c>
      <c r="E1139" s="107">
        <v>284</v>
      </c>
      <c r="F1139" s="107" t="s">
        <v>263</v>
      </c>
      <c r="G1139" s="178">
        <v>44153</v>
      </c>
      <c r="H1139" s="178">
        <v>44153</v>
      </c>
      <c r="I1139" s="178">
        <v>44153</v>
      </c>
      <c r="J1139" s="178">
        <v>44153</v>
      </c>
      <c r="K1139" s="178">
        <v>44153</v>
      </c>
      <c r="L1139" s="178">
        <v>44153</v>
      </c>
      <c r="AA1139" s="166">
        <v>44174</v>
      </c>
      <c r="AH1139" s="108">
        <f>(AD1139-AF1139)/(D1139*$K$1*2)%</f>
        <v>0</v>
      </c>
      <c r="AI1139" s="108">
        <f>(AE1139+AF1139)/(D1139*$K$1*2)%</f>
        <v>0</v>
      </c>
    </row>
    <row r="1140" spans="1:35" ht="15.75" hidden="1" customHeight="1">
      <c r="A1140" s="244" t="s">
        <v>1383</v>
      </c>
      <c r="B1140" s="226">
        <v>44153</v>
      </c>
      <c r="C1140" s="149">
        <v>9718.44</v>
      </c>
      <c r="D1140" s="107">
        <f t="shared" si="8"/>
        <v>3</v>
      </c>
      <c r="E1140" s="107">
        <v>284</v>
      </c>
      <c r="F1140" s="107" t="s">
        <v>263</v>
      </c>
      <c r="G1140" s="178">
        <v>44153</v>
      </c>
      <c r="H1140" s="178">
        <v>44153</v>
      </c>
      <c r="I1140" s="178">
        <v>44153</v>
      </c>
      <c r="J1140" s="178">
        <v>44153</v>
      </c>
      <c r="K1140" s="178">
        <v>44153</v>
      </c>
      <c r="L1140" s="178">
        <v>44153</v>
      </c>
      <c r="AA1140" s="166">
        <v>44174</v>
      </c>
      <c r="AC1140" s="107">
        <f>8/15</f>
        <v>0.53333333333333333</v>
      </c>
      <c r="AD1140" s="107">
        <v>717.5</v>
      </c>
      <c r="AE1140" s="107">
        <v>154</v>
      </c>
      <c r="AH1140" s="108">
        <f>(AD1140-AF1140)/(D1140*$K$1*2)%</f>
        <v>21.742424242424242</v>
      </c>
      <c r="AI1140" s="108">
        <f>(AE1140+AF1140)/(D1140*$K$1*2)%</f>
        <v>4.666666666666667</v>
      </c>
    </row>
    <row r="1141" spans="1:35" ht="15.75" hidden="1" customHeight="1">
      <c r="A1141" s="244" t="s">
        <v>1384</v>
      </c>
      <c r="B1141" s="226">
        <v>44153</v>
      </c>
      <c r="C1141" s="149">
        <v>9718.44</v>
      </c>
      <c r="D1141" s="107">
        <f t="shared" si="8"/>
        <v>3</v>
      </c>
      <c r="E1141" s="107">
        <v>284</v>
      </c>
      <c r="F1141" s="107" t="s">
        <v>263</v>
      </c>
      <c r="G1141" s="178">
        <v>44153</v>
      </c>
      <c r="H1141" s="178">
        <v>44153</v>
      </c>
      <c r="I1141" s="178">
        <v>44153</v>
      </c>
      <c r="J1141" s="178">
        <v>44153</v>
      </c>
      <c r="K1141" s="178">
        <v>44153</v>
      </c>
      <c r="L1141" s="178">
        <v>44153</v>
      </c>
      <c r="AA1141" s="166">
        <v>44174</v>
      </c>
      <c r="AC1141" s="107">
        <f>12/21</f>
        <v>0.5714285714285714</v>
      </c>
      <c r="AD1141" s="107">
        <v>1181</v>
      </c>
      <c r="AE1141" s="107">
        <v>183</v>
      </c>
      <c r="AH1141" s="108">
        <f>(AD1141-AF1141)/(D1141*$K$1*2)%</f>
        <v>35.787878787878789</v>
      </c>
      <c r="AI1141" s="108">
        <f>(AE1141+AF1141)/(D1141*$K$1*2)%</f>
        <v>5.5454545454545459</v>
      </c>
    </row>
    <row r="1142" spans="1:35" ht="15.75" hidden="1" customHeight="1">
      <c r="A1142" s="244" t="s">
        <v>1385</v>
      </c>
      <c r="B1142" s="226">
        <v>44153</v>
      </c>
      <c r="C1142" s="149">
        <v>10475.370000000001</v>
      </c>
      <c r="D1142" s="107">
        <f t="shared" si="8"/>
        <v>5.5</v>
      </c>
      <c r="E1142" s="107">
        <v>285</v>
      </c>
      <c r="F1142" s="107" t="s">
        <v>263</v>
      </c>
      <c r="G1142" s="178">
        <v>44153</v>
      </c>
      <c r="H1142" s="178">
        <v>44153</v>
      </c>
      <c r="I1142" s="178">
        <v>44155</v>
      </c>
      <c r="J1142" s="178">
        <v>44158</v>
      </c>
      <c r="K1142" s="178">
        <v>44160</v>
      </c>
      <c r="L1142" s="178">
        <v>44166</v>
      </c>
      <c r="M1142" s="178">
        <v>44169</v>
      </c>
      <c r="N1142" s="178">
        <v>44172</v>
      </c>
      <c r="O1142" s="178">
        <v>44174</v>
      </c>
      <c r="P1142" s="178">
        <v>44176</v>
      </c>
      <c r="Q1142" s="178">
        <v>44179</v>
      </c>
      <c r="AA1142" s="166">
        <v>44181</v>
      </c>
      <c r="AH1142" s="108">
        <f>(AD1142-AF1142)/(D1142*$K$1*2)%</f>
        <v>0</v>
      </c>
      <c r="AI1142" s="108">
        <f>(AE1142+AF1142)/(D1142*$K$1*2)%</f>
        <v>0</v>
      </c>
    </row>
    <row r="1143" spans="1:35" ht="15.75" hidden="1" customHeight="1">
      <c r="A1143" s="244" t="s">
        <v>1386</v>
      </c>
      <c r="B1143" s="226">
        <v>44153</v>
      </c>
      <c r="C1143" s="149">
        <v>10475.370000000001</v>
      </c>
      <c r="D1143" s="107">
        <f t="shared" si="8"/>
        <v>5.5</v>
      </c>
      <c r="E1143" s="107">
        <v>285</v>
      </c>
      <c r="F1143" s="107" t="s">
        <v>263</v>
      </c>
      <c r="G1143" s="178">
        <v>44153</v>
      </c>
      <c r="H1143" s="178">
        <v>44153</v>
      </c>
      <c r="I1143" s="178">
        <v>44155</v>
      </c>
      <c r="J1143" s="178">
        <v>44158</v>
      </c>
      <c r="K1143" s="178">
        <v>44160</v>
      </c>
      <c r="L1143" s="178">
        <v>44166</v>
      </c>
      <c r="M1143" s="178">
        <v>44169</v>
      </c>
      <c r="N1143" s="178">
        <v>44172</v>
      </c>
      <c r="O1143" s="178">
        <v>44174</v>
      </c>
      <c r="P1143" s="178">
        <v>44176</v>
      </c>
      <c r="Q1143" s="178">
        <v>44179</v>
      </c>
      <c r="AA1143" s="166">
        <v>44181</v>
      </c>
      <c r="AC1143" s="107">
        <f>11/18*100</f>
        <v>61.111111111111114</v>
      </c>
      <c r="AD1143" s="107">
        <v>872</v>
      </c>
      <c r="AE1143" s="107">
        <v>256</v>
      </c>
      <c r="AH1143" s="108">
        <f>(AD1143-AF1143)/(D1143*$K$1*2)%</f>
        <v>14.413223140495868</v>
      </c>
      <c r="AI1143" s="108">
        <f>(AE1143+AF1143)/(D1143*$K$1*2)%</f>
        <v>4.2314049586776861</v>
      </c>
    </row>
    <row r="1144" spans="1:35" ht="15.75" hidden="1" customHeight="1">
      <c r="A1144" s="244" t="s">
        <v>1387</v>
      </c>
      <c r="B1144" s="226">
        <v>44153</v>
      </c>
      <c r="C1144" s="149">
        <v>10475.370000000001</v>
      </c>
      <c r="D1144" s="107">
        <f t="shared" si="8"/>
        <v>5.5</v>
      </c>
      <c r="E1144" s="107">
        <v>285</v>
      </c>
      <c r="F1144" s="107" t="s">
        <v>263</v>
      </c>
      <c r="G1144" s="178">
        <v>44153</v>
      </c>
      <c r="H1144" s="178">
        <v>44153</v>
      </c>
      <c r="I1144" s="178">
        <v>44155</v>
      </c>
      <c r="J1144" s="178">
        <v>44158</v>
      </c>
      <c r="K1144" s="178">
        <v>44160</v>
      </c>
      <c r="L1144" s="178">
        <v>44166</v>
      </c>
      <c r="M1144" s="178">
        <v>44169</v>
      </c>
      <c r="N1144" s="178">
        <v>44172</v>
      </c>
      <c r="O1144" s="178">
        <v>44174</v>
      </c>
      <c r="P1144" s="178">
        <v>44176</v>
      </c>
      <c r="Q1144" s="178">
        <v>44179</v>
      </c>
      <c r="AA1144" s="166">
        <v>44181</v>
      </c>
      <c r="AH1144" s="108">
        <f>(AD1144-AF1144)/(D1144*$K$1*2)%</f>
        <v>0</v>
      </c>
      <c r="AI1144" s="108">
        <f>(AE1144+AF1144)/(D1144*$K$1*2)%</f>
        <v>0</v>
      </c>
    </row>
    <row r="1145" spans="1:35" ht="15.75" hidden="1" customHeight="1">
      <c r="A1145" s="244" t="s">
        <v>1388</v>
      </c>
      <c r="B1145" s="226">
        <v>44153</v>
      </c>
      <c r="C1145" s="149">
        <v>10475.370000000001</v>
      </c>
      <c r="D1145" s="107">
        <f t="shared" si="8"/>
        <v>5.5</v>
      </c>
      <c r="E1145" s="107">
        <v>285</v>
      </c>
      <c r="F1145" s="107" t="s">
        <v>263</v>
      </c>
      <c r="G1145" s="178">
        <v>44153</v>
      </c>
      <c r="H1145" s="178">
        <v>44153</v>
      </c>
      <c r="I1145" s="178">
        <v>44155</v>
      </c>
      <c r="J1145" s="178">
        <v>44158</v>
      </c>
      <c r="K1145" s="178">
        <v>44160</v>
      </c>
      <c r="L1145" s="178">
        <v>44166</v>
      </c>
      <c r="M1145" s="178">
        <v>44169</v>
      </c>
      <c r="N1145" s="178">
        <v>44172</v>
      </c>
      <c r="O1145" s="178">
        <v>44174</v>
      </c>
      <c r="P1145" s="178">
        <v>44176</v>
      </c>
      <c r="Q1145" s="178">
        <v>44179</v>
      </c>
      <c r="AA1145" s="166">
        <v>44181</v>
      </c>
      <c r="AC1145" s="107">
        <f>6/14*100</f>
        <v>42.857142857142854</v>
      </c>
      <c r="AD1145" s="107">
        <v>947.5</v>
      </c>
      <c r="AE1145" s="107">
        <v>266</v>
      </c>
      <c r="AH1145" s="108">
        <f>(AD1145-AF1145)/(D1145*$K$1*2)%</f>
        <v>15.661157024793388</v>
      </c>
      <c r="AI1145" s="108">
        <f>(AE1145+AF1145)/(D1145*$K$1*2)%</f>
        <v>4.3966942148760326</v>
      </c>
    </row>
    <row r="1146" spans="1:35" ht="15.75" hidden="1" customHeight="1">
      <c r="A1146" s="244" t="s">
        <v>1389</v>
      </c>
      <c r="B1146" s="226">
        <v>44153</v>
      </c>
      <c r="C1146" s="149">
        <v>10475.370000000001</v>
      </c>
      <c r="D1146" s="107">
        <f t="shared" si="8"/>
        <v>5.5</v>
      </c>
      <c r="E1146" s="107">
        <v>285</v>
      </c>
      <c r="F1146" s="107" t="s">
        <v>263</v>
      </c>
      <c r="G1146" s="178">
        <v>44153</v>
      </c>
      <c r="H1146" s="178">
        <v>44153</v>
      </c>
      <c r="I1146" s="178">
        <v>44155</v>
      </c>
      <c r="J1146" s="178">
        <v>44158</v>
      </c>
      <c r="K1146" s="178">
        <v>44160</v>
      </c>
      <c r="L1146" s="178">
        <v>44166</v>
      </c>
      <c r="M1146" s="178">
        <v>44169</v>
      </c>
      <c r="N1146" s="178">
        <v>44172</v>
      </c>
      <c r="O1146" s="178">
        <v>44174</v>
      </c>
      <c r="P1146" s="178">
        <v>44176</v>
      </c>
      <c r="Q1146" s="178">
        <v>44179</v>
      </c>
      <c r="AA1146" s="166">
        <v>44181</v>
      </c>
      <c r="AC1146" s="107">
        <f>10/19*100</f>
        <v>52.631578947368418</v>
      </c>
      <c r="AD1146" s="107">
        <v>792</v>
      </c>
      <c r="AE1146" s="107">
        <v>260</v>
      </c>
      <c r="AH1146" s="108">
        <f>(AD1146-AF1146)/(D1146*$K$1*2)%</f>
        <v>13.090909090909092</v>
      </c>
      <c r="AI1146" s="108">
        <f>(AE1146+AF1146)/(D1146*$K$1*2)%</f>
        <v>4.2975206611570247</v>
      </c>
    </row>
    <row r="1147" spans="1:35" ht="15.75" hidden="1" customHeight="1">
      <c r="A1147" s="244" t="s">
        <v>1390</v>
      </c>
      <c r="B1147" s="226">
        <v>44153</v>
      </c>
      <c r="C1147" s="149">
        <v>17270.310000000001</v>
      </c>
      <c r="D1147" s="107">
        <f t="shared" si="8"/>
        <v>6</v>
      </c>
      <c r="E1147" s="107">
        <v>286</v>
      </c>
      <c r="F1147" s="107" t="s">
        <v>263</v>
      </c>
      <c r="G1147" s="178">
        <v>44153</v>
      </c>
      <c r="H1147" s="178">
        <v>44153</v>
      </c>
      <c r="I1147" s="178">
        <v>44155</v>
      </c>
      <c r="J1147" s="178">
        <v>44158</v>
      </c>
      <c r="K1147" s="178">
        <v>44160</v>
      </c>
      <c r="L1147" s="178">
        <v>44166</v>
      </c>
      <c r="M1147" s="178">
        <v>44169</v>
      </c>
      <c r="N1147" s="178">
        <v>44172</v>
      </c>
      <c r="O1147" s="178">
        <v>44174</v>
      </c>
      <c r="P1147" s="178">
        <v>44176</v>
      </c>
      <c r="Q1147" s="178">
        <v>44179</v>
      </c>
      <c r="R1147" s="178">
        <v>44181</v>
      </c>
      <c r="AA1147" s="166">
        <v>44183</v>
      </c>
      <c r="AC1147" s="107">
        <f>2/13</f>
        <v>0.15384615384615385</v>
      </c>
      <c r="AD1147" s="107">
        <v>1566</v>
      </c>
      <c r="AE1147" s="107">
        <v>315.5</v>
      </c>
      <c r="AH1147" s="108">
        <f>(AD1147-AF1147)/(D1147*$K$1*2)%</f>
        <v>23.727272727272727</v>
      </c>
      <c r="AI1147" s="108">
        <f>(AE1147+AF1147)/(D1147*$K$1*2)%</f>
        <v>4.7803030303030303</v>
      </c>
    </row>
    <row r="1148" spans="1:35" s="252" customFormat="1" ht="15.75" hidden="1" customHeight="1">
      <c r="A1148" s="252" t="s">
        <v>1391</v>
      </c>
      <c r="B1148" s="251">
        <v>44154</v>
      </c>
      <c r="C1148" s="149">
        <v>15436.65</v>
      </c>
      <c r="D1148" s="252">
        <f t="shared" si="8"/>
        <v>5.5</v>
      </c>
      <c r="E1148" s="252">
        <v>287</v>
      </c>
      <c r="F1148" s="252" t="s">
        <v>323</v>
      </c>
      <c r="G1148" s="250">
        <v>44153</v>
      </c>
      <c r="H1148" s="250">
        <v>44153</v>
      </c>
      <c r="I1148" s="250">
        <v>44158</v>
      </c>
      <c r="J1148" s="250">
        <v>44160</v>
      </c>
      <c r="K1148" s="250">
        <v>44166</v>
      </c>
      <c r="L1148" s="250">
        <v>44169</v>
      </c>
      <c r="M1148" s="250">
        <v>44172</v>
      </c>
      <c r="N1148" s="250">
        <v>44174</v>
      </c>
      <c r="O1148" s="250">
        <v>44176</v>
      </c>
      <c r="P1148" s="250">
        <v>44179</v>
      </c>
      <c r="Q1148" s="178">
        <v>44181</v>
      </c>
      <c r="R1148" s="250"/>
      <c r="S1148" s="250"/>
      <c r="T1148" s="250"/>
      <c r="U1148" s="250"/>
      <c r="V1148" s="250"/>
      <c r="W1148" s="250"/>
      <c r="X1148" s="250"/>
      <c r="Y1148" s="250"/>
      <c r="Z1148" s="255"/>
      <c r="AA1148" s="254"/>
      <c r="AB1148" s="256"/>
      <c r="AH1148" s="257"/>
    </row>
    <row r="1149" spans="1:35" s="252" customFormat="1" ht="15.75" hidden="1" customHeight="1">
      <c r="A1149" s="252" t="s">
        <v>1392</v>
      </c>
      <c r="B1149" s="251">
        <v>44154</v>
      </c>
      <c r="C1149" s="149">
        <v>11399.19</v>
      </c>
      <c r="D1149" s="252">
        <f t="shared" si="8"/>
        <v>3.5</v>
      </c>
      <c r="E1149" s="252">
        <v>288</v>
      </c>
      <c r="F1149" s="252" t="s">
        <v>323</v>
      </c>
      <c r="G1149" s="250">
        <v>44153</v>
      </c>
      <c r="H1149" s="250">
        <v>44153</v>
      </c>
      <c r="I1149" s="250">
        <v>44158</v>
      </c>
      <c r="J1149" s="250">
        <v>44160</v>
      </c>
      <c r="K1149" s="250">
        <v>44166</v>
      </c>
      <c r="L1149" s="250">
        <v>44169</v>
      </c>
      <c r="M1149" s="250">
        <v>44174</v>
      </c>
      <c r="N1149" s="250"/>
      <c r="O1149" s="250"/>
      <c r="P1149" s="250"/>
      <c r="Q1149" s="250"/>
      <c r="R1149" s="250"/>
      <c r="S1149" s="250"/>
      <c r="T1149" s="250"/>
      <c r="U1149" s="250"/>
      <c r="V1149" s="250"/>
      <c r="W1149" s="250"/>
      <c r="X1149" s="250"/>
      <c r="Y1149" s="250"/>
      <c r="Z1149" s="255"/>
      <c r="AA1149" s="254">
        <v>44179</v>
      </c>
      <c r="AB1149" s="256"/>
      <c r="AH1149" s="257"/>
    </row>
    <row r="1150" spans="1:35" s="252" customFormat="1" ht="15.75" hidden="1" customHeight="1">
      <c r="A1150" s="252" t="s">
        <v>1393</v>
      </c>
      <c r="B1150" s="251">
        <v>44154</v>
      </c>
      <c r="C1150" s="149">
        <v>11399.19</v>
      </c>
      <c r="D1150" s="252">
        <f t="shared" si="8"/>
        <v>4</v>
      </c>
      <c r="E1150" s="252">
        <v>288</v>
      </c>
      <c r="F1150" s="252" t="s">
        <v>323</v>
      </c>
      <c r="G1150" s="250">
        <v>44153</v>
      </c>
      <c r="H1150" s="250">
        <v>44153</v>
      </c>
      <c r="I1150" s="250">
        <v>44158</v>
      </c>
      <c r="J1150" s="250">
        <v>44160</v>
      </c>
      <c r="K1150" s="250">
        <v>44166</v>
      </c>
      <c r="L1150" s="250">
        <v>44169</v>
      </c>
      <c r="M1150" s="250">
        <v>44174</v>
      </c>
      <c r="N1150" s="250">
        <v>44176</v>
      </c>
      <c r="O1150" s="250"/>
      <c r="P1150" s="250"/>
      <c r="Q1150" s="250"/>
      <c r="R1150" s="250"/>
      <c r="S1150" s="250"/>
      <c r="T1150" s="250"/>
      <c r="U1150" s="250"/>
      <c r="V1150" s="250"/>
      <c r="W1150" s="250"/>
      <c r="X1150" s="250"/>
      <c r="Y1150" s="250"/>
      <c r="Z1150" s="255"/>
      <c r="AA1150" s="254">
        <v>44179</v>
      </c>
      <c r="AB1150" s="256"/>
      <c r="AH1150" s="257"/>
    </row>
    <row r="1151" spans="1:35" s="252" customFormat="1" ht="15.75" hidden="1" customHeight="1">
      <c r="A1151" s="252" t="s">
        <v>1394</v>
      </c>
      <c r="B1151" s="251">
        <v>44154</v>
      </c>
      <c r="C1151" s="149">
        <v>11399.19</v>
      </c>
      <c r="D1151" s="252">
        <f t="shared" si="8"/>
        <v>5.5</v>
      </c>
      <c r="E1151" s="252">
        <v>288</v>
      </c>
      <c r="F1151" s="252" t="s">
        <v>263</v>
      </c>
      <c r="G1151" s="250">
        <v>44153</v>
      </c>
      <c r="H1151" s="250">
        <v>44153</v>
      </c>
      <c r="I1151" s="250">
        <v>44158</v>
      </c>
      <c r="J1151" s="250">
        <v>44160</v>
      </c>
      <c r="K1151" s="250">
        <v>44166</v>
      </c>
      <c r="L1151" s="250">
        <v>44169</v>
      </c>
      <c r="M1151" s="250">
        <v>44172</v>
      </c>
      <c r="N1151" s="250">
        <v>44174</v>
      </c>
      <c r="O1151" s="250">
        <v>44176</v>
      </c>
      <c r="P1151" s="250">
        <v>44179</v>
      </c>
      <c r="Q1151" s="178">
        <v>44181</v>
      </c>
      <c r="R1151" s="250"/>
      <c r="S1151" s="250"/>
      <c r="T1151" s="250"/>
      <c r="U1151" s="250"/>
      <c r="V1151" s="250"/>
      <c r="W1151" s="250"/>
      <c r="X1151" s="250"/>
      <c r="Y1151" s="250"/>
      <c r="Z1151" s="255"/>
      <c r="AA1151" s="166">
        <v>44183</v>
      </c>
      <c r="AB1151" s="256"/>
      <c r="AC1151" s="252">
        <f>15/23</f>
        <v>0.65217391304347827</v>
      </c>
      <c r="AD1151" s="252">
        <v>1037.5</v>
      </c>
      <c r="AE1151" s="252">
        <v>398.5</v>
      </c>
      <c r="AH1151" s="108">
        <f>(AD1151-AF1151)/(D1151*$K$1*2)%</f>
        <v>17.148760330578511</v>
      </c>
      <c r="AI1151" s="108">
        <f>(AE1151+AF1151)/(D1151*$K$1*2)%</f>
        <v>6.5867768595041323</v>
      </c>
    </row>
    <row r="1152" spans="1:35" ht="15.75" hidden="1" customHeight="1">
      <c r="A1152" s="149" t="s">
        <v>1395</v>
      </c>
      <c r="B1152" s="251">
        <v>44160</v>
      </c>
      <c r="C1152" s="244">
        <v>9667.5450000000001</v>
      </c>
      <c r="D1152" s="252">
        <f t="shared" si="8"/>
        <v>4.5</v>
      </c>
      <c r="E1152" s="252">
        <v>289</v>
      </c>
      <c r="F1152" s="252" t="s">
        <v>263</v>
      </c>
      <c r="G1152" s="178">
        <v>44160</v>
      </c>
      <c r="H1152" s="178">
        <v>44160</v>
      </c>
      <c r="I1152" s="178">
        <v>44166</v>
      </c>
      <c r="J1152" s="178">
        <v>44169</v>
      </c>
      <c r="K1152" s="178">
        <v>44172</v>
      </c>
      <c r="L1152" s="178">
        <v>44174</v>
      </c>
      <c r="M1152" s="178">
        <v>44176</v>
      </c>
      <c r="N1152" s="178">
        <v>44179</v>
      </c>
      <c r="O1152" s="178">
        <v>44181</v>
      </c>
      <c r="AA1152" s="166">
        <v>44193</v>
      </c>
      <c r="AC1152" s="107">
        <f>6/11</f>
        <v>0.54545454545454541</v>
      </c>
      <c r="AD1152" s="107">
        <v>617</v>
      </c>
      <c r="AE1152" s="107">
        <v>291</v>
      </c>
      <c r="AH1152" s="108">
        <f>(AD1152-AF1152)/(D1152*$K$1*2)%</f>
        <v>12.464646464646465</v>
      </c>
      <c r="AI1152" s="108">
        <f>(AE1152+AF1152)/(D1152*$K$1*2)%</f>
        <v>5.8787878787878789</v>
      </c>
    </row>
    <row r="1153" spans="1:36" ht="15.75" hidden="1" customHeight="1">
      <c r="A1153" s="149" t="s">
        <v>1396</v>
      </c>
      <c r="B1153" s="251">
        <v>44160</v>
      </c>
      <c r="C1153" s="244">
        <v>9667.5450000000001</v>
      </c>
      <c r="D1153" s="252">
        <f t="shared" si="8"/>
        <v>4.5</v>
      </c>
      <c r="E1153" s="252">
        <v>289</v>
      </c>
      <c r="F1153" s="252" t="s">
        <v>263</v>
      </c>
      <c r="G1153" s="178">
        <v>44160</v>
      </c>
      <c r="H1153" s="178">
        <v>44160</v>
      </c>
      <c r="I1153" s="178">
        <v>44166</v>
      </c>
      <c r="J1153" s="178">
        <v>44169</v>
      </c>
      <c r="K1153" s="178">
        <v>44172</v>
      </c>
      <c r="L1153" s="178">
        <v>44174</v>
      </c>
      <c r="M1153" s="178">
        <v>44176</v>
      </c>
      <c r="N1153" s="178">
        <v>44179</v>
      </c>
      <c r="O1153" s="178">
        <v>44181</v>
      </c>
      <c r="AA1153" s="166">
        <v>44193</v>
      </c>
      <c r="AC1153" s="107">
        <f>9/10</f>
        <v>0.9</v>
      </c>
      <c r="AD1153" s="107">
        <v>460</v>
      </c>
      <c r="AE1153" s="107">
        <v>261</v>
      </c>
      <c r="AH1153" s="108">
        <f>(AD1153-AF1153)/(D1153*$K$1*2)%</f>
        <v>9.2929292929292924</v>
      </c>
      <c r="AI1153" s="108">
        <f>(AE1153+AF1153)/(D1153*$K$1*2)%</f>
        <v>5.2727272727272725</v>
      </c>
    </row>
    <row r="1154" spans="1:36" ht="15.75" hidden="1" customHeight="1">
      <c r="A1154" s="149" t="s">
        <v>1397</v>
      </c>
      <c r="B1154" s="251">
        <v>44160</v>
      </c>
      <c r="C1154" s="149">
        <v>10048.629999999999</v>
      </c>
      <c r="D1154" s="252">
        <f t="shared" si="8"/>
        <v>5</v>
      </c>
      <c r="E1154" s="252">
        <v>290</v>
      </c>
      <c r="F1154" s="252" t="s">
        <v>263</v>
      </c>
      <c r="G1154" s="178">
        <v>44160</v>
      </c>
      <c r="H1154" s="178">
        <v>44160</v>
      </c>
      <c r="I1154" s="178">
        <v>44166</v>
      </c>
      <c r="J1154" s="178">
        <v>44169</v>
      </c>
      <c r="K1154" s="178">
        <v>44172</v>
      </c>
      <c r="L1154" s="178">
        <v>44174</v>
      </c>
      <c r="M1154" s="178">
        <v>44176</v>
      </c>
      <c r="N1154" s="178">
        <v>44179</v>
      </c>
      <c r="O1154" s="178">
        <v>44181</v>
      </c>
      <c r="P1154" s="178">
        <v>44183</v>
      </c>
      <c r="AA1154" s="166">
        <v>44194</v>
      </c>
      <c r="AC1154" s="107">
        <f>9/13</f>
        <v>0.69230769230769229</v>
      </c>
      <c r="AD1154" s="107">
        <v>685</v>
      </c>
      <c r="AE1154" s="107">
        <v>299</v>
      </c>
      <c r="AH1154" s="108">
        <f>(AD1154-AF1154)/(D1154*$K$1*2)%</f>
        <v>12.454545454545455</v>
      </c>
      <c r="AI1154" s="108">
        <f>(AE1154+AF1154)/(D1154*$K$1*2)%</f>
        <v>5.4363636363636365</v>
      </c>
    </row>
    <row r="1155" spans="1:36" ht="15.75" hidden="1" customHeight="1">
      <c r="A1155" s="149" t="s">
        <v>1398</v>
      </c>
      <c r="B1155" s="251">
        <v>44160</v>
      </c>
      <c r="C1155" s="149">
        <v>10048.629999999999</v>
      </c>
      <c r="D1155" s="252">
        <f t="shared" si="8"/>
        <v>5</v>
      </c>
      <c r="E1155" s="252">
        <v>290</v>
      </c>
      <c r="F1155" s="252" t="s">
        <v>263</v>
      </c>
      <c r="G1155" s="178">
        <v>44160</v>
      </c>
      <c r="H1155" s="178">
        <v>44160</v>
      </c>
      <c r="I1155" s="178">
        <v>44166</v>
      </c>
      <c r="J1155" s="178">
        <v>44169</v>
      </c>
      <c r="K1155" s="178">
        <v>44172</v>
      </c>
      <c r="L1155" s="178">
        <v>44174</v>
      </c>
      <c r="M1155" s="178">
        <v>44176</v>
      </c>
      <c r="N1155" s="178">
        <v>44179</v>
      </c>
      <c r="O1155" s="178">
        <v>44181</v>
      </c>
      <c r="P1155" s="178">
        <v>44183</v>
      </c>
      <c r="AA1155" s="166">
        <v>44194</v>
      </c>
      <c r="AC1155" s="107">
        <f>11/12</f>
        <v>0.91666666666666663</v>
      </c>
      <c r="AD1155" s="107">
        <v>599</v>
      </c>
      <c r="AE1155" s="107">
        <v>363.5</v>
      </c>
      <c r="AH1155" s="108">
        <f>(AD1155-AF1155)/(D1155*$K$1*2)%</f>
        <v>10.890909090909091</v>
      </c>
      <c r="AI1155" s="108">
        <f>(AE1155+AF1155)/(D1155*$K$1*2)%</f>
        <v>6.6090909090909093</v>
      </c>
    </row>
    <row r="1156" spans="1:36" ht="15.75" hidden="1" customHeight="1">
      <c r="A1156" s="149" t="s">
        <v>1399</v>
      </c>
      <c r="B1156" s="251">
        <v>44160</v>
      </c>
      <c r="C1156" s="149">
        <v>10048.629999999999</v>
      </c>
      <c r="D1156" s="252">
        <f t="shared" si="8"/>
        <v>5</v>
      </c>
      <c r="E1156" s="252">
        <v>290</v>
      </c>
      <c r="F1156" s="252" t="s">
        <v>263</v>
      </c>
      <c r="G1156" s="178">
        <v>44160</v>
      </c>
      <c r="H1156" s="178">
        <v>44160</v>
      </c>
      <c r="I1156" s="178">
        <v>44166</v>
      </c>
      <c r="J1156" s="178">
        <v>44169</v>
      </c>
      <c r="K1156" s="178">
        <v>44172</v>
      </c>
      <c r="L1156" s="178">
        <v>44174</v>
      </c>
      <c r="M1156" s="178">
        <v>44176</v>
      </c>
      <c r="N1156" s="178">
        <v>44179</v>
      </c>
      <c r="O1156" s="178">
        <v>44181</v>
      </c>
      <c r="P1156" s="178">
        <v>44183</v>
      </c>
      <c r="AA1156" s="166">
        <v>44194</v>
      </c>
      <c r="AH1156" s="108">
        <f>(AD1156-AF1156)/(D1156*$K$1*2)%</f>
        <v>0</v>
      </c>
      <c r="AI1156" s="108">
        <f>(AE1156+AF1156)/(D1156*$K$1*2)%</f>
        <v>0</v>
      </c>
    </row>
    <row r="1157" spans="1:36" ht="15.75" hidden="1" customHeight="1">
      <c r="A1157" s="149" t="s">
        <v>1400</v>
      </c>
      <c r="B1157" s="251">
        <v>44160</v>
      </c>
      <c r="C1157" s="149">
        <v>10048.629999999999</v>
      </c>
      <c r="D1157" s="252">
        <f t="shared" si="8"/>
        <v>5</v>
      </c>
      <c r="E1157" s="252">
        <v>290</v>
      </c>
      <c r="F1157" s="252" t="s">
        <v>263</v>
      </c>
      <c r="G1157" s="178">
        <v>44160</v>
      </c>
      <c r="H1157" s="178">
        <v>44160</v>
      </c>
      <c r="I1157" s="178">
        <v>44166</v>
      </c>
      <c r="J1157" s="178">
        <v>44169</v>
      </c>
      <c r="K1157" s="178">
        <v>44172</v>
      </c>
      <c r="L1157" s="178">
        <v>44174</v>
      </c>
      <c r="M1157" s="178">
        <v>44176</v>
      </c>
      <c r="N1157" s="178">
        <v>44179</v>
      </c>
      <c r="O1157" s="178">
        <v>44181</v>
      </c>
      <c r="P1157" s="178">
        <v>44183</v>
      </c>
      <c r="AA1157" s="166">
        <v>44194</v>
      </c>
      <c r="AC1157" s="107">
        <f>8/15</f>
        <v>0.53333333333333333</v>
      </c>
      <c r="AD1157" s="107">
        <v>542.5</v>
      </c>
      <c r="AE1157" s="107">
        <v>328.5</v>
      </c>
      <c r="AH1157" s="108">
        <f>(AD1157-AF1157)/(D1157*$K$1*2)%</f>
        <v>9.8636363636363633</v>
      </c>
      <c r="AI1157" s="108">
        <f>(AE1157+AF1157)/(D1157*$K$1*2)%</f>
        <v>5.9727272727272727</v>
      </c>
    </row>
    <row r="1158" spans="1:36" ht="15.75" hidden="1" customHeight="1">
      <c r="A1158" s="149" t="s">
        <v>1401</v>
      </c>
      <c r="B1158" s="251">
        <v>44160</v>
      </c>
      <c r="C1158" s="149">
        <v>10039.700000000001</v>
      </c>
      <c r="D1158" s="252">
        <f t="shared" si="8"/>
        <v>5</v>
      </c>
      <c r="E1158" s="252">
        <v>291</v>
      </c>
      <c r="F1158" s="252" t="s">
        <v>263</v>
      </c>
      <c r="G1158" s="178">
        <v>44160</v>
      </c>
      <c r="H1158" s="178">
        <v>44160</v>
      </c>
      <c r="I1158" s="178">
        <v>44166</v>
      </c>
      <c r="J1158" s="178">
        <v>44169</v>
      </c>
      <c r="K1158" s="178">
        <v>44172</v>
      </c>
      <c r="L1158" s="178">
        <v>44174</v>
      </c>
      <c r="M1158" s="178">
        <v>44176</v>
      </c>
      <c r="N1158" s="178">
        <v>44179</v>
      </c>
      <c r="O1158" s="178">
        <v>44181</v>
      </c>
      <c r="P1158" s="178">
        <v>44183</v>
      </c>
      <c r="AA1158" s="166">
        <v>44203</v>
      </c>
      <c r="AC1158" s="107">
        <f>21/38*100</f>
        <v>55.26315789473685</v>
      </c>
      <c r="AD1158" s="107">
        <v>541.5</v>
      </c>
      <c r="AE1158" s="107">
        <v>306</v>
      </c>
    </row>
    <row r="1159" spans="1:36" ht="15.75" hidden="1" customHeight="1">
      <c r="A1159" s="149" t="s">
        <v>1402</v>
      </c>
      <c r="B1159" s="251">
        <v>44160</v>
      </c>
      <c r="C1159" s="149">
        <v>10039.700000000001</v>
      </c>
      <c r="D1159" s="252">
        <f t="shared" si="8"/>
        <v>5</v>
      </c>
      <c r="E1159" s="252">
        <v>291</v>
      </c>
      <c r="F1159" s="252" t="s">
        <v>263</v>
      </c>
      <c r="G1159" s="178">
        <v>44160</v>
      </c>
      <c r="H1159" s="178">
        <v>44160</v>
      </c>
      <c r="I1159" s="178">
        <v>44166</v>
      </c>
      <c r="J1159" s="178">
        <v>44169</v>
      </c>
      <c r="K1159" s="178">
        <v>44172</v>
      </c>
      <c r="L1159" s="178">
        <v>44174</v>
      </c>
      <c r="M1159" s="178">
        <v>44176</v>
      </c>
      <c r="N1159" s="178">
        <v>44179</v>
      </c>
      <c r="O1159" s="178">
        <v>44181</v>
      </c>
      <c r="P1159" s="178">
        <v>44183</v>
      </c>
      <c r="AA1159" s="166">
        <v>44203</v>
      </c>
      <c r="AC1159" s="107">
        <f>24/32*100</f>
        <v>75</v>
      </c>
      <c r="AD1159" s="107">
        <v>546</v>
      </c>
      <c r="AE1159" s="107">
        <v>305</v>
      </c>
    </row>
    <row r="1160" spans="1:36" ht="15.75" hidden="1" customHeight="1">
      <c r="A1160" s="149" t="s">
        <v>1403</v>
      </c>
      <c r="B1160" s="251">
        <v>44160</v>
      </c>
      <c r="C1160" s="149">
        <v>13917.39</v>
      </c>
      <c r="D1160" s="252">
        <f t="shared" ref="D1160:D1161" si="9">COUNTA(G1160:Z1160)*0.5</f>
        <v>5</v>
      </c>
      <c r="E1160" s="252">
        <v>292</v>
      </c>
      <c r="F1160" s="252" t="s">
        <v>263</v>
      </c>
      <c r="G1160" s="178">
        <v>44160</v>
      </c>
      <c r="H1160" s="178">
        <v>44160</v>
      </c>
      <c r="I1160" s="178">
        <v>44166</v>
      </c>
      <c r="J1160" s="178">
        <v>44169</v>
      </c>
      <c r="K1160" s="178">
        <v>44172</v>
      </c>
      <c r="L1160" s="178">
        <v>44174</v>
      </c>
      <c r="M1160" s="178">
        <v>44176</v>
      </c>
      <c r="N1160" s="178">
        <v>44179</v>
      </c>
      <c r="O1160" s="178">
        <v>44181</v>
      </c>
      <c r="P1160" s="178">
        <v>44183</v>
      </c>
      <c r="AA1160" s="166">
        <v>44203</v>
      </c>
      <c r="AC1160" s="107">
        <f>39/44*100</f>
        <v>88.63636363636364</v>
      </c>
      <c r="AD1160" s="107">
        <v>773</v>
      </c>
      <c r="AE1160" s="107">
        <v>307</v>
      </c>
    </row>
    <row r="1161" spans="1:36" ht="15.75" hidden="1" customHeight="1">
      <c r="A1161" s="244" t="s">
        <v>1404</v>
      </c>
      <c r="B1161" s="226">
        <v>44166</v>
      </c>
      <c r="C1161" s="149">
        <v>10420.620000000001</v>
      </c>
      <c r="D1161" s="252">
        <f t="shared" si="9"/>
        <v>5</v>
      </c>
      <c r="E1161" s="107">
        <v>293</v>
      </c>
      <c r="F1161" s="252" t="s">
        <v>263</v>
      </c>
      <c r="G1161" s="178">
        <v>44166</v>
      </c>
      <c r="H1161" s="178">
        <v>44166</v>
      </c>
      <c r="I1161" s="178">
        <v>44169</v>
      </c>
      <c r="J1161" s="178">
        <v>44172</v>
      </c>
      <c r="K1161" s="178">
        <v>44174</v>
      </c>
      <c r="L1161" s="178">
        <v>44176</v>
      </c>
      <c r="M1161" s="178">
        <v>44179</v>
      </c>
      <c r="N1161" s="178">
        <v>44181</v>
      </c>
      <c r="O1161" s="178">
        <v>44183</v>
      </c>
      <c r="P1161" s="178">
        <v>44186</v>
      </c>
      <c r="AA1161" s="166">
        <v>44193</v>
      </c>
      <c r="AH1161" s="108">
        <f>(AD1161-AF1161)/(D1161*$K$1*2)%</f>
        <v>0</v>
      </c>
      <c r="AI1161" s="108">
        <f>(AE1161+AF1161)/(D1161*$K$1*2)%</f>
        <v>0</v>
      </c>
    </row>
    <row r="1162" spans="1:36" ht="15.75" hidden="1" customHeight="1">
      <c r="A1162" s="244" t="s">
        <v>1405</v>
      </c>
      <c r="B1162" s="226">
        <v>44166</v>
      </c>
      <c r="C1162" s="149">
        <v>10420.620000000001</v>
      </c>
      <c r="D1162" s="252">
        <f t="shared" ref="D1162:D1168" si="10">COUNTA(G1162:Z1162)*0.5</f>
        <v>5</v>
      </c>
      <c r="E1162" s="107">
        <v>293</v>
      </c>
      <c r="F1162" s="252" t="s">
        <v>263</v>
      </c>
      <c r="G1162" s="178">
        <v>44166</v>
      </c>
      <c r="H1162" s="178">
        <v>44166</v>
      </c>
      <c r="I1162" s="178">
        <v>44169</v>
      </c>
      <c r="J1162" s="178">
        <v>44172</v>
      </c>
      <c r="K1162" s="178">
        <v>44174</v>
      </c>
      <c r="L1162" s="178">
        <v>44176</v>
      </c>
      <c r="M1162" s="178">
        <v>44179</v>
      </c>
      <c r="N1162" s="178">
        <v>44181</v>
      </c>
      <c r="O1162" s="178">
        <v>44183</v>
      </c>
      <c r="P1162" s="178">
        <v>44186</v>
      </c>
      <c r="AA1162" s="166">
        <v>44193</v>
      </c>
      <c r="AH1162" s="108">
        <f>(AD1162-AF1162)/(D1162*$K$1*2)%</f>
        <v>0</v>
      </c>
      <c r="AI1162" s="108">
        <f>(AE1162+AF1162)/(D1162*$K$1*2)%</f>
        <v>0</v>
      </c>
    </row>
    <row r="1163" spans="1:36" ht="15.75" hidden="1" customHeight="1">
      <c r="A1163" s="244" t="s">
        <v>1406</v>
      </c>
      <c r="B1163" s="226">
        <v>44166</v>
      </c>
      <c r="C1163" s="149">
        <v>10420.620000000001</v>
      </c>
      <c r="D1163" s="252">
        <f t="shared" si="10"/>
        <v>5</v>
      </c>
      <c r="E1163" s="107">
        <v>293</v>
      </c>
      <c r="F1163" s="252" t="s">
        <v>263</v>
      </c>
      <c r="G1163" s="178">
        <v>44166</v>
      </c>
      <c r="H1163" s="178">
        <v>44166</v>
      </c>
      <c r="I1163" s="178">
        <v>44169</v>
      </c>
      <c r="J1163" s="178">
        <v>44172</v>
      </c>
      <c r="K1163" s="178">
        <v>44174</v>
      </c>
      <c r="L1163" s="178">
        <v>44176</v>
      </c>
      <c r="M1163" s="178">
        <v>44179</v>
      </c>
      <c r="N1163" s="178">
        <v>44181</v>
      </c>
      <c r="O1163" s="178">
        <v>44183</v>
      </c>
      <c r="P1163" s="178">
        <v>44186</v>
      </c>
      <c r="AA1163" s="166">
        <v>44193</v>
      </c>
      <c r="AC1163" s="107">
        <f>13/18</f>
        <v>0.72222222222222221</v>
      </c>
      <c r="AD1163" s="107">
        <v>718</v>
      </c>
      <c r="AE1163" s="107">
        <v>292</v>
      </c>
      <c r="AH1163" s="108">
        <f>(AD1163-AF1163)/(D1163*$K$1*2)%</f>
        <v>13.054545454545455</v>
      </c>
      <c r="AI1163" s="108">
        <f>(AE1163+AF1163)/(D1163*$K$1*2)%</f>
        <v>5.3090909090909095</v>
      </c>
      <c r="AJ1163" s="108"/>
    </row>
    <row r="1164" spans="1:36" ht="15.75" hidden="1" customHeight="1">
      <c r="A1164" s="244" t="s">
        <v>1407</v>
      </c>
      <c r="B1164" s="226">
        <v>44166</v>
      </c>
      <c r="C1164" s="149">
        <v>10420.620000000001</v>
      </c>
      <c r="D1164" s="252">
        <f t="shared" si="10"/>
        <v>5</v>
      </c>
      <c r="E1164" s="107">
        <v>293</v>
      </c>
      <c r="F1164" s="252" t="s">
        <v>263</v>
      </c>
      <c r="G1164" s="178">
        <v>44166</v>
      </c>
      <c r="H1164" s="178">
        <v>44166</v>
      </c>
      <c r="I1164" s="178">
        <v>44169</v>
      </c>
      <c r="J1164" s="178">
        <v>44172</v>
      </c>
      <c r="K1164" s="178">
        <v>44174</v>
      </c>
      <c r="L1164" s="178">
        <v>44176</v>
      </c>
      <c r="M1164" s="178">
        <v>44179</v>
      </c>
      <c r="N1164" s="178">
        <v>44181</v>
      </c>
      <c r="O1164" s="178">
        <v>44183</v>
      </c>
      <c r="P1164" s="178">
        <v>44186</v>
      </c>
      <c r="AA1164" s="166">
        <v>44193</v>
      </c>
      <c r="AH1164" s="108">
        <f>(AD1164-AF1164)/(D1164*$K$1*2)%</f>
        <v>0</v>
      </c>
      <c r="AI1164" s="108">
        <f>(AE1164+AF1164)/(D1164*$K$1*2)%</f>
        <v>0</v>
      </c>
    </row>
    <row r="1165" spans="1:36" ht="15.75" hidden="1" customHeight="1">
      <c r="A1165" s="244" t="s">
        <v>1408</v>
      </c>
      <c r="B1165" s="226">
        <v>44166</v>
      </c>
      <c r="C1165" s="149">
        <v>10420.620000000001</v>
      </c>
      <c r="D1165" s="252">
        <f t="shared" si="10"/>
        <v>5</v>
      </c>
      <c r="E1165" s="107">
        <v>293</v>
      </c>
      <c r="F1165" s="252" t="s">
        <v>263</v>
      </c>
      <c r="G1165" s="178">
        <v>44166</v>
      </c>
      <c r="H1165" s="178">
        <v>44166</v>
      </c>
      <c r="I1165" s="178">
        <v>44169</v>
      </c>
      <c r="J1165" s="178">
        <v>44172</v>
      </c>
      <c r="K1165" s="178">
        <v>44174</v>
      </c>
      <c r="L1165" s="178">
        <v>44176</v>
      </c>
      <c r="M1165" s="178">
        <v>44179</v>
      </c>
      <c r="N1165" s="178">
        <v>44181</v>
      </c>
      <c r="O1165" s="178">
        <v>44183</v>
      </c>
      <c r="P1165" s="178">
        <v>44186</v>
      </c>
      <c r="AA1165" s="166">
        <v>44193</v>
      </c>
      <c r="AC1165" s="107">
        <f>10/17</f>
        <v>0.58823529411764708</v>
      </c>
      <c r="AD1165" s="107">
        <v>800</v>
      </c>
      <c r="AE1165" s="107">
        <v>287</v>
      </c>
      <c r="AH1165" s="108">
        <f>(AD1165-AF1165)/(D1165*$K$1*2)%</f>
        <v>14.545454545454545</v>
      </c>
      <c r="AI1165" s="108">
        <f>(AE1165+AF1165)/(D1165*$K$1*2)%</f>
        <v>5.2181818181818178</v>
      </c>
    </row>
    <row r="1166" spans="1:36" ht="15.75" hidden="1" customHeight="1">
      <c r="A1166" s="244" t="s">
        <v>1409</v>
      </c>
      <c r="B1166" s="226">
        <v>44166</v>
      </c>
      <c r="C1166" s="149">
        <v>10420.620000000001</v>
      </c>
      <c r="D1166" s="252">
        <f t="shared" si="10"/>
        <v>5</v>
      </c>
      <c r="E1166" s="107">
        <v>293</v>
      </c>
      <c r="F1166" s="252" t="s">
        <v>263</v>
      </c>
      <c r="G1166" s="178">
        <v>44166</v>
      </c>
      <c r="H1166" s="178">
        <v>44166</v>
      </c>
      <c r="I1166" s="178">
        <v>44169</v>
      </c>
      <c r="J1166" s="178">
        <v>44172</v>
      </c>
      <c r="K1166" s="178">
        <v>44174</v>
      </c>
      <c r="L1166" s="178">
        <v>44176</v>
      </c>
      <c r="M1166" s="178">
        <v>44179</v>
      </c>
      <c r="N1166" s="178">
        <v>44181</v>
      </c>
      <c r="O1166" s="178">
        <v>44183</v>
      </c>
      <c r="P1166" s="178">
        <v>44186</v>
      </c>
      <c r="AA1166" s="166">
        <v>44193</v>
      </c>
      <c r="AH1166" s="108">
        <f>(AD1166-AF1166)/(D1166*$K$1*2)%</f>
        <v>0</v>
      </c>
      <c r="AI1166" s="108">
        <f>(AE1166+AF1166)/(D1166*$K$1*2)%</f>
        <v>0</v>
      </c>
    </row>
    <row r="1167" spans="1:36" ht="15.75" hidden="1" customHeight="1">
      <c r="A1167" s="244" t="s">
        <v>1410</v>
      </c>
      <c r="B1167" s="226">
        <v>44166</v>
      </c>
      <c r="C1167" s="149">
        <v>10420.620000000001</v>
      </c>
      <c r="D1167" s="252">
        <f t="shared" si="10"/>
        <v>5</v>
      </c>
      <c r="E1167" s="107">
        <v>293</v>
      </c>
      <c r="F1167" s="252" t="s">
        <v>263</v>
      </c>
      <c r="G1167" s="178">
        <v>44166</v>
      </c>
      <c r="H1167" s="178">
        <v>44166</v>
      </c>
      <c r="I1167" s="178">
        <v>44169</v>
      </c>
      <c r="J1167" s="178">
        <v>44172</v>
      </c>
      <c r="K1167" s="178">
        <v>44174</v>
      </c>
      <c r="L1167" s="178">
        <v>44176</v>
      </c>
      <c r="M1167" s="178">
        <v>44179</v>
      </c>
      <c r="N1167" s="178">
        <v>44181</v>
      </c>
      <c r="O1167" s="178">
        <v>44183</v>
      </c>
      <c r="P1167" s="178">
        <v>44186</v>
      </c>
      <c r="AA1167" s="166">
        <v>44193</v>
      </c>
      <c r="AH1167" s="108">
        <f>(AD1167-AF1167)/(D1167*$K$1*2)%</f>
        <v>0</v>
      </c>
      <c r="AI1167" s="108">
        <f>(AE1167+AF1167)/(D1167*$K$1*2)%</f>
        <v>0</v>
      </c>
    </row>
    <row r="1168" spans="1:36" ht="15.75" hidden="1" customHeight="1">
      <c r="A1168" s="244" t="s">
        <v>1411</v>
      </c>
      <c r="B1168" s="226">
        <v>44166</v>
      </c>
      <c r="C1168" s="149">
        <v>10420.620000000001</v>
      </c>
      <c r="D1168" s="252">
        <f t="shared" si="10"/>
        <v>5</v>
      </c>
      <c r="E1168" s="107">
        <v>293</v>
      </c>
      <c r="F1168" s="252" t="s">
        <v>263</v>
      </c>
      <c r="G1168" s="178">
        <v>44166</v>
      </c>
      <c r="H1168" s="178">
        <v>44166</v>
      </c>
      <c r="I1168" s="178">
        <v>44169</v>
      </c>
      <c r="J1168" s="178">
        <v>44172</v>
      </c>
      <c r="K1168" s="178">
        <v>44174</v>
      </c>
      <c r="L1168" s="178">
        <v>44176</v>
      </c>
      <c r="M1168" s="178">
        <v>44179</v>
      </c>
      <c r="N1168" s="178">
        <v>44181</v>
      </c>
      <c r="O1168" s="178">
        <v>44183</v>
      </c>
      <c r="P1168" s="178">
        <v>44186</v>
      </c>
      <c r="AA1168" s="166">
        <v>44193</v>
      </c>
      <c r="AC1168" s="107">
        <f>12/18</f>
        <v>0.66666666666666663</v>
      </c>
      <c r="AD1168" s="107">
        <v>710</v>
      </c>
      <c r="AE1168" s="107">
        <v>284.5</v>
      </c>
      <c r="AH1168" s="108">
        <f>(AD1168-AF1168)/(D1168*$K$1*2)%</f>
        <v>12.909090909090908</v>
      </c>
      <c r="AI1168" s="108">
        <f>(AE1168+AF1168)/(D1168*$K$1*2)%</f>
        <v>5.1727272727272728</v>
      </c>
    </row>
    <row r="1169" spans="1:35" ht="15.75" hidden="1" customHeight="1">
      <c r="A1169" s="241" t="s">
        <v>1412</v>
      </c>
      <c r="B1169" s="226">
        <v>44169</v>
      </c>
      <c r="C1169" s="273">
        <v>10361.73</v>
      </c>
      <c r="D1169" s="107">
        <f>COUNTA(G1169:Z1169)*0.5</f>
        <v>4.5</v>
      </c>
      <c r="E1169" s="107">
        <v>294</v>
      </c>
      <c r="F1169" s="107" t="s">
        <v>263</v>
      </c>
      <c r="G1169" s="178">
        <v>44169</v>
      </c>
      <c r="H1169" s="178">
        <v>44169</v>
      </c>
      <c r="I1169" s="178">
        <v>44172</v>
      </c>
      <c r="J1169" s="178">
        <v>44174</v>
      </c>
      <c r="K1169" s="178">
        <v>44176</v>
      </c>
      <c r="L1169" s="178">
        <v>44179</v>
      </c>
      <c r="M1169" s="178">
        <v>44181</v>
      </c>
      <c r="N1169" s="178">
        <v>44183</v>
      </c>
      <c r="O1169" s="178">
        <v>44186</v>
      </c>
      <c r="AA1169" s="166">
        <v>44203</v>
      </c>
      <c r="AC1169" s="107">
        <f>19/33*100</f>
        <v>57.575757575757578</v>
      </c>
      <c r="AD1169" s="107">
        <v>732.5</v>
      </c>
      <c r="AE1169" s="107">
        <v>259.5</v>
      </c>
      <c r="AH1169" s="107"/>
    </row>
    <row r="1170" spans="1:35" ht="15.75" hidden="1" customHeight="1">
      <c r="A1170" s="241" t="s">
        <v>1413</v>
      </c>
      <c r="B1170" s="226">
        <v>44169</v>
      </c>
      <c r="C1170" s="273">
        <v>10361.73</v>
      </c>
      <c r="D1170" s="107">
        <f>COUNTA(G1170:Z1170)*0.5</f>
        <v>4.5</v>
      </c>
      <c r="E1170" s="107">
        <v>294</v>
      </c>
      <c r="F1170" s="107" t="s">
        <v>263</v>
      </c>
      <c r="G1170" s="178">
        <v>44169</v>
      </c>
      <c r="H1170" s="178">
        <v>44169</v>
      </c>
      <c r="I1170" s="178">
        <v>44172</v>
      </c>
      <c r="J1170" s="178">
        <v>44174</v>
      </c>
      <c r="K1170" s="178">
        <v>44176</v>
      </c>
      <c r="L1170" s="178">
        <v>44179</v>
      </c>
      <c r="M1170" s="178">
        <v>44181</v>
      </c>
      <c r="N1170" s="178">
        <v>44183</v>
      </c>
      <c r="O1170" s="178">
        <v>44186</v>
      </c>
      <c r="AA1170" s="166">
        <v>44203</v>
      </c>
      <c r="AC1170" s="107">
        <f>22/43*100</f>
        <v>51.162790697674424</v>
      </c>
      <c r="AD1170" s="107">
        <v>703</v>
      </c>
      <c r="AE1170" s="107">
        <v>257.5</v>
      </c>
      <c r="AH1170" s="107"/>
    </row>
    <row r="1171" spans="1:35" ht="15.75" hidden="1" customHeight="1">
      <c r="A1171" s="241" t="s">
        <v>1414</v>
      </c>
      <c r="B1171" s="226">
        <v>44169</v>
      </c>
      <c r="C1171" s="230" t="s">
        <v>355</v>
      </c>
      <c r="D1171" s="107">
        <f>COUNTA(G1171:Z1171)*0.5</f>
        <v>4.5</v>
      </c>
      <c r="E1171" s="107" t="s">
        <v>54</v>
      </c>
      <c r="F1171" s="107" t="s">
        <v>323</v>
      </c>
      <c r="G1171" s="178">
        <v>44169</v>
      </c>
      <c r="H1171" s="178">
        <v>44169</v>
      </c>
      <c r="I1171" s="178">
        <v>44172</v>
      </c>
      <c r="J1171" s="178">
        <v>44174</v>
      </c>
      <c r="K1171" s="178">
        <v>44176</v>
      </c>
      <c r="L1171" s="178">
        <v>44179</v>
      </c>
      <c r="M1171" s="178">
        <v>44181</v>
      </c>
      <c r="N1171" s="178">
        <v>44183</v>
      </c>
      <c r="O1171" s="178">
        <v>44186</v>
      </c>
      <c r="AA1171" s="166">
        <v>44203</v>
      </c>
      <c r="AH1171" s="107"/>
    </row>
    <row r="1172" spans="1:35" ht="15.75" hidden="1" customHeight="1">
      <c r="A1172" s="241" t="s">
        <v>1415</v>
      </c>
      <c r="B1172" s="226">
        <v>44169</v>
      </c>
      <c r="C1172" s="273">
        <v>10657.41</v>
      </c>
      <c r="D1172" s="107">
        <f>COUNTA(G1172:Z1172)*0.5</f>
        <v>5.5</v>
      </c>
      <c r="E1172" s="107">
        <v>295</v>
      </c>
      <c r="F1172" s="107" t="s">
        <v>263</v>
      </c>
      <c r="G1172" s="178">
        <v>44169</v>
      </c>
      <c r="H1172" s="178">
        <v>44169</v>
      </c>
      <c r="I1172" s="178">
        <v>44172</v>
      </c>
      <c r="J1172" s="178">
        <v>44174</v>
      </c>
      <c r="K1172" s="178">
        <v>44176</v>
      </c>
      <c r="L1172" s="178">
        <v>44179</v>
      </c>
      <c r="M1172" s="178">
        <v>44181</v>
      </c>
      <c r="N1172" s="178">
        <v>44183</v>
      </c>
      <c r="O1172" s="178">
        <v>44186</v>
      </c>
      <c r="P1172" s="178">
        <v>44188</v>
      </c>
      <c r="Q1172" s="178">
        <v>44193</v>
      </c>
      <c r="AA1172" s="166">
        <v>44201</v>
      </c>
      <c r="AC1172" s="107">
        <f>20/38*100</f>
        <v>52.631578947368418</v>
      </c>
      <c r="AD1172" s="107">
        <v>693</v>
      </c>
      <c r="AE1172" s="107">
        <v>301.5</v>
      </c>
      <c r="AH1172" s="108">
        <f>(AD1172-AF1172)/(D1172*$K$1*2)%</f>
        <v>11.454545454545455</v>
      </c>
      <c r="AI1172" s="108">
        <f>(AE1172+AF1172)/(D1172*$K$1*2)%</f>
        <v>4.9834710743801649</v>
      </c>
    </row>
    <row r="1173" spans="1:35" ht="15.75" hidden="1" customHeight="1">
      <c r="A1173" s="241" t="s">
        <v>1416</v>
      </c>
      <c r="B1173" s="226">
        <v>44169</v>
      </c>
      <c r="C1173" s="273">
        <v>10657.41</v>
      </c>
      <c r="D1173" s="107">
        <f>COUNTA(G1173:Z1173)*0.5</f>
        <v>5.5</v>
      </c>
      <c r="E1173" s="107">
        <v>295</v>
      </c>
      <c r="F1173" s="107" t="s">
        <v>263</v>
      </c>
      <c r="G1173" s="178">
        <v>44169</v>
      </c>
      <c r="H1173" s="178">
        <v>44169</v>
      </c>
      <c r="I1173" s="178">
        <v>44172</v>
      </c>
      <c r="J1173" s="178">
        <v>44174</v>
      </c>
      <c r="K1173" s="178">
        <v>44176</v>
      </c>
      <c r="L1173" s="178">
        <v>44179</v>
      </c>
      <c r="M1173" s="178">
        <v>44181</v>
      </c>
      <c r="N1173" s="178">
        <v>44183</v>
      </c>
      <c r="O1173" s="178">
        <v>44186</v>
      </c>
      <c r="P1173" s="178">
        <v>44188</v>
      </c>
      <c r="Q1173" s="178">
        <v>44193</v>
      </c>
      <c r="AA1173" s="166">
        <v>44201</v>
      </c>
      <c r="AH1173" s="108">
        <f>(AD1173-AF1173)/(D1173*$K$1*2)%</f>
        <v>0</v>
      </c>
      <c r="AI1173" s="108">
        <f>(AE1173+AF1173)/(D1173*$K$1*2)%</f>
        <v>0</v>
      </c>
    </row>
    <row r="1174" spans="1:35" ht="15.75" hidden="1" customHeight="1">
      <c r="A1174" s="241" t="s">
        <v>1417</v>
      </c>
      <c r="B1174" s="226">
        <v>44169</v>
      </c>
      <c r="C1174" s="273">
        <v>10657.41</v>
      </c>
      <c r="D1174" s="107">
        <f>COUNTA(G1174:Z1174)*0.5</f>
        <v>5.5</v>
      </c>
      <c r="E1174" s="107">
        <v>295</v>
      </c>
      <c r="F1174" s="107" t="s">
        <v>263</v>
      </c>
      <c r="G1174" s="178">
        <v>44169</v>
      </c>
      <c r="H1174" s="178">
        <v>44169</v>
      </c>
      <c r="I1174" s="178">
        <v>44172</v>
      </c>
      <c r="J1174" s="178">
        <v>44174</v>
      </c>
      <c r="K1174" s="178">
        <v>44176</v>
      </c>
      <c r="L1174" s="178">
        <v>44179</v>
      </c>
      <c r="M1174" s="178">
        <v>44181</v>
      </c>
      <c r="N1174" s="178">
        <v>44183</v>
      </c>
      <c r="O1174" s="178">
        <v>44186</v>
      </c>
      <c r="P1174" s="178">
        <v>44188</v>
      </c>
      <c r="Q1174" s="178">
        <v>44193</v>
      </c>
      <c r="AA1174" s="166">
        <v>44201</v>
      </c>
      <c r="AC1174" s="107">
        <f>22/28*100</f>
        <v>78.571428571428569</v>
      </c>
      <c r="AD1174" s="107">
        <v>800</v>
      </c>
      <c r="AE1174" s="107">
        <v>322.5</v>
      </c>
      <c r="AH1174" s="108">
        <f>(AD1174-AF1174)/(D1174*$K$1*2)%</f>
        <v>13.223140495867769</v>
      </c>
      <c r="AI1174" s="108">
        <f>(AE1174+AF1174)/(D1174*$K$1*2)%</f>
        <v>5.330578512396694</v>
      </c>
    </row>
    <row r="1175" spans="1:35" ht="15.75" hidden="1" customHeight="1">
      <c r="A1175" s="241" t="s">
        <v>1418</v>
      </c>
      <c r="B1175" s="226">
        <v>44169</v>
      </c>
      <c r="C1175" s="273">
        <v>10657.41</v>
      </c>
      <c r="D1175" s="107">
        <f>COUNTA(G1175:Z1175)*0.5</f>
        <v>5.5</v>
      </c>
      <c r="E1175" s="107">
        <v>295</v>
      </c>
      <c r="F1175" s="107" t="s">
        <v>263</v>
      </c>
      <c r="G1175" s="178">
        <v>44169</v>
      </c>
      <c r="H1175" s="178">
        <v>44169</v>
      </c>
      <c r="I1175" s="178">
        <v>44172</v>
      </c>
      <c r="J1175" s="178">
        <v>44174</v>
      </c>
      <c r="K1175" s="178">
        <v>44176</v>
      </c>
      <c r="L1175" s="178">
        <v>44179</v>
      </c>
      <c r="M1175" s="178">
        <v>44181</v>
      </c>
      <c r="N1175" s="178">
        <v>44183</v>
      </c>
      <c r="O1175" s="178">
        <v>44186</v>
      </c>
      <c r="P1175" s="178">
        <v>44188</v>
      </c>
      <c r="Q1175" s="178">
        <v>44193</v>
      </c>
      <c r="AA1175" s="166">
        <v>44201</v>
      </c>
      <c r="AH1175" s="108">
        <f>(AD1175-AF1175)/(D1175*$K$1*2)%</f>
        <v>0</v>
      </c>
      <c r="AI1175" s="108">
        <f>(AE1175+AF1175)/(D1175*$K$1*2)%</f>
        <v>0</v>
      </c>
    </row>
    <row r="1176" spans="1:35" ht="15.75" hidden="1" customHeight="1">
      <c r="A1176" s="241" t="s">
        <v>1419</v>
      </c>
      <c r="B1176" s="226">
        <v>44169</v>
      </c>
      <c r="C1176" s="273">
        <v>10657.41</v>
      </c>
      <c r="D1176" s="107">
        <f>COUNTA(G1176:Z1176)*0.5</f>
        <v>5.5</v>
      </c>
      <c r="E1176" s="107">
        <v>295</v>
      </c>
      <c r="F1176" s="107" t="s">
        <v>263</v>
      </c>
      <c r="G1176" s="178">
        <v>44169</v>
      </c>
      <c r="H1176" s="178">
        <v>44169</v>
      </c>
      <c r="I1176" s="178">
        <v>44172</v>
      </c>
      <c r="J1176" s="178">
        <v>44174</v>
      </c>
      <c r="K1176" s="178">
        <v>44176</v>
      </c>
      <c r="L1176" s="178">
        <v>44179</v>
      </c>
      <c r="M1176" s="178">
        <v>44181</v>
      </c>
      <c r="N1176" s="178">
        <v>44183</v>
      </c>
      <c r="O1176" s="178">
        <v>44186</v>
      </c>
      <c r="P1176" s="178">
        <v>44188</v>
      </c>
      <c r="Q1176" s="178">
        <v>44193</v>
      </c>
      <c r="AA1176" s="166">
        <v>44201</v>
      </c>
      <c r="AH1176" s="108">
        <f>(AD1176-AF1176)/(D1176*$K$1*2)%</f>
        <v>0</v>
      </c>
      <c r="AI1176" s="108">
        <f>(AE1176+AF1176)/(D1176*$K$1*2)%</f>
        <v>0</v>
      </c>
    </row>
    <row r="1177" spans="1:35" ht="15.75" hidden="1" customHeight="1">
      <c r="A1177" s="241" t="s">
        <v>1420</v>
      </c>
      <c r="B1177" s="226">
        <v>44169</v>
      </c>
      <c r="C1177" s="273">
        <v>10657.41</v>
      </c>
      <c r="D1177" s="107">
        <f>COUNTA(G1177:Z1177)*0.5</f>
        <v>5.5</v>
      </c>
      <c r="E1177" s="107">
        <v>295</v>
      </c>
      <c r="F1177" s="107" t="s">
        <v>263</v>
      </c>
      <c r="G1177" s="178">
        <v>44169</v>
      </c>
      <c r="H1177" s="178">
        <v>44169</v>
      </c>
      <c r="I1177" s="178">
        <v>44172</v>
      </c>
      <c r="J1177" s="178">
        <v>44174</v>
      </c>
      <c r="K1177" s="178">
        <v>44176</v>
      </c>
      <c r="L1177" s="178">
        <v>44179</v>
      </c>
      <c r="M1177" s="178">
        <v>44181</v>
      </c>
      <c r="N1177" s="178">
        <v>44183</v>
      </c>
      <c r="O1177" s="178">
        <v>44186</v>
      </c>
      <c r="P1177" s="178">
        <v>44188</v>
      </c>
      <c r="Q1177" s="178">
        <v>44193</v>
      </c>
      <c r="AA1177" s="166">
        <v>44201</v>
      </c>
      <c r="AH1177" s="108">
        <f>(AD1177-AF1177)/(D1177*$K$1*2)%</f>
        <v>0</v>
      </c>
      <c r="AI1177" s="108">
        <f>(AE1177+AF1177)/(D1177*$K$1*2)%</f>
        <v>0</v>
      </c>
    </row>
    <row r="1178" spans="1:35" ht="15.75" hidden="1" customHeight="1">
      <c r="A1178" s="241" t="s">
        <v>1421</v>
      </c>
      <c r="B1178" s="226">
        <v>44169</v>
      </c>
      <c r="C1178" s="273">
        <v>10657.41</v>
      </c>
      <c r="D1178" s="107">
        <f>COUNTA(G1178:Z1178)*0.5</f>
        <v>5.5</v>
      </c>
      <c r="E1178" s="107">
        <v>295</v>
      </c>
      <c r="F1178" s="107" t="s">
        <v>263</v>
      </c>
      <c r="G1178" s="178">
        <v>44169</v>
      </c>
      <c r="H1178" s="178">
        <v>44169</v>
      </c>
      <c r="I1178" s="178">
        <v>44172</v>
      </c>
      <c r="J1178" s="178">
        <v>44174</v>
      </c>
      <c r="K1178" s="178">
        <v>44176</v>
      </c>
      <c r="L1178" s="178">
        <v>44179</v>
      </c>
      <c r="M1178" s="178">
        <v>44181</v>
      </c>
      <c r="N1178" s="178">
        <v>44183</v>
      </c>
      <c r="O1178" s="178">
        <v>44186</v>
      </c>
      <c r="P1178" s="178">
        <v>44188</v>
      </c>
      <c r="Q1178" s="178">
        <v>44193</v>
      </c>
      <c r="AA1178" s="166">
        <v>44201</v>
      </c>
      <c r="AC1178" s="107">
        <f>26/49*100</f>
        <v>53.061224489795919</v>
      </c>
      <c r="AD1178" s="107">
        <v>790.5</v>
      </c>
      <c r="AE1178" s="107">
        <v>313</v>
      </c>
      <c r="AH1178" s="108">
        <f>(AD1178-AF1178)/(D1178*$K$1*2)%</f>
        <v>13.066115702479339</v>
      </c>
      <c r="AI1178" s="108">
        <f>(AE1178+AF1178)/(D1178*$K$1*2)%</f>
        <v>5.1735537190082646</v>
      </c>
    </row>
    <row r="1179" spans="1:35" ht="15.75" hidden="1" customHeight="1">
      <c r="A1179" s="241" t="s">
        <v>1422</v>
      </c>
      <c r="B1179" s="226">
        <v>44169</v>
      </c>
      <c r="C1179" s="273">
        <v>10657.41</v>
      </c>
      <c r="D1179" s="107">
        <f>COUNTA(G1179:Z1179)*0.5</f>
        <v>5.5</v>
      </c>
      <c r="E1179" s="107">
        <v>295</v>
      </c>
      <c r="F1179" s="107" t="s">
        <v>263</v>
      </c>
      <c r="G1179" s="178">
        <v>44169</v>
      </c>
      <c r="H1179" s="178">
        <v>44169</v>
      </c>
      <c r="I1179" s="178">
        <v>44172</v>
      </c>
      <c r="J1179" s="178">
        <v>44174</v>
      </c>
      <c r="K1179" s="178">
        <v>44176</v>
      </c>
      <c r="L1179" s="178">
        <v>44179</v>
      </c>
      <c r="M1179" s="178">
        <v>44181</v>
      </c>
      <c r="N1179" s="178">
        <v>44183</v>
      </c>
      <c r="O1179" s="178">
        <v>44186</v>
      </c>
      <c r="P1179" s="178">
        <v>44188</v>
      </c>
      <c r="Q1179" s="178">
        <v>44193</v>
      </c>
      <c r="AA1179" s="166">
        <v>44201</v>
      </c>
      <c r="AH1179" s="108">
        <f>(AD1179-AF1179)/(D1179*$K$1*2)%</f>
        <v>0</v>
      </c>
      <c r="AI1179" s="108">
        <f>(AE1179+AF1179)/(D1179*$K$1*2)%</f>
        <v>0</v>
      </c>
    </row>
    <row r="1180" spans="1:35" ht="15.75" hidden="1" customHeight="1">
      <c r="A1180" s="241" t="s">
        <v>1423</v>
      </c>
      <c r="B1180" s="226">
        <v>44169</v>
      </c>
      <c r="C1180" s="273">
        <v>10657.41</v>
      </c>
      <c r="D1180" s="107">
        <f>COUNTA(G1180:Z1180)*0.5</f>
        <v>5.5</v>
      </c>
      <c r="E1180" s="107">
        <v>295</v>
      </c>
      <c r="F1180" s="107" t="s">
        <v>263</v>
      </c>
      <c r="G1180" s="178">
        <v>44169</v>
      </c>
      <c r="H1180" s="178">
        <v>44169</v>
      </c>
      <c r="I1180" s="178">
        <v>44172</v>
      </c>
      <c r="J1180" s="178">
        <v>44174</v>
      </c>
      <c r="K1180" s="178">
        <v>44176</v>
      </c>
      <c r="L1180" s="178">
        <v>44179</v>
      </c>
      <c r="M1180" s="178">
        <v>44181</v>
      </c>
      <c r="N1180" s="178">
        <v>44183</v>
      </c>
      <c r="O1180" s="178">
        <v>44186</v>
      </c>
      <c r="P1180" s="178">
        <v>44188</v>
      </c>
      <c r="Q1180" s="178">
        <v>44193</v>
      </c>
      <c r="AA1180" s="166">
        <v>44201</v>
      </c>
      <c r="AH1180" s="108">
        <f>(AD1180-AF1180)/(D1180*$K$1*2)%</f>
        <v>0</v>
      </c>
      <c r="AI1180" s="108">
        <f>(AE1180+AF1180)/(D1180*$K$1*2)%</f>
        <v>0</v>
      </c>
    </row>
    <row r="1181" spans="1:35" ht="15.75" hidden="1" customHeight="1">
      <c r="A1181" s="241" t="s">
        <v>1424</v>
      </c>
      <c r="B1181" s="226">
        <v>44169</v>
      </c>
      <c r="C1181" s="273">
        <v>17066.38</v>
      </c>
      <c r="D1181" s="107">
        <f>COUNTA(G1181:Z1181)*0.5</f>
        <v>4</v>
      </c>
      <c r="E1181" s="107">
        <v>296</v>
      </c>
      <c r="F1181" s="107" t="s">
        <v>323</v>
      </c>
      <c r="G1181" s="178">
        <v>44169</v>
      </c>
      <c r="H1181" s="178">
        <v>44169</v>
      </c>
      <c r="I1181" s="178">
        <v>44172</v>
      </c>
      <c r="J1181" s="178">
        <v>44174</v>
      </c>
      <c r="K1181" s="178">
        <v>44176</v>
      </c>
      <c r="L1181" s="178">
        <v>44179</v>
      </c>
      <c r="M1181" s="178">
        <v>44181</v>
      </c>
      <c r="N1181" s="178">
        <v>44183</v>
      </c>
      <c r="AA1181" s="166">
        <v>44201</v>
      </c>
    </row>
    <row r="1182" spans="1:35" ht="15.75" hidden="1" customHeight="1">
      <c r="A1182" s="241" t="s">
        <v>1425</v>
      </c>
      <c r="B1182" s="226">
        <v>44169</v>
      </c>
      <c r="C1182" s="273">
        <v>18864.759999999998</v>
      </c>
      <c r="D1182" s="107">
        <f>COUNTA(G1182:Z1182)*0.5</f>
        <v>6</v>
      </c>
      <c r="E1182" s="107">
        <v>297</v>
      </c>
      <c r="F1182" s="107" t="s">
        <v>263</v>
      </c>
      <c r="G1182" s="178">
        <v>44169</v>
      </c>
      <c r="H1182" s="178">
        <v>44169</v>
      </c>
      <c r="I1182" s="178">
        <v>44172</v>
      </c>
      <c r="J1182" s="178">
        <v>44174</v>
      </c>
      <c r="K1182" s="178">
        <v>44176</v>
      </c>
      <c r="L1182" s="178">
        <v>44179</v>
      </c>
      <c r="M1182" s="178">
        <v>44181</v>
      </c>
      <c r="N1182" s="178">
        <v>44183</v>
      </c>
      <c r="O1182" s="178">
        <v>44186</v>
      </c>
      <c r="P1182" s="178">
        <v>44188</v>
      </c>
      <c r="Q1182" s="178">
        <v>44193</v>
      </c>
      <c r="R1182" s="178">
        <v>44195</v>
      </c>
    </row>
    <row r="1183" spans="1:35" ht="15.75" hidden="1" customHeight="1">
      <c r="A1183" s="241" t="s">
        <v>1426</v>
      </c>
      <c r="B1183" s="226">
        <v>44169</v>
      </c>
      <c r="C1183" s="230" t="s">
        <v>355</v>
      </c>
      <c r="D1183" s="107">
        <f>COUNTA(G1183:Z1183)*0.5</f>
        <v>4.5</v>
      </c>
      <c r="E1183" s="107" t="s">
        <v>54</v>
      </c>
      <c r="F1183" s="107" t="s">
        <v>263</v>
      </c>
      <c r="G1183" s="178">
        <v>44169</v>
      </c>
      <c r="H1183" s="178">
        <v>44169</v>
      </c>
      <c r="I1183" s="178">
        <v>44172</v>
      </c>
      <c r="J1183" s="178">
        <v>44174</v>
      </c>
      <c r="K1183" s="178">
        <v>44176</v>
      </c>
      <c r="L1183" s="178">
        <v>44179</v>
      </c>
      <c r="M1183" s="178">
        <v>44181</v>
      </c>
      <c r="N1183" s="178">
        <v>44183</v>
      </c>
      <c r="O1183" s="178">
        <v>44186</v>
      </c>
      <c r="AA1183" s="166">
        <v>44194</v>
      </c>
      <c r="AC1183" s="107">
        <f>7/11</f>
        <v>0.63636363636363635</v>
      </c>
      <c r="AD1183" s="107">
        <f>766</f>
        <v>766</v>
      </c>
      <c r="AE1183" s="107">
        <v>365</v>
      </c>
      <c r="AH1183" s="108">
        <f>(AD1183-AF1183)/(D1183*$K$1*2)%</f>
        <v>15.474747474747474</v>
      </c>
      <c r="AI1183" s="108">
        <f>(AE1183+AF1183)/(D1183*$K$1*2)%</f>
        <v>7.3737373737373737</v>
      </c>
    </row>
    <row r="1184" spans="1:35" ht="15.75" hidden="1" customHeight="1">
      <c r="A1184" s="241" t="s">
        <v>1427</v>
      </c>
      <c r="B1184" s="226">
        <v>44174</v>
      </c>
      <c r="C1184" s="230">
        <v>10497.6</v>
      </c>
      <c r="D1184" s="107">
        <f t="shared" ref="D1184:D1247" si="11">COUNTA(G1184:Z1184)*0.5</f>
        <v>4.5</v>
      </c>
      <c r="E1184" s="107">
        <v>298</v>
      </c>
      <c r="F1184" s="107" t="s">
        <v>263</v>
      </c>
      <c r="G1184" s="178">
        <v>44174</v>
      </c>
      <c r="H1184" s="178">
        <v>44174</v>
      </c>
      <c r="I1184" s="178">
        <v>44179</v>
      </c>
      <c r="J1184" s="178">
        <v>44181</v>
      </c>
      <c r="K1184" s="178">
        <v>44183</v>
      </c>
      <c r="L1184" s="178">
        <v>44186</v>
      </c>
      <c r="M1184" s="178">
        <v>44188</v>
      </c>
      <c r="N1184" s="178">
        <v>44193</v>
      </c>
      <c r="O1184" s="178">
        <v>44195</v>
      </c>
      <c r="AA1184" s="166">
        <v>44209</v>
      </c>
    </row>
    <row r="1185" spans="1:35" ht="15.75" hidden="1" customHeight="1">
      <c r="A1185" s="241" t="s">
        <v>1428</v>
      </c>
      <c r="B1185" s="226">
        <v>44174</v>
      </c>
      <c r="C1185" s="230">
        <v>10497.6</v>
      </c>
      <c r="D1185" s="107">
        <f t="shared" si="11"/>
        <v>4</v>
      </c>
      <c r="E1185" s="107">
        <v>298</v>
      </c>
      <c r="F1185" s="107" t="s">
        <v>263</v>
      </c>
      <c r="G1185" s="178">
        <v>44174</v>
      </c>
      <c r="H1185" s="178">
        <v>44174</v>
      </c>
      <c r="I1185" s="178">
        <v>44179</v>
      </c>
      <c r="J1185" s="178">
        <v>44181</v>
      </c>
      <c r="K1185" s="178">
        <v>44183</v>
      </c>
      <c r="L1185" s="178">
        <v>44186</v>
      </c>
      <c r="M1185" s="178">
        <v>44188</v>
      </c>
      <c r="N1185" s="178">
        <v>44193</v>
      </c>
      <c r="AA1185" s="166">
        <v>44209</v>
      </c>
    </row>
    <row r="1186" spans="1:35" ht="15.75" hidden="1" customHeight="1">
      <c r="A1186" s="241" t="s">
        <v>1429</v>
      </c>
      <c r="B1186" s="226">
        <v>44174</v>
      </c>
      <c r="C1186" s="230">
        <v>10497.6</v>
      </c>
      <c r="D1186" s="107">
        <f t="shared" si="11"/>
        <v>4.5</v>
      </c>
      <c r="E1186" s="107">
        <v>298</v>
      </c>
      <c r="F1186" s="107" t="s">
        <v>263</v>
      </c>
      <c r="G1186" s="178">
        <v>44174</v>
      </c>
      <c r="H1186" s="178">
        <v>44174</v>
      </c>
      <c r="I1186" s="178">
        <v>44179</v>
      </c>
      <c r="J1186" s="178">
        <v>44181</v>
      </c>
      <c r="K1186" s="178">
        <v>44183</v>
      </c>
      <c r="L1186" s="178">
        <v>44186</v>
      </c>
      <c r="M1186" s="178">
        <v>44188</v>
      </c>
      <c r="N1186" s="178">
        <v>44193</v>
      </c>
      <c r="O1186" s="178">
        <v>44195</v>
      </c>
      <c r="AA1186" s="166">
        <v>44209</v>
      </c>
    </row>
    <row r="1187" spans="1:35" ht="15.75" hidden="1" customHeight="1">
      <c r="A1187" s="241" t="s">
        <v>1430</v>
      </c>
      <c r="B1187" s="226">
        <v>44174</v>
      </c>
      <c r="C1187" s="230">
        <v>10497.6</v>
      </c>
      <c r="D1187" s="107">
        <f t="shared" si="11"/>
        <v>4.5</v>
      </c>
      <c r="E1187" s="107">
        <v>298</v>
      </c>
      <c r="F1187" s="107" t="s">
        <v>263</v>
      </c>
      <c r="G1187" s="178">
        <v>44174</v>
      </c>
      <c r="H1187" s="178">
        <v>44174</v>
      </c>
      <c r="I1187" s="178">
        <v>44179</v>
      </c>
      <c r="J1187" s="178">
        <v>44181</v>
      </c>
      <c r="K1187" s="178">
        <v>44183</v>
      </c>
      <c r="L1187" s="178">
        <v>44186</v>
      </c>
      <c r="M1187" s="178">
        <v>44188</v>
      </c>
      <c r="N1187" s="178">
        <v>44193</v>
      </c>
      <c r="O1187" s="178">
        <v>44195</v>
      </c>
      <c r="AA1187" s="166">
        <v>44209</v>
      </c>
    </row>
    <row r="1188" spans="1:35" ht="15.75" hidden="1" customHeight="1">
      <c r="A1188" s="241" t="s">
        <v>1431</v>
      </c>
      <c r="B1188" s="226">
        <v>44174</v>
      </c>
      <c r="C1188" s="230">
        <v>10497.6</v>
      </c>
      <c r="D1188" s="107">
        <f t="shared" si="11"/>
        <v>4.5</v>
      </c>
      <c r="E1188" s="107">
        <v>298</v>
      </c>
      <c r="F1188" s="107" t="s">
        <v>263</v>
      </c>
      <c r="G1188" s="178">
        <v>44174</v>
      </c>
      <c r="H1188" s="178">
        <v>44174</v>
      </c>
      <c r="I1188" s="178">
        <v>44179</v>
      </c>
      <c r="J1188" s="178">
        <v>44181</v>
      </c>
      <c r="K1188" s="178">
        <v>44183</v>
      </c>
      <c r="L1188" s="178">
        <v>44186</v>
      </c>
      <c r="M1188" s="178">
        <v>44188</v>
      </c>
      <c r="N1188" s="178">
        <v>44193</v>
      </c>
      <c r="O1188" s="178">
        <v>44195</v>
      </c>
      <c r="AA1188" s="166">
        <v>44209</v>
      </c>
    </row>
    <row r="1189" spans="1:35" ht="15.75" hidden="1" customHeight="1">
      <c r="A1189" s="241" t="s">
        <v>1432</v>
      </c>
      <c r="B1189" s="226">
        <v>44174</v>
      </c>
      <c r="C1189" s="230">
        <v>10497.6</v>
      </c>
      <c r="D1189" s="107">
        <f t="shared" si="11"/>
        <v>4.5</v>
      </c>
      <c r="E1189" s="107">
        <v>298</v>
      </c>
      <c r="F1189" s="107" t="s">
        <v>263</v>
      </c>
      <c r="G1189" s="178">
        <v>44174</v>
      </c>
      <c r="H1189" s="178">
        <v>44174</v>
      </c>
      <c r="I1189" s="178">
        <v>44179</v>
      </c>
      <c r="J1189" s="178">
        <v>44181</v>
      </c>
      <c r="K1189" s="178">
        <v>44183</v>
      </c>
      <c r="L1189" s="178">
        <v>44186</v>
      </c>
      <c r="M1189" s="178">
        <v>44188</v>
      </c>
      <c r="N1189" s="178">
        <v>44193</v>
      </c>
      <c r="O1189" s="178">
        <v>44195</v>
      </c>
      <c r="AA1189" s="166">
        <v>44209</v>
      </c>
    </row>
    <row r="1190" spans="1:35" ht="15.75" hidden="1" customHeight="1">
      <c r="A1190" s="241" t="s">
        <v>1433</v>
      </c>
      <c r="B1190" s="226">
        <v>44174</v>
      </c>
      <c r="C1190" s="230">
        <v>10497.6</v>
      </c>
      <c r="D1190" s="107">
        <f>COUNTA(G1190:Z1190)*0.5</f>
        <v>4.5</v>
      </c>
      <c r="E1190" s="107">
        <v>298</v>
      </c>
      <c r="F1190" s="107" t="s">
        <v>263</v>
      </c>
      <c r="G1190" s="178">
        <v>44174</v>
      </c>
      <c r="H1190" s="178">
        <v>44174</v>
      </c>
      <c r="I1190" s="178">
        <v>44179</v>
      </c>
      <c r="J1190" s="178">
        <v>44181</v>
      </c>
      <c r="K1190" s="178">
        <v>44183</v>
      </c>
      <c r="L1190" s="178">
        <v>44186</v>
      </c>
      <c r="M1190" s="178">
        <v>44188</v>
      </c>
      <c r="N1190" s="178">
        <v>44193</v>
      </c>
      <c r="O1190" s="178">
        <v>44195</v>
      </c>
      <c r="AA1190" s="166">
        <v>44209</v>
      </c>
    </row>
    <row r="1191" spans="1:35" ht="15.75" hidden="1" customHeight="1">
      <c r="A1191" s="241" t="s">
        <v>1434</v>
      </c>
      <c r="B1191" s="226">
        <v>44174</v>
      </c>
      <c r="C1191" s="230">
        <v>10497.6</v>
      </c>
      <c r="D1191" s="107">
        <f t="shared" si="11"/>
        <v>4</v>
      </c>
      <c r="E1191" s="107">
        <v>298</v>
      </c>
      <c r="F1191" s="107" t="s">
        <v>323</v>
      </c>
      <c r="G1191" s="178">
        <v>44174</v>
      </c>
      <c r="H1191" s="178">
        <v>44174</v>
      </c>
      <c r="I1191" s="178">
        <v>44179</v>
      </c>
      <c r="J1191" s="178">
        <v>44181</v>
      </c>
      <c r="K1191" s="178">
        <v>44183</v>
      </c>
      <c r="L1191" s="178">
        <v>44186</v>
      </c>
      <c r="M1191" s="178">
        <v>44188</v>
      </c>
      <c r="N1191" s="178">
        <v>44193</v>
      </c>
    </row>
    <row r="1192" spans="1:35" ht="15.75" hidden="1" customHeight="1">
      <c r="A1192" s="241" t="s">
        <v>1435</v>
      </c>
      <c r="B1192" s="226">
        <v>44174</v>
      </c>
      <c r="C1192" s="230">
        <v>10497.6</v>
      </c>
      <c r="D1192" s="107">
        <f t="shared" si="11"/>
        <v>4</v>
      </c>
      <c r="E1192" s="107">
        <v>298</v>
      </c>
      <c r="F1192" s="107" t="s">
        <v>323</v>
      </c>
      <c r="G1192" s="178">
        <v>44174</v>
      </c>
      <c r="H1192" s="178">
        <v>44174</v>
      </c>
      <c r="I1192" s="178">
        <v>44179</v>
      </c>
      <c r="J1192" s="178">
        <v>44181</v>
      </c>
      <c r="K1192" s="178">
        <v>44183</v>
      </c>
      <c r="L1192" s="178">
        <v>44186</v>
      </c>
      <c r="M1192" s="178">
        <v>44188</v>
      </c>
      <c r="N1192" s="178">
        <v>44193</v>
      </c>
    </row>
    <row r="1193" spans="1:35" ht="15.75" hidden="1" customHeight="1">
      <c r="A1193" s="241" t="s">
        <v>1436</v>
      </c>
      <c r="B1193" s="226">
        <v>44174</v>
      </c>
      <c r="C1193" s="230">
        <v>10497.6</v>
      </c>
      <c r="D1193" s="107">
        <f t="shared" si="11"/>
        <v>4.5</v>
      </c>
      <c r="E1193" s="107">
        <v>298</v>
      </c>
      <c r="F1193" s="107" t="s">
        <v>263</v>
      </c>
      <c r="G1193" s="178">
        <v>44174</v>
      </c>
      <c r="H1193" s="178">
        <v>44174</v>
      </c>
      <c r="I1193" s="178">
        <v>44179</v>
      </c>
      <c r="J1193" s="178">
        <v>44181</v>
      </c>
      <c r="K1193" s="178">
        <v>44183</v>
      </c>
      <c r="L1193" s="178">
        <v>44186</v>
      </c>
      <c r="M1193" s="178">
        <v>44188</v>
      </c>
      <c r="N1193" s="178">
        <v>44193</v>
      </c>
      <c r="O1193" s="178">
        <v>44195</v>
      </c>
      <c r="AA1193" s="166">
        <v>44209</v>
      </c>
    </row>
    <row r="1194" spans="1:35" ht="15.75" hidden="1" customHeight="1">
      <c r="A1194" s="241" t="s">
        <v>1437</v>
      </c>
      <c r="B1194" s="226">
        <v>44174</v>
      </c>
      <c r="C1194" s="230">
        <v>10497.6</v>
      </c>
      <c r="D1194" s="107">
        <f t="shared" si="11"/>
        <v>4.5</v>
      </c>
      <c r="E1194" s="107">
        <v>298</v>
      </c>
      <c r="F1194" s="107" t="s">
        <v>263</v>
      </c>
      <c r="G1194" s="178">
        <v>44174</v>
      </c>
      <c r="H1194" s="178">
        <v>44174</v>
      </c>
      <c r="I1194" s="178">
        <v>44179</v>
      </c>
      <c r="J1194" s="178">
        <v>44181</v>
      </c>
      <c r="K1194" s="178">
        <v>44183</v>
      </c>
      <c r="L1194" s="178">
        <v>44186</v>
      </c>
      <c r="M1194" s="178">
        <v>44188</v>
      </c>
      <c r="N1194" s="178">
        <v>44193</v>
      </c>
      <c r="O1194" s="178">
        <v>44195</v>
      </c>
      <c r="AA1194" s="166">
        <v>44209</v>
      </c>
    </row>
    <row r="1195" spans="1:35" ht="15.75" hidden="1" customHeight="1">
      <c r="A1195" s="241" t="s">
        <v>1438</v>
      </c>
      <c r="B1195" s="226">
        <v>44174</v>
      </c>
      <c r="C1195" s="230">
        <v>13599</v>
      </c>
      <c r="D1195" s="107">
        <f t="shared" si="11"/>
        <v>3.5</v>
      </c>
      <c r="E1195" s="107">
        <v>299</v>
      </c>
      <c r="F1195" s="107" t="s">
        <v>323</v>
      </c>
      <c r="G1195" s="178">
        <v>44174</v>
      </c>
      <c r="H1195" s="178">
        <v>44174</v>
      </c>
      <c r="I1195" s="178">
        <v>44179</v>
      </c>
      <c r="J1195" s="178">
        <v>44181</v>
      </c>
      <c r="K1195" s="178">
        <v>44183</v>
      </c>
      <c r="L1195" s="178">
        <v>44186</v>
      </c>
      <c r="M1195" s="178">
        <v>44193</v>
      </c>
    </row>
    <row r="1196" spans="1:35" ht="15.75" hidden="1" customHeight="1">
      <c r="A1196" s="241" t="s">
        <v>1439</v>
      </c>
      <c r="B1196" s="226">
        <v>44174</v>
      </c>
      <c r="C1196" s="230">
        <v>13599</v>
      </c>
      <c r="D1196" s="107">
        <f t="shared" si="11"/>
        <v>3.5</v>
      </c>
      <c r="E1196" s="107">
        <v>299</v>
      </c>
      <c r="F1196" s="107" t="s">
        <v>323</v>
      </c>
      <c r="G1196" s="178">
        <v>44174</v>
      </c>
      <c r="H1196" s="178">
        <v>44174</v>
      </c>
      <c r="I1196" s="178">
        <v>44179</v>
      </c>
      <c r="J1196" s="178">
        <v>44181</v>
      </c>
      <c r="K1196" s="178">
        <v>44183</v>
      </c>
      <c r="L1196" s="178">
        <v>44186</v>
      </c>
      <c r="M1196" s="178">
        <v>44193</v>
      </c>
    </row>
    <row r="1197" spans="1:35" ht="15.75" hidden="1" customHeight="1">
      <c r="A1197" s="241" t="s">
        <v>1440</v>
      </c>
      <c r="B1197" s="226">
        <v>44174</v>
      </c>
      <c r="C1197" s="230" t="s">
        <v>54</v>
      </c>
      <c r="D1197" s="107">
        <f t="shared" si="11"/>
        <v>4</v>
      </c>
      <c r="E1197" s="107" t="s">
        <v>54</v>
      </c>
      <c r="F1197" s="107" t="s">
        <v>263</v>
      </c>
      <c r="G1197" s="178">
        <v>44174</v>
      </c>
      <c r="H1197" s="178">
        <v>44174</v>
      </c>
      <c r="I1197" s="178">
        <v>44179</v>
      </c>
      <c r="J1197" s="178">
        <v>44181</v>
      </c>
      <c r="K1197" s="178">
        <v>44183</v>
      </c>
      <c r="L1197" s="178">
        <v>44186</v>
      </c>
      <c r="M1197" s="178">
        <v>44193</v>
      </c>
      <c r="N1197" s="178">
        <v>44195</v>
      </c>
      <c r="AA1197" s="166">
        <v>44203</v>
      </c>
      <c r="AH1197" s="108">
        <f>(AD1197-AF1197)/(D1197*$K$1*2)%</f>
        <v>0</v>
      </c>
      <c r="AI1197" s="108">
        <f>(AE1197+AF1197)/(D1197*$K$1*2)%</f>
        <v>0</v>
      </c>
    </row>
    <row r="1198" spans="1:35" ht="15.75" hidden="1" customHeight="1">
      <c r="A1198" s="241" t="s">
        <v>1441</v>
      </c>
      <c r="B1198" s="226">
        <v>44174</v>
      </c>
      <c r="C1198" s="230" t="s">
        <v>54</v>
      </c>
      <c r="D1198" s="107">
        <f t="shared" si="11"/>
        <v>4.5</v>
      </c>
      <c r="E1198" s="107" t="s">
        <v>54</v>
      </c>
      <c r="F1198" s="107" t="s">
        <v>263</v>
      </c>
      <c r="G1198" s="178">
        <v>44174</v>
      </c>
      <c r="H1198" s="178">
        <v>44174</v>
      </c>
      <c r="I1198" s="178">
        <v>44179</v>
      </c>
      <c r="J1198" s="178">
        <v>44181</v>
      </c>
      <c r="K1198" s="178">
        <v>44183</v>
      </c>
      <c r="L1198" s="178">
        <v>44186</v>
      </c>
      <c r="M1198" s="178">
        <v>44188</v>
      </c>
      <c r="N1198" s="178">
        <v>44193</v>
      </c>
      <c r="O1198" s="178">
        <v>44195</v>
      </c>
      <c r="AA1198" s="166">
        <v>44203</v>
      </c>
      <c r="AH1198" s="108">
        <f>(AD1198-AF1198)/(D1198*$K$1*2)%</f>
        <v>0</v>
      </c>
      <c r="AI1198" s="108">
        <f>(AE1198+AF1198)/(D1198*$K$1*2)%</f>
        <v>0</v>
      </c>
    </row>
    <row r="1199" spans="1:35" ht="15.75" hidden="1" customHeight="1">
      <c r="A1199" s="241" t="s">
        <v>1442</v>
      </c>
      <c r="B1199" s="226">
        <v>44174</v>
      </c>
      <c r="C1199" s="230">
        <v>10246.5</v>
      </c>
      <c r="D1199" s="107">
        <f t="shared" si="11"/>
        <v>4.5</v>
      </c>
      <c r="E1199" s="107">
        <v>301</v>
      </c>
      <c r="F1199" s="107" t="s">
        <v>263</v>
      </c>
      <c r="G1199" s="178">
        <v>44174</v>
      </c>
      <c r="H1199" s="178">
        <v>44174</v>
      </c>
      <c r="I1199" s="178">
        <v>44179</v>
      </c>
      <c r="J1199" s="178">
        <v>44181</v>
      </c>
      <c r="K1199" s="178">
        <v>44183</v>
      </c>
      <c r="L1199" s="178">
        <v>44186</v>
      </c>
      <c r="M1199" s="178">
        <v>44188</v>
      </c>
      <c r="N1199" s="178">
        <v>44193</v>
      </c>
      <c r="O1199" s="178">
        <v>44195</v>
      </c>
      <c r="AA1199" s="166">
        <v>44207</v>
      </c>
      <c r="AC1199" s="107">
        <f>25/35%</f>
        <v>71.428571428571431</v>
      </c>
      <c r="AD1199" s="107">
        <v>478</v>
      </c>
      <c r="AE1199" s="107">
        <v>264</v>
      </c>
    </row>
    <row r="1200" spans="1:35" ht="15.75" hidden="1" customHeight="1">
      <c r="A1200" s="241" t="s">
        <v>1443</v>
      </c>
      <c r="B1200" s="226">
        <v>44174</v>
      </c>
      <c r="C1200" s="230">
        <v>11772</v>
      </c>
      <c r="D1200" s="107">
        <f t="shared" si="11"/>
        <v>4.5</v>
      </c>
      <c r="E1200" s="107">
        <v>302</v>
      </c>
      <c r="F1200" s="107" t="s">
        <v>263</v>
      </c>
      <c r="G1200" s="178">
        <v>44174</v>
      </c>
      <c r="H1200" s="178">
        <v>44174</v>
      </c>
      <c r="I1200" s="178">
        <v>44179</v>
      </c>
      <c r="J1200" s="178">
        <v>44181</v>
      </c>
      <c r="K1200" s="178">
        <v>44183</v>
      </c>
      <c r="L1200" s="178">
        <v>44186</v>
      </c>
      <c r="M1200" s="178">
        <v>44188</v>
      </c>
      <c r="N1200" s="178">
        <v>44193</v>
      </c>
      <c r="O1200" s="178">
        <v>44195</v>
      </c>
      <c r="AA1200" s="166">
        <v>44207</v>
      </c>
      <c r="AC1200" s="107">
        <f>14/22%</f>
        <v>63.636363636363633</v>
      </c>
      <c r="AD1200" s="107">
        <v>296</v>
      </c>
      <c r="AE1200" s="107">
        <v>215</v>
      </c>
    </row>
    <row r="1201" spans="1:37" ht="15.75" hidden="1" customHeight="1">
      <c r="A1201" s="241" t="s">
        <v>1444</v>
      </c>
      <c r="B1201" s="226">
        <v>44174</v>
      </c>
      <c r="C1201" s="230">
        <v>11772</v>
      </c>
      <c r="D1201" s="107">
        <f t="shared" si="11"/>
        <v>4.5</v>
      </c>
      <c r="E1201" s="107">
        <v>302</v>
      </c>
      <c r="F1201" s="107" t="s">
        <v>263</v>
      </c>
      <c r="G1201" s="178">
        <v>44174</v>
      </c>
      <c r="H1201" s="178">
        <v>44174</v>
      </c>
      <c r="I1201" s="178">
        <v>44179</v>
      </c>
      <c r="J1201" s="178">
        <v>44181</v>
      </c>
      <c r="K1201" s="178">
        <v>44183</v>
      </c>
      <c r="L1201" s="178">
        <v>44186</v>
      </c>
      <c r="M1201" s="178">
        <v>44188</v>
      </c>
      <c r="N1201" s="178">
        <v>44193</v>
      </c>
      <c r="O1201" s="178">
        <v>44195</v>
      </c>
      <c r="AA1201" s="166">
        <v>44207</v>
      </c>
      <c r="AC1201" s="107">
        <f>14/19%</f>
        <v>73.684210526315795</v>
      </c>
      <c r="AD1201" s="107">
        <v>560</v>
      </c>
      <c r="AE1201" s="107">
        <v>265.5</v>
      </c>
    </row>
    <row r="1202" spans="1:37" ht="15.75" hidden="1" customHeight="1">
      <c r="A1202" s="241" t="s">
        <v>1445</v>
      </c>
      <c r="B1202" s="226">
        <v>44174</v>
      </c>
      <c r="C1202" s="230">
        <v>11772</v>
      </c>
      <c r="D1202" s="107">
        <f t="shared" si="11"/>
        <v>4.5</v>
      </c>
      <c r="E1202" s="107">
        <v>302</v>
      </c>
      <c r="F1202" s="107" t="s">
        <v>263</v>
      </c>
      <c r="G1202" s="178">
        <v>44174</v>
      </c>
      <c r="H1202" s="178">
        <v>44174</v>
      </c>
      <c r="I1202" s="178">
        <v>44179</v>
      </c>
      <c r="J1202" s="178">
        <v>44181</v>
      </c>
      <c r="K1202" s="178">
        <v>44183</v>
      </c>
      <c r="L1202" s="178">
        <v>44186</v>
      </c>
      <c r="M1202" s="178">
        <v>44188</v>
      </c>
      <c r="N1202" s="178">
        <v>44193</v>
      </c>
      <c r="O1202" s="178">
        <v>44195</v>
      </c>
      <c r="AA1202" s="166">
        <v>44207</v>
      </c>
      <c r="AC1202" s="107">
        <f>17/26%</f>
        <v>65.384615384615387</v>
      </c>
      <c r="AD1202" s="107">
        <v>528</v>
      </c>
      <c r="AE1202" s="107">
        <v>284</v>
      </c>
    </row>
    <row r="1203" spans="1:37" ht="15.75" hidden="1" customHeight="1">
      <c r="A1203" s="241" t="s">
        <v>1446</v>
      </c>
      <c r="B1203" s="226">
        <v>44174</v>
      </c>
      <c r="C1203" s="230">
        <v>12489</v>
      </c>
      <c r="D1203" s="107">
        <f t="shared" si="11"/>
        <v>4.5</v>
      </c>
      <c r="E1203" s="107">
        <v>300</v>
      </c>
      <c r="F1203" s="107" t="s">
        <v>263</v>
      </c>
      <c r="G1203" s="178">
        <v>44174</v>
      </c>
      <c r="H1203" s="178">
        <v>44174</v>
      </c>
      <c r="I1203" s="178">
        <v>44179</v>
      </c>
      <c r="J1203" s="178">
        <v>44181</v>
      </c>
      <c r="K1203" s="178">
        <v>44183</v>
      </c>
      <c r="L1203" s="178">
        <v>44186</v>
      </c>
      <c r="M1203" s="178">
        <v>44188</v>
      </c>
      <c r="N1203" s="178">
        <v>44193</v>
      </c>
      <c r="O1203" s="178">
        <v>44195</v>
      </c>
      <c r="AA1203" s="166">
        <v>44204</v>
      </c>
      <c r="AC1203" s="107">
        <f>21/34*100</f>
        <v>61.764705882352942</v>
      </c>
      <c r="AD1203" s="107">
        <v>797</v>
      </c>
      <c r="AE1203" s="107">
        <v>268</v>
      </c>
      <c r="AH1203" s="108">
        <f>(AD1203-AF1203)/(D1203*$K$1*2)%</f>
        <v>16.1010101010101</v>
      </c>
      <c r="AI1203" s="108">
        <f>(AE1203+AF1203)/(D1203*$K$1*2)%</f>
        <v>5.4141414141414144</v>
      </c>
    </row>
    <row r="1204" spans="1:37" ht="15.75" hidden="1" customHeight="1">
      <c r="A1204" s="241" t="s">
        <v>1447</v>
      </c>
      <c r="B1204" s="226">
        <v>44174</v>
      </c>
      <c r="C1204" s="230">
        <v>12489</v>
      </c>
      <c r="D1204" s="107">
        <f t="shared" si="11"/>
        <v>4.5</v>
      </c>
      <c r="E1204" s="107">
        <v>300</v>
      </c>
      <c r="F1204" s="107" t="s">
        <v>263</v>
      </c>
      <c r="G1204" s="178">
        <v>44174</v>
      </c>
      <c r="H1204" s="178">
        <v>44174</v>
      </c>
      <c r="I1204" s="178">
        <v>44179</v>
      </c>
      <c r="J1204" s="178">
        <v>44181</v>
      </c>
      <c r="K1204" s="178">
        <v>44183</v>
      </c>
      <c r="L1204" s="178">
        <v>44186</v>
      </c>
      <c r="M1204" s="178">
        <v>44188</v>
      </c>
      <c r="N1204" s="178">
        <v>44193</v>
      </c>
      <c r="O1204" s="178">
        <v>44195</v>
      </c>
      <c r="AA1204" s="166">
        <v>44204</v>
      </c>
      <c r="AC1204" s="107">
        <f>21/32%</f>
        <v>65.625</v>
      </c>
      <c r="AD1204" s="107">
        <v>691.5</v>
      </c>
      <c r="AE1204" s="107">
        <v>264.5</v>
      </c>
      <c r="AH1204" s="108">
        <f>(AD1204-AF1204)/(D1204*$K$1*2)%</f>
        <v>13.969696969696969</v>
      </c>
      <c r="AI1204" s="108">
        <f>(AE1204+AF1204)/(D1204*$K$1*2)%</f>
        <v>5.3434343434343434</v>
      </c>
    </row>
    <row r="1205" spans="1:37" ht="15.75" hidden="1" customHeight="1">
      <c r="A1205" s="241" t="s">
        <v>1448</v>
      </c>
      <c r="B1205" s="226">
        <v>44174</v>
      </c>
      <c r="C1205" s="230" t="s">
        <v>54</v>
      </c>
      <c r="D1205" s="107">
        <f t="shared" si="11"/>
        <v>3</v>
      </c>
      <c r="E1205" s="107" t="s">
        <v>54</v>
      </c>
      <c r="F1205" s="107" t="s">
        <v>263</v>
      </c>
      <c r="G1205" s="178">
        <v>44174</v>
      </c>
      <c r="H1205" s="178">
        <v>44174</v>
      </c>
      <c r="I1205" s="178">
        <v>44179</v>
      </c>
      <c r="J1205" s="178">
        <v>44181</v>
      </c>
      <c r="K1205" s="178">
        <v>44183</v>
      </c>
      <c r="L1205" s="178">
        <v>44188</v>
      </c>
      <c r="AA1205" s="166">
        <v>44204</v>
      </c>
      <c r="AH1205" s="108">
        <f>(AD1205-AF1205)/(D1205*$K$1*2)%</f>
        <v>0</v>
      </c>
      <c r="AI1205" s="108">
        <f>(AE1205+AF1205)/(D1205*$K$1*2)%</f>
        <v>0</v>
      </c>
    </row>
    <row r="1206" spans="1:37" ht="15.75" hidden="1" customHeight="1">
      <c r="A1206" s="244" t="s">
        <v>1449</v>
      </c>
      <c r="B1206" s="226">
        <v>44176</v>
      </c>
      <c r="C1206" s="230">
        <v>11462</v>
      </c>
      <c r="D1206" s="107">
        <f t="shared" si="11"/>
        <v>3.5</v>
      </c>
      <c r="E1206" s="107">
        <v>303</v>
      </c>
      <c r="F1206" s="107" t="s">
        <v>263</v>
      </c>
      <c r="G1206" s="178">
        <v>44176</v>
      </c>
      <c r="H1206" s="178">
        <v>44176</v>
      </c>
      <c r="I1206" s="178">
        <v>44181</v>
      </c>
      <c r="J1206" s="178">
        <v>44183</v>
      </c>
      <c r="K1206" s="178">
        <v>44186</v>
      </c>
      <c r="L1206" s="178">
        <v>44188</v>
      </c>
      <c r="M1206" s="178">
        <v>44193</v>
      </c>
      <c r="AA1206" s="166">
        <v>44204</v>
      </c>
      <c r="AC1206" s="107">
        <f>27/41%</f>
        <v>65.853658536585371</v>
      </c>
      <c r="AD1206" s="107">
        <v>409.5</v>
      </c>
      <c r="AE1206" s="107">
        <v>214</v>
      </c>
      <c r="AH1206" s="108">
        <f>(AD1206-AF1206)/(D1206*$K$1*2)%</f>
        <v>10.636363636363637</v>
      </c>
      <c r="AI1206" s="108">
        <f>(AE1206+AF1206)/(D1206*$K$1*2)%</f>
        <v>5.5584415584415581</v>
      </c>
    </row>
    <row r="1207" spans="1:37" ht="15.75" hidden="1" customHeight="1">
      <c r="A1207" s="244" t="s">
        <v>1450</v>
      </c>
      <c r="B1207" s="226">
        <v>44176</v>
      </c>
      <c r="C1207" s="230">
        <v>11462</v>
      </c>
      <c r="D1207" s="107">
        <f t="shared" si="11"/>
        <v>3.5</v>
      </c>
      <c r="E1207" s="107">
        <v>303</v>
      </c>
      <c r="F1207" s="107" t="s">
        <v>263</v>
      </c>
      <c r="G1207" s="178">
        <v>44176</v>
      </c>
      <c r="H1207" s="178">
        <v>44176</v>
      </c>
      <c r="I1207" s="178">
        <v>44181</v>
      </c>
      <c r="J1207" s="178">
        <v>44183</v>
      </c>
      <c r="K1207" s="178">
        <v>44186</v>
      </c>
      <c r="L1207" s="178">
        <v>44193</v>
      </c>
      <c r="M1207" s="178">
        <v>44195</v>
      </c>
      <c r="AA1207" s="166">
        <v>44204</v>
      </c>
      <c r="AH1207" s="108">
        <f>(AD1207-AF1207)/(D1207*$K$1*2)%</f>
        <v>0</v>
      </c>
      <c r="AI1207" s="108">
        <f>(AE1207+AF1207)/(D1207*$K$1*2)%</f>
        <v>0</v>
      </c>
    </row>
    <row r="1208" spans="1:37" ht="15.75" hidden="1" customHeight="1">
      <c r="A1208" s="244" t="s">
        <v>1451</v>
      </c>
      <c r="B1208" s="226">
        <v>44176</v>
      </c>
      <c r="C1208" s="230">
        <v>11462</v>
      </c>
      <c r="D1208" s="107">
        <f t="shared" si="11"/>
        <v>4</v>
      </c>
      <c r="E1208" s="107">
        <v>303</v>
      </c>
      <c r="F1208" s="107" t="s">
        <v>263</v>
      </c>
      <c r="G1208" s="178">
        <v>44176</v>
      </c>
      <c r="H1208" s="178">
        <v>44176</v>
      </c>
      <c r="I1208" s="178">
        <v>44181</v>
      </c>
      <c r="J1208" s="178">
        <v>44183</v>
      </c>
      <c r="K1208" s="178">
        <v>44186</v>
      </c>
      <c r="L1208" s="178">
        <v>44188</v>
      </c>
      <c r="M1208" s="178">
        <v>44193</v>
      </c>
      <c r="N1208" s="178">
        <v>44195</v>
      </c>
      <c r="AA1208" s="166">
        <v>44204</v>
      </c>
      <c r="AC1208" s="107">
        <f>20/26%</f>
        <v>76.92307692307692</v>
      </c>
      <c r="AD1208" s="107">
        <v>648.5</v>
      </c>
      <c r="AE1208" s="107">
        <v>246</v>
      </c>
      <c r="AH1208" s="108">
        <f>(AD1208-AF1208)/(D1208*$K$1*2)%</f>
        <v>14.738636363636363</v>
      </c>
      <c r="AI1208" s="108">
        <f>(AE1208+AF1208)/(D1208*$K$1*2)%</f>
        <v>5.5909090909090908</v>
      </c>
    </row>
    <row r="1209" spans="1:37" ht="15.75" hidden="1" customHeight="1">
      <c r="A1209" s="244" t="s">
        <v>1452</v>
      </c>
      <c r="B1209" s="226">
        <v>44176</v>
      </c>
      <c r="C1209" s="230">
        <v>11462</v>
      </c>
      <c r="D1209" s="107">
        <f t="shared" si="11"/>
        <v>4</v>
      </c>
      <c r="E1209" s="107">
        <v>303</v>
      </c>
      <c r="F1209" s="107" t="s">
        <v>263</v>
      </c>
      <c r="G1209" s="178">
        <v>44176</v>
      </c>
      <c r="H1209" s="178">
        <v>44176</v>
      </c>
      <c r="I1209" s="178">
        <v>44181</v>
      </c>
      <c r="J1209" s="178">
        <v>44183</v>
      </c>
      <c r="K1209" s="178">
        <v>44186</v>
      </c>
      <c r="L1209" s="178">
        <v>44188</v>
      </c>
      <c r="M1209" s="178">
        <v>44193</v>
      </c>
      <c r="N1209" s="178">
        <v>44195</v>
      </c>
      <c r="AA1209" s="166">
        <v>44204</v>
      </c>
      <c r="AH1209" s="108">
        <f>(AD1209-AF1209)/(D1209*$K$1*2)%</f>
        <v>0</v>
      </c>
      <c r="AI1209" s="108">
        <f>(AE1209+AF1209)/(D1209*$K$1*2)%</f>
        <v>0</v>
      </c>
      <c r="AK1209" s="107" t="s">
        <v>1453</v>
      </c>
    </row>
    <row r="1210" spans="1:37" ht="15.75" hidden="1" customHeight="1">
      <c r="A1210" s="244" t="s">
        <v>1454</v>
      </c>
      <c r="B1210" s="226">
        <v>44176</v>
      </c>
      <c r="C1210" s="230">
        <v>11462</v>
      </c>
      <c r="D1210" s="107">
        <f t="shared" si="11"/>
        <v>4</v>
      </c>
      <c r="E1210" s="107">
        <v>303</v>
      </c>
      <c r="F1210" s="107" t="s">
        <v>263</v>
      </c>
      <c r="G1210" s="178">
        <v>44176</v>
      </c>
      <c r="H1210" s="178">
        <v>44176</v>
      </c>
      <c r="I1210" s="178">
        <v>44181</v>
      </c>
      <c r="J1210" s="178">
        <v>44183</v>
      </c>
      <c r="K1210" s="178">
        <v>44186</v>
      </c>
      <c r="L1210" s="178">
        <v>44188</v>
      </c>
      <c r="M1210" s="178">
        <v>44193</v>
      </c>
      <c r="N1210" s="178">
        <v>44195</v>
      </c>
      <c r="AA1210" s="166">
        <v>44204</v>
      </c>
      <c r="AC1210" s="107">
        <f>19/30%</f>
        <v>63.333333333333336</v>
      </c>
      <c r="AD1210" s="107">
        <v>533</v>
      </c>
      <c r="AE1210" s="107">
        <v>216</v>
      </c>
      <c r="AH1210" s="108">
        <f>(AD1210-AF1210)/(D1210*$K$1*2)%</f>
        <v>12.113636363636363</v>
      </c>
      <c r="AI1210" s="108">
        <f>(AE1210+AF1210)/(D1210*$K$1*2)%</f>
        <v>4.9090909090909092</v>
      </c>
      <c r="AK1210" s="107" t="s">
        <v>1455</v>
      </c>
    </row>
    <row r="1211" spans="1:37" ht="15.75" hidden="1" customHeight="1">
      <c r="A1211" s="244" t="s">
        <v>1456</v>
      </c>
      <c r="B1211" s="226">
        <v>44176</v>
      </c>
      <c r="C1211" s="230" t="s">
        <v>54</v>
      </c>
      <c r="D1211" s="107">
        <f t="shared" si="11"/>
        <v>2.5</v>
      </c>
      <c r="E1211" s="107" t="s">
        <v>54</v>
      </c>
      <c r="F1211" s="107" t="s">
        <v>263</v>
      </c>
      <c r="G1211" s="178">
        <v>44176</v>
      </c>
      <c r="H1211" s="178">
        <v>44176</v>
      </c>
      <c r="I1211" s="178">
        <v>44181</v>
      </c>
      <c r="J1211" s="178">
        <v>44183</v>
      </c>
      <c r="K1211" s="178">
        <v>44186</v>
      </c>
      <c r="AA1211" s="166">
        <v>44204</v>
      </c>
      <c r="AH1211" s="108">
        <f>(AD1211-AF1211)/(D1211*$K$1*2)%</f>
        <v>0</v>
      </c>
      <c r="AI1211" s="108">
        <f>(AE1211+AF1211)/(D1211*$K$1*2)%</f>
        <v>0</v>
      </c>
      <c r="AK1211" s="107" t="s">
        <v>1457</v>
      </c>
    </row>
    <row r="1212" spans="1:37" ht="15.75" hidden="1" customHeight="1">
      <c r="A1212" s="244" t="s">
        <v>1458</v>
      </c>
      <c r="B1212" s="226">
        <v>44176</v>
      </c>
      <c r="C1212" s="230">
        <v>12052</v>
      </c>
      <c r="D1212" s="107">
        <f t="shared" si="11"/>
        <v>3</v>
      </c>
      <c r="E1212" s="107">
        <v>304</v>
      </c>
      <c r="F1212" s="107" t="s">
        <v>263</v>
      </c>
      <c r="G1212" s="178">
        <v>44176</v>
      </c>
      <c r="H1212" s="178">
        <v>44176</v>
      </c>
      <c r="I1212" s="178">
        <v>44181</v>
      </c>
      <c r="J1212" s="178">
        <v>44183</v>
      </c>
      <c r="K1212" s="178">
        <v>44186</v>
      </c>
      <c r="L1212" s="178">
        <v>44193</v>
      </c>
      <c r="AA1212" s="166">
        <v>44203</v>
      </c>
      <c r="AC1212" s="107">
        <f>19/41*100</f>
        <v>46.341463414634148</v>
      </c>
      <c r="AD1212" s="107">
        <v>467.5</v>
      </c>
      <c r="AE1212" s="107">
        <v>196</v>
      </c>
      <c r="AH1212" s="108">
        <f>(AD1212-AF1212)/(D1212*$K$1*2)%</f>
        <v>14.166666666666666</v>
      </c>
      <c r="AI1212" s="108">
        <f>(AE1212+AF1212)/(D1212*$K$1*2)%</f>
        <v>5.9393939393939394</v>
      </c>
    </row>
    <row r="1213" spans="1:37" ht="15.75" hidden="1" customHeight="1">
      <c r="A1213" s="244" t="s">
        <v>1459</v>
      </c>
      <c r="B1213" s="226">
        <v>44176</v>
      </c>
      <c r="C1213" s="230">
        <v>12052</v>
      </c>
      <c r="D1213" s="107">
        <f t="shared" si="11"/>
        <v>3</v>
      </c>
      <c r="E1213" s="107">
        <v>304</v>
      </c>
      <c r="F1213" s="107" t="s">
        <v>263</v>
      </c>
      <c r="G1213" s="178">
        <v>44176</v>
      </c>
      <c r="H1213" s="178">
        <v>44176</v>
      </c>
      <c r="I1213" s="178">
        <v>44181</v>
      </c>
      <c r="J1213" s="178">
        <v>44183</v>
      </c>
      <c r="K1213" s="178">
        <v>44186</v>
      </c>
      <c r="L1213" s="178">
        <v>44193</v>
      </c>
      <c r="AA1213" s="166">
        <v>44203</v>
      </c>
      <c r="AC1213" s="107">
        <f>17/40*100</f>
        <v>42.5</v>
      </c>
      <c r="AD1213" s="107">
        <v>578</v>
      </c>
      <c r="AE1213" s="107">
        <v>218</v>
      </c>
      <c r="AH1213" s="108">
        <f>(AD1213-AF1213)/(D1213*$K$1*2)%</f>
        <v>17.515151515151516</v>
      </c>
      <c r="AI1213" s="108">
        <f>(AE1213+AF1213)/(D1213*$K$1*2)%</f>
        <v>6.6060606060606064</v>
      </c>
    </row>
    <row r="1214" spans="1:37" ht="15.75" hidden="1" customHeight="1">
      <c r="A1214" s="244" t="s">
        <v>1460</v>
      </c>
      <c r="B1214" s="226">
        <v>44176</v>
      </c>
      <c r="C1214" s="230">
        <v>12052</v>
      </c>
      <c r="D1214" s="107">
        <f t="shared" si="11"/>
        <v>3</v>
      </c>
      <c r="E1214" s="107">
        <v>304</v>
      </c>
      <c r="F1214" s="107" t="s">
        <v>263</v>
      </c>
      <c r="G1214" s="178">
        <v>44176</v>
      </c>
      <c r="H1214" s="178">
        <v>44176</v>
      </c>
      <c r="I1214" s="178">
        <v>44181</v>
      </c>
      <c r="J1214" s="178">
        <v>44183</v>
      </c>
      <c r="K1214" s="178">
        <v>44186</v>
      </c>
      <c r="L1214" s="178">
        <v>44193</v>
      </c>
      <c r="AA1214" s="166">
        <v>44203</v>
      </c>
      <c r="AH1214" s="108">
        <f>(AD1214-AF1214)/(D1214*$K$1*2)%</f>
        <v>0</v>
      </c>
      <c r="AI1214" s="108">
        <f>(AE1214+AF1214)/(D1214*$K$1*2)%</f>
        <v>0</v>
      </c>
    </row>
    <row r="1215" spans="1:37" ht="15.75" hidden="1" customHeight="1">
      <c r="A1215" s="244" t="s">
        <v>1461</v>
      </c>
      <c r="B1215" s="226">
        <v>44176</v>
      </c>
      <c r="C1215" s="230" t="s">
        <v>54</v>
      </c>
      <c r="D1215" s="107">
        <f t="shared" si="11"/>
        <v>3.5</v>
      </c>
      <c r="E1215" s="107" t="s">
        <v>54</v>
      </c>
      <c r="F1215" s="107" t="s">
        <v>263</v>
      </c>
      <c r="G1215" s="178">
        <v>44176</v>
      </c>
      <c r="H1215" s="178">
        <v>44176</v>
      </c>
      <c r="I1215" s="178">
        <v>44181</v>
      </c>
      <c r="J1215" s="178">
        <v>44183</v>
      </c>
      <c r="K1215" s="178">
        <v>44186</v>
      </c>
      <c r="L1215" s="178">
        <v>44188</v>
      </c>
      <c r="M1215" s="178">
        <v>44193</v>
      </c>
      <c r="AA1215" s="166">
        <v>44203</v>
      </c>
      <c r="AH1215" s="108">
        <f>(AD1215-AF1215)/(D1215*$K$1*2)%</f>
        <v>0</v>
      </c>
      <c r="AI1215" s="108">
        <f>(AE1215+AF1215)/(D1215*$K$1*2)%</f>
        <v>0</v>
      </c>
    </row>
    <row r="1216" spans="1:37" ht="15.75" hidden="1" customHeight="1">
      <c r="A1216" s="244" t="s">
        <v>1462</v>
      </c>
      <c r="B1216" s="226">
        <v>44176</v>
      </c>
      <c r="C1216" s="230" t="s">
        <v>54</v>
      </c>
      <c r="D1216" s="107">
        <f t="shared" si="11"/>
        <v>3.5</v>
      </c>
      <c r="E1216" s="107" t="s">
        <v>54</v>
      </c>
      <c r="F1216" s="107" t="s">
        <v>263</v>
      </c>
      <c r="G1216" s="178">
        <v>44176</v>
      </c>
      <c r="H1216" s="178">
        <v>44176</v>
      </c>
      <c r="I1216" s="178">
        <v>44181</v>
      </c>
      <c r="J1216" s="178">
        <v>44183</v>
      </c>
      <c r="K1216" s="178">
        <v>44186</v>
      </c>
      <c r="L1216" s="178">
        <v>44188</v>
      </c>
      <c r="M1216" s="178">
        <v>44193</v>
      </c>
      <c r="AA1216" s="166">
        <v>44203</v>
      </c>
      <c r="AC1216" s="107">
        <f>14/38*100</f>
        <v>36.84210526315789</v>
      </c>
      <c r="AD1216" s="107">
        <v>735</v>
      </c>
      <c r="AE1216" s="107">
        <v>271</v>
      </c>
      <c r="AH1216" s="108">
        <f>(AD1216-AF1216)/(D1216*$K$1*2)%</f>
        <v>19.09090909090909</v>
      </c>
      <c r="AI1216" s="108">
        <f>(AE1216+AF1216)/(D1216*$K$1*2)%</f>
        <v>7.0389610389610393</v>
      </c>
    </row>
    <row r="1217" spans="1:35" ht="15.75" hidden="1" customHeight="1">
      <c r="A1217" s="244" t="s">
        <v>1463</v>
      </c>
      <c r="B1217" s="226">
        <v>44176</v>
      </c>
      <c r="C1217" s="230" t="s">
        <v>54</v>
      </c>
      <c r="D1217" s="107">
        <f t="shared" si="11"/>
        <v>3</v>
      </c>
      <c r="E1217" s="107" t="s">
        <v>54</v>
      </c>
      <c r="F1217" s="107" t="s">
        <v>263</v>
      </c>
      <c r="G1217" s="178">
        <v>44176</v>
      </c>
      <c r="H1217" s="178">
        <v>44176</v>
      </c>
      <c r="I1217" s="178">
        <v>44181</v>
      </c>
      <c r="J1217" s="178">
        <v>44183</v>
      </c>
      <c r="K1217" s="178">
        <v>44186</v>
      </c>
      <c r="L1217" s="178">
        <v>44188</v>
      </c>
      <c r="AA1217" s="166">
        <v>44203</v>
      </c>
      <c r="AH1217" s="108">
        <f>(AD1217-AF1217)/(D1217*$K$1*2)%</f>
        <v>0</v>
      </c>
      <c r="AI1217" s="108">
        <f>(AE1217+AF1217)/(D1217*$K$1*2)%</f>
        <v>0</v>
      </c>
    </row>
    <row r="1218" spans="1:35" ht="15.75" hidden="1" customHeight="1">
      <c r="A1218" s="244" t="s">
        <v>1464</v>
      </c>
      <c r="B1218" s="226">
        <v>44176</v>
      </c>
      <c r="C1218" s="247">
        <v>10425.86</v>
      </c>
      <c r="D1218" s="107">
        <f t="shared" si="11"/>
        <v>4</v>
      </c>
      <c r="E1218" s="107">
        <v>305</v>
      </c>
      <c r="F1218" s="107" t="s">
        <v>263</v>
      </c>
      <c r="G1218" s="178">
        <v>44176</v>
      </c>
      <c r="H1218" s="178">
        <v>44176</v>
      </c>
      <c r="I1218" s="178">
        <v>44181</v>
      </c>
      <c r="J1218" s="178">
        <v>44183</v>
      </c>
      <c r="K1218" s="178">
        <v>44186</v>
      </c>
      <c r="L1218" s="178">
        <v>44188</v>
      </c>
      <c r="M1218" s="178">
        <v>44193</v>
      </c>
      <c r="N1218" s="178">
        <v>44195</v>
      </c>
      <c r="AA1218" s="166">
        <v>44202</v>
      </c>
      <c r="AH1218" s="108">
        <f>(AD1218-AF1218)/(D1218*$K$1*2)%</f>
        <v>0</v>
      </c>
      <c r="AI1218" s="108">
        <f>(AE1218+AF1218)/(D1218*$K$1*2)%</f>
        <v>0</v>
      </c>
    </row>
    <row r="1219" spans="1:35" ht="15.75" hidden="1" customHeight="1">
      <c r="A1219" s="244" t="s">
        <v>1465</v>
      </c>
      <c r="B1219" s="226">
        <v>44176</v>
      </c>
      <c r="C1219" s="247">
        <v>10425.86</v>
      </c>
      <c r="D1219" s="107">
        <f t="shared" si="11"/>
        <v>4</v>
      </c>
      <c r="E1219" s="107">
        <v>305</v>
      </c>
      <c r="F1219" s="107" t="s">
        <v>263</v>
      </c>
      <c r="G1219" s="178">
        <v>44176</v>
      </c>
      <c r="H1219" s="178">
        <v>44176</v>
      </c>
      <c r="I1219" s="178">
        <v>44181</v>
      </c>
      <c r="J1219" s="178">
        <v>44183</v>
      </c>
      <c r="K1219" s="178">
        <v>44186</v>
      </c>
      <c r="L1219" s="178">
        <v>44188</v>
      </c>
      <c r="M1219" s="178">
        <v>44193</v>
      </c>
      <c r="N1219" s="178">
        <v>44195</v>
      </c>
      <c r="AA1219" s="166">
        <v>44202</v>
      </c>
      <c r="AH1219" s="108">
        <f>(AD1219-AF1219)/(D1219*$K$1*2)%</f>
        <v>0</v>
      </c>
      <c r="AI1219" s="108">
        <f>(AE1219+AF1219)/(D1219*$K$1*2)%</f>
        <v>0</v>
      </c>
    </row>
    <row r="1220" spans="1:35" ht="15.75" hidden="1" customHeight="1">
      <c r="A1220" s="244" t="s">
        <v>1466</v>
      </c>
      <c r="B1220" s="226">
        <v>44176</v>
      </c>
      <c r="C1220" s="247">
        <v>10425.86</v>
      </c>
      <c r="D1220" s="107">
        <f t="shared" si="11"/>
        <v>4</v>
      </c>
      <c r="E1220" s="107">
        <v>305</v>
      </c>
      <c r="F1220" s="107" t="s">
        <v>263</v>
      </c>
      <c r="G1220" s="178">
        <v>44176</v>
      </c>
      <c r="H1220" s="178">
        <v>44176</v>
      </c>
      <c r="I1220" s="178">
        <v>44181</v>
      </c>
      <c r="J1220" s="178">
        <v>44183</v>
      </c>
      <c r="K1220" s="178">
        <v>44186</v>
      </c>
      <c r="L1220" s="178">
        <v>44188</v>
      </c>
      <c r="M1220" s="178">
        <v>44193</v>
      </c>
      <c r="N1220" s="178">
        <v>44195</v>
      </c>
      <c r="AA1220" s="166">
        <v>44202</v>
      </c>
      <c r="AC1220" s="107">
        <f>18/50*100</f>
        <v>36</v>
      </c>
      <c r="AD1220" s="107">
        <v>709.5</v>
      </c>
      <c r="AE1220" s="107">
        <v>252</v>
      </c>
      <c r="AH1220" s="108">
        <f>(AD1220-AF1220)/(D1220*$K$1*2)%</f>
        <v>16.125</v>
      </c>
      <c r="AI1220" s="108">
        <f>(AE1220+AF1220)/(D1220*$K$1*2)%</f>
        <v>5.7272727272727275</v>
      </c>
    </row>
    <row r="1221" spans="1:35" ht="15.75" hidden="1" customHeight="1">
      <c r="A1221" s="244" t="s">
        <v>1467</v>
      </c>
      <c r="B1221" s="226">
        <v>44176</v>
      </c>
      <c r="C1221" s="247">
        <v>10425.86</v>
      </c>
      <c r="D1221" s="107">
        <f t="shared" si="11"/>
        <v>4</v>
      </c>
      <c r="E1221" s="107">
        <v>305</v>
      </c>
      <c r="F1221" s="107" t="s">
        <v>263</v>
      </c>
      <c r="G1221" s="178">
        <v>44176</v>
      </c>
      <c r="H1221" s="178">
        <v>44176</v>
      </c>
      <c r="I1221" s="178">
        <v>44181</v>
      </c>
      <c r="J1221" s="178">
        <v>44183</v>
      </c>
      <c r="K1221" s="178">
        <v>44186</v>
      </c>
      <c r="L1221" s="178">
        <v>44188</v>
      </c>
      <c r="M1221" s="178">
        <v>44193</v>
      </c>
      <c r="N1221" s="178">
        <v>44195</v>
      </c>
      <c r="AA1221" s="166">
        <v>44202</v>
      </c>
      <c r="AH1221" s="108">
        <f>(AD1221-AF1221)/(D1221*$K$1*2)%</f>
        <v>0</v>
      </c>
      <c r="AI1221" s="108">
        <f>(AE1221+AF1221)/(D1221*$K$1*2)%</f>
        <v>0</v>
      </c>
    </row>
    <row r="1222" spans="1:35" ht="15.75" hidden="1" customHeight="1">
      <c r="A1222" s="244" t="s">
        <v>1468</v>
      </c>
      <c r="B1222" s="226">
        <v>44176</v>
      </c>
      <c r="C1222" s="247">
        <v>10425.86</v>
      </c>
      <c r="D1222" s="107">
        <f t="shared" si="11"/>
        <v>4</v>
      </c>
      <c r="E1222" s="107">
        <v>305</v>
      </c>
      <c r="F1222" s="107" t="s">
        <v>263</v>
      </c>
      <c r="G1222" s="178">
        <v>44176</v>
      </c>
      <c r="H1222" s="178">
        <v>44176</v>
      </c>
      <c r="I1222" s="178">
        <v>44181</v>
      </c>
      <c r="J1222" s="178">
        <v>44183</v>
      </c>
      <c r="K1222" s="178">
        <v>44186</v>
      </c>
      <c r="L1222" s="178">
        <v>44188</v>
      </c>
      <c r="M1222" s="178">
        <v>44193</v>
      </c>
      <c r="N1222" s="178">
        <v>44195</v>
      </c>
      <c r="AA1222" s="166">
        <v>44202</v>
      </c>
      <c r="AH1222" s="108">
        <f>(AD1222-AF1222)/(D1222*$K$1*2)%</f>
        <v>0</v>
      </c>
      <c r="AI1222" s="108">
        <f>(AE1222+AF1222)/(D1222*$K$1*2)%</f>
        <v>0</v>
      </c>
    </row>
    <row r="1223" spans="1:35" ht="15.75" hidden="1" customHeight="1">
      <c r="A1223" s="244" t="s">
        <v>1469</v>
      </c>
      <c r="B1223" s="226">
        <v>44176</v>
      </c>
      <c r="C1223" s="247">
        <v>10425.86</v>
      </c>
      <c r="D1223" s="107">
        <f t="shared" si="11"/>
        <v>4</v>
      </c>
      <c r="E1223" s="107">
        <v>305</v>
      </c>
      <c r="F1223" s="107" t="s">
        <v>263</v>
      </c>
      <c r="G1223" s="178">
        <v>44176</v>
      </c>
      <c r="H1223" s="178">
        <v>44176</v>
      </c>
      <c r="I1223" s="178">
        <v>44181</v>
      </c>
      <c r="J1223" s="178">
        <v>44183</v>
      </c>
      <c r="K1223" s="178">
        <v>44186</v>
      </c>
      <c r="L1223" s="178">
        <v>44188</v>
      </c>
      <c r="M1223" s="178">
        <v>44193</v>
      </c>
      <c r="N1223" s="178">
        <v>44195</v>
      </c>
      <c r="AA1223" s="166">
        <v>44202</v>
      </c>
      <c r="AH1223" s="108">
        <f>(AD1223-AF1223)/(D1223*$K$1*2)%</f>
        <v>0</v>
      </c>
      <c r="AI1223" s="108">
        <f>(AE1223+AF1223)/(D1223*$K$1*2)%</f>
        <v>0</v>
      </c>
    </row>
    <row r="1224" spans="1:35" ht="15.75" hidden="1" customHeight="1">
      <c r="A1224" s="244" t="s">
        <v>1470</v>
      </c>
      <c r="B1224" s="226">
        <v>44176</v>
      </c>
      <c r="C1224" s="247">
        <v>10425.86</v>
      </c>
      <c r="D1224" s="107">
        <f t="shared" si="11"/>
        <v>4</v>
      </c>
      <c r="E1224" s="107">
        <v>305</v>
      </c>
      <c r="F1224" s="107" t="s">
        <v>263</v>
      </c>
      <c r="G1224" s="178">
        <v>44176</v>
      </c>
      <c r="H1224" s="178">
        <v>44176</v>
      </c>
      <c r="I1224" s="178">
        <v>44181</v>
      </c>
      <c r="J1224" s="178">
        <v>44183</v>
      </c>
      <c r="K1224" s="178">
        <v>44186</v>
      </c>
      <c r="L1224" s="178">
        <v>44188</v>
      </c>
      <c r="M1224" s="178">
        <v>44193</v>
      </c>
      <c r="N1224" s="178">
        <v>44195</v>
      </c>
      <c r="AA1224" s="166">
        <v>44202</v>
      </c>
      <c r="AH1224" s="108">
        <f>(AD1224-AF1224)/(D1224*$K$1*2)%</f>
        <v>0</v>
      </c>
      <c r="AI1224" s="108">
        <f>(AE1224+AF1224)/(D1224*$K$1*2)%</f>
        <v>0</v>
      </c>
    </row>
    <row r="1225" spans="1:35" ht="15.75" hidden="1" customHeight="1">
      <c r="A1225" s="244" t="s">
        <v>1471</v>
      </c>
      <c r="B1225" s="226">
        <v>44176</v>
      </c>
      <c r="C1225" s="247">
        <v>10425.86</v>
      </c>
      <c r="D1225" s="107">
        <f t="shared" si="11"/>
        <v>4</v>
      </c>
      <c r="E1225" s="107">
        <v>305</v>
      </c>
      <c r="F1225" s="107" t="s">
        <v>263</v>
      </c>
      <c r="G1225" s="178">
        <v>44176</v>
      </c>
      <c r="H1225" s="178">
        <v>44176</v>
      </c>
      <c r="I1225" s="178">
        <v>44181</v>
      </c>
      <c r="J1225" s="178">
        <v>44183</v>
      </c>
      <c r="K1225" s="178">
        <v>44186</v>
      </c>
      <c r="L1225" s="178">
        <v>44188</v>
      </c>
      <c r="M1225" s="178">
        <v>44193</v>
      </c>
      <c r="N1225" s="178">
        <v>44195</v>
      </c>
      <c r="AA1225" s="166">
        <v>44202</v>
      </c>
      <c r="AH1225" s="108">
        <f>(AD1225-AF1225)/(D1225*$K$1*2)%</f>
        <v>0</v>
      </c>
      <c r="AI1225" s="108">
        <f>(AE1225+AF1225)/(D1225*$K$1*2)%</f>
        <v>0</v>
      </c>
    </row>
    <row r="1226" spans="1:35" ht="15.75" hidden="1" customHeight="1">
      <c r="A1226" s="244" t="s">
        <v>1472</v>
      </c>
      <c r="B1226" s="226">
        <v>44176</v>
      </c>
      <c r="C1226" s="247">
        <v>10425.86</v>
      </c>
      <c r="D1226" s="107">
        <f t="shared" si="11"/>
        <v>4</v>
      </c>
      <c r="E1226" s="107">
        <v>305</v>
      </c>
      <c r="F1226" s="107" t="s">
        <v>263</v>
      </c>
      <c r="G1226" s="178">
        <v>44176</v>
      </c>
      <c r="H1226" s="178">
        <v>44176</v>
      </c>
      <c r="I1226" s="178">
        <v>44181</v>
      </c>
      <c r="J1226" s="178">
        <v>44183</v>
      </c>
      <c r="K1226" s="178">
        <v>44186</v>
      </c>
      <c r="L1226" s="178">
        <v>44188</v>
      </c>
      <c r="M1226" s="178">
        <v>44193</v>
      </c>
      <c r="N1226" s="178">
        <v>44195</v>
      </c>
      <c r="AA1226" s="166">
        <v>44202</v>
      </c>
      <c r="AH1226" s="108">
        <f>(AD1226-AF1226)/(D1226*$K$1*2)%</f>
        <v>0</v>
      </c>
      <c r="AI1226" s="108">
        <f>(AE1226+AF1226)/(D1226*$K$1*2)%</f>
        <v>0</v>
      </c>
    </row>
    <row r="1227" spans="1:35" ht="15.75" hidden="1" customHeight="1">
      <c r="A1227" s="244" t="s">
        <v>1473</v>
      </c>
      <c r="B1227" s="226">
        <v>44176</v>
      </c>
      <c r="C1227" s="247">
        <v>10425.86</v>
      </c>
      <c r="D1227" s="107">
        <f t="shared" si="11"/>
        <v>4</v>
      </c>
      <c r="E1227" s="107">
        <v>305</v>
      </c>
      <c r="F1227" s="107" t="s">
        <v>263</v>
      </c>
      <c r="G1227" s="178">
        <v>44176</v>
      </c>
      <c r="H1227" s="178">
        <v>44176</v>
      </c>
      <c r="I1227" s="178">
        <v>44181</v>
      </c>
      <c r="J1227" s="178">
        <v>44183</v>
      </c>
      <c r="K1227" s="178">
        <v>44186</v>
      </c>
      <c r="L1227" s="178">
        <v>44188</v>
      </c>
      <c r="M1227" s="178">
        <v>44193</v>
      </c>
      <c r="N1227" s="178">
        <v>44195</v>
      </c>
      <c r="AA1227" s="166">
        <v>44202</v>
      </c>
      <c r="AH1227" s="108">
        <f>(AD1227-AF1227)/(D1227*$K$1*2)%</f>
        <v>0</v>
      </c>
      <c r="AI1227" s="108">
        <f>(AE1227+AF1227)/(D1227*$K$1*2)%</f>
        <v>0</v>
      </c>
    </row>
    <row r="1228" spans="1:35" ht="15.75" hidden="1" customHeight="1">
      <c r="A1228" s="244" t="s">
        <v>1474</v>
      </c>
      <c r="B1228" s="226">
        <v>44176</v>
      </c>
      <c r="C1228" s="247">
        <v>10425.86</v>
      </c>
      <c r="D1228" s="107">
        <f t="shared" si="11"/>
        <v>4</v>
      </c>
      <c r="E1228" s="107">
        <v>305</v>
      </c>
      <c r="F1228" s="107" t="s">
        <v>263</v>
      </c>
      <c r="G1228" s="178">
        <v>44176</v>
      </c>
      <c r="H1228" s="178">
        <v>44176</v>
      </c>
      <c r="I1228" s="178">
        <v>44181</v>
      </c>
      <c r="J1228" s="178">
        <v>44183</v>
      </c>
      <c r="K1228" s="178">
        <v>44186</v>
      </c>
      <c r="L1228" s="178">
        <v>44188</v>
      </c>
      <c r="M1228" s="178">
        <v>44193</v>
      </c>
      <c r="N1228" s="178">
        <v>44195</v>
      </c>
      <c r="AA1228" s="166">
        <v>44202</v>
      </c>
      <c r="AC1228" s="107">
        <f>19/33*100</f>
        <v>57.575757575757578</v>
      </c>
      <c r="AD1228" s="107">
        <v>645</v>
      </c>
      <c r="AE1228" s="107">
        <v>221</v>
      </c>
      <c r="AH1228" s="108">
        <f>(AD1228-AF1228)/(D1228*$K$1*2)%</f>
        <v>14.659090909090908</v>
      </c>
      <c r="AI1228" s="108">
        <f>(AE1228+AF1228)/(D1228*$K$1*2)%</f>
        <v>5.0227272727272725</v>
      </c>
    </row>
    <row r="1229" spans="1:35" ht="15.75" hidden="1" customHeight="1">
      <c r="A1229" s="244" t="s">
        <v>1475</v>
      </c>
      <c r="B1229" s="226">
        <v>44176</v>
      </c>
      <c r="C1229" s="247">
        <v>10425.86</v>
      </c>
      <c r="D1229" s="107">
        <f t="shared" si="11"/>
        <v>4</v>
      </c>
      <c r="E1229" s="107">
        <v>305</v>
      </c>
      <c r="F1229" s="107" t="s">
        <v>263</v>
      </c>
      <c r="G1229" s="178">
        <v>44176</v>
      </c>
      <c r="H1229" s="178">
        <v>44176</v>
      </c>
      <c r="I1229" s="178">
        <v>44181</v>
      </c>
      <c r="J1229" s="178">
        <v>44183</v>
      </c>
      <c r="K1229" s="178">
        <v>44186</v>
      </c>
      <c r="L1229" s="178">
        <v>44188</v>
      </c>
      <c r="M1229" s="178">
        <v>44193</v>
      </c>
      <c r="N1229" s="178">
        <v>44195</v>
      </c>
      <c r="AA1229" s="166">
        <v>44202</v>
      </c>
      <c r="AH1229" s="108">
        <f>(AD1229-AF1229)/(D1229*$K$1*2)%</f>
        <v>0</v>
      </c>
      <c r="AI1229" s="108">
        <f>(AE1229+AF1229)/(D1229*$K$1*2)%</f>
        <v>0</v>
      </c>
    </row>
    <row r="1230" spans="1:35" ht="15.75" hidden="1" customHeight="1">
      <c r="A1230" s="244" t="s">
        <v>1476</v>
      </c>
      <c r="B1230" s="226">
        <v>44176</v>
      </c>
      <c r="C1230" s="247">
        <v>10425.86</v>
      </c>
      <c r="D1230" s="107">
        <f t="shared" si="11"/>
        <v>4</v>
      </c>
      <c r="E1230" s="107">
        <v>305</v>
      </c>
      <c r="F1230" s="107" t="s">
        <v>263</v>
      </c>
      <c r="G1230" s="178">
        <v>44176</v>
      </c>
      <c r="H1230" s="178">
        <v>44176</v>
      </c>
      <c r="I1230" s="178">
        <v>44181</v>
      </c>
      <c r="J1230" s="178">
        <v>44183</v>
      </c>
      <c r="K1230" s="178">
        <v>44186</v>
      </c>
      <c r="L1230" s="178">
        <v>44188</v>
      </c>
      <c r="M1230" s="178">
        <v>44193</v>
      </c>
      <c r="N1230" s="178">
        <v>44195</v>
      </c>
      <c r="AA1230" s="166">
        <v>44202</v>
      </c>
      <c r="AC1230" s="107">
        <f>11/13*100</f>
        <v>84.615384615384613</v>
      </c>
      <c r="AD1230" s="107">
        <v>698.5</v>
      </c>
      <c r="AE1230" s="107">
        <v>229.5</v>
      </c>
      <c r="AH1230" s="108">
        <f>(AD1230-AF1230)/(D1230*$K$1*2)%</f>
        <v>15.875</v>
      </c>
      <c r="AI1230" s="108">
        <f>(AE1230+AF1230)/(D1230*$K$1*2)%</f>
        <v>5.2159090909090908</v>
      </c>
    </row>
    <row r="1231" spans="1:35" ht="15.75" hidden="1" customHeight="1">
      <c r="A1231" s="244" t="s">
        <v>1477</v>
      </c>
      <c r="B1231" s="226">
        <v>44180</v>
      </c>
      <c r="C1231" s="149">
        <v>12154.38</v>
      </c>
      <c r="D1231" s="107">
        <f t="shared" si="11"/>
        <v>1</v>
      </c>
      <c r="E1231" s="107">
        <v>306</v>
      </c>
      <c r="F1231" s="107" t="s">
        <v>323</v>
      </c>
      <c r="G1231" s="178">
        <v>44180</v>
      </c>
      <c r="H1231" s="178">
        <v>44180</v>
      </c>
      <c r="AA1231" s="166">
        <v>44188</v>
      </c>
    </row>
    <row r="1232" spans="1:35" ht="15.75" hidden="1" customHeight="1">
      <c r="A1232" s="244" t="s">
        <v>1478</v>
      </c>
      <c r="B1232" s="226">
        <v>44180</v>
      </c>
      <c r="C1232" s="149">
        <v>12154.38</v>
      </c>
      <c r="D1232" s="107">
        <f t="shared" si="11"/>
        <v>1</v>
      </c>
      <c r="E1232" s="107">
        <v>306</v>
      </c>
      <c r="F1232" s="107" t="s">
        <v>323</v>
      </c>
      <c r="G1232" s="178">
        <v>44180</v>
      </c>
      <c r="H1232" s="178">
        <v>44180</v>
      </c>
      <c r="AA1232" s="166">
        <v>44188</v>
      </c>
    </row>
    <row r="1233" spans="1:31" ht="15.75" hidden="1" customHeight="1">
      <c r="A1233" s="244" t="s">
        <v>1479</v>
      </c>
      <c r="B1233" s="226">
        <v>44180</v>
      </c>
      <c r="C1233" s="149">
        <v>12154.38</v>
      </c>
      <c r="D1233" s="107">
        <f t="shared" si="11"/>
        <v>1</v>
      </c>
      <c r="E1233" s="107">
        <v>306</v>
      </c>
      <c r="F1233" s="107" t="s">
        <v>323</v>
      </c>
      <c r="G1233" s="178">
        <v>44180</v>
      </c>
      <c r="H1233" s="178">
        <v>44180</v>
      </c>
      <c r="AA1233" s="166">
        <v>44188</v>
      </c>
    </row>
    <row r="1234" spans="1:31" ht="15.75" hidden="1" customHeight="1">
      <c r="A1234" s="244" t="s">
        <v>1480</v>
      </c>
      <c r="B1234" s="226">
        <v>44180</v>
      </c>
      <c r="C1234" s="149">
        <v>12154.38</v>
      </c>
      <c r="D1234" s="107">
        <f t="shared" si="11"/>
        <v>1</v>
      </c>
      <c r="E1234" s="107">
        <v>306</v>
      </c>
      <c r="F1234" s="107" t="s">
        <v>323</v>
      </c>
      <c r="G1234" s="178">
        <v>44180</v>
      </c>
      <c r="H1234" s="178">
        <v>44180</v>
      </c>
      <c r="AA1234" s="166">
        <v>44188</v>
      </c>
    </row>
    <row r="1235" spans="1:31" ht="15.75" hidden="1" customHeight="1">
      <c r="A1235" s="244" t="s">
        <v>1481</v>
      </c>
      <c r="B1235" s="226">
        <v>44180</v>
      </c>
      <c r="C1235" s="149">
        <v>10480.280000000001</v>
      </c>
      <c r="D1235" s="107">
        <f t="shared" si="11"/>
        <v>4</v>
      </c>
      <c r="E1235" s="107">
        <v>307</v>
      </c>
      <c r="F1235" s="107" t="s">
        <v>263</v>
      </c>
      <c r="G1235" s="178">
        <v>44180</v>
      </c>
      <c r="H1235" s="178">
        <v>44180</v>
      </c>
      <c r="I1235" s="178">
        <v>44183</v>
      </c>
      <c r="J1235" s="178">
        <v>44187</v>
      </c>
      <c r="K1235" s="178">
        <v>44188</v>
      </c>
      <c r="L1235" s="178">
        <v>44193</v>
      </c>
      <c r="M1235" s="178">
        <v>44195</v>
      </c>
      <c r="N1235" s="178">
        <v>44204</v>
      </c>
      <c r="AA1235" s="166">
        <v>44209</v>
      </c>
      <c r="AC1235" s="107">
        <f>11/18%</f>
        <v>61.111111111111114</v>
      </c>
      <c r="AD1235" s="107">
        <v>752</v>
      </c>
      <c r="AE1235" s="107">
        <v>394.5</v>
      </c>
    </row>
    <row r="1236" spans="1:31" ht="15.75" hidden="1" customHeight="1">
      <c r="A1236" s="244" t="s">
        <v>1482</v>
      </c>
      <c r="B1236" s="226">
        <v>44180</v>
      </c>
      <c r="C1236" s="149">
        <v>10480.280000000001</v>
      </c>
      <c r="D1236" s="107">
        <f t="shared" si="11"/>
        <v>4</v>
      </c>
      <c r="E1236" s="107">
        <v>307</v>
      </c>
      <c r="F1236" s="107" t="s">
        <v>263</v>
      </c>
      <c r="G1236" s="178">
        <v>44180</v>
      </c>
      <c r="H1236" s="178">
        <v>44180</v>
      </c>
      <c r="I1236" s="178">
        <v>44183</v>
      </c>
      <c r="J1236" s="178">
        <v>44187</v>
      </c>
      <c r="K1236" s="178">
        <v>44188</v>
      </c>
      <c r="L1236" s="178">
        <v>44193</v>
      </c>
      <c r="M1236" s="178">
        <v>44195</v>
      </c>
      <c r="N1236" s="178">
        <v>44204</v>
      </c>
      <c r="AA1236" s="166">
        <v>44209</v>
      </c>
    </row>
    <row r="1237" spans="1:31" ht="15.75" hidden="1" customHeight="1">
      <c r="A1237" s="244" t="s">
        <v>1483</v>
      </c>
      <c r="B1237" s="226">
        <v>44180</v>
      </c>
      <c r="C1237" s="149">
        <v>10480.280000000001</v>
      </c>
      <c r="D1237" s="107">
        <f t="shared" si="11"/>
        <v>4</v>
      </c>
      <c r="E1237" s="107">
        <v>307</v>
      </c>
      <c r="F1237" s="107" t="s">
        <v>263</v>
      </c>
      <c r="G1237" s="178">
        <v>44180</v>
      </c>
      <c r="H1237" s="178">
        <v>44180</v>
      </c>
      <c r="I1237" s="178">
        <v>44183</v>
      </c>
      <c r="J1237" s="178">
        <v>44187</v>
      </c>
      <c r="K1237" s="178">
        <v>44188</v>
      </c>
      <c r="L1237" s="178">
        <v>44193</v>
      </c>
      <c r="M1237" s="178">
        <v>44195</v>
      </c>
      <c r="N1237" s="178">
        <v>44204</v>
      </c>
      <c r="AA1237" s="166">
        <v>44209</v>
      </c>
    </row>
    <row r="1238" spans="1:31" ht="15.75" hidden="1" customHeight="1">
      <c r="A1238" s="244" t="s">
        <v>1484</v>
      </c>
      <c r="B1238" s="226">
        <v>44180</v>
      </c>
      <c r="C1238" s="149">
        <v>10480.280000000001</v>
      </c>
      <c r="D1238" s="107">
        <f t="shared" si="11"/>
        <v>4</v>
      </c>
      <c r="E1238" s="107">
        <v>307</v>
      </c>
      <c r="F1238" s="107" t="s">
        <v>263</v>
      </c>
      <c r="G1238" s="178">
        <v>44180</v>
      </c>
      <c r="H1238" s="178">
        <v>44180</v>
      </c>
      <c r="I1238" s="178">
        <v>44183</v>
      </c>
      <c r="J1238" s="178">
        <v>44187</v>
      </c>
      <c r="K1238" s="178">
        <v>44188</v>
      </c>
      <c r="L1238" s="178">
        <v>44193</v>
      </c>
      <c r="M1238" s="178">
        <v>44195</v>
      </c>
      <c r="N1238" s="178">
        <v>44204</v>
      </c>
      <c r="AA1238" s="166">
        <v>44209</v>
      </c>
    </row>
    <row r="1239" spans="1:31" ht="15.75" hidden="1" customHeight="1">
      <c r="A1239" s="244" t="s">
        <v>1485</v>
      </c>
      <c r="B1239" s="226">
        <v>44180</v>
      </c>
      <c r="C1239" s="149">
        <v>10480.280000000001</v>
      </c>
      <c r="D1239" s="107">
        <f t="shared" si="11"/>
        <v>4</v>
      </c>
      <c r="E1239" s="107">
        <v>307</v>
      </c>
      <c r="F1239" s="107" t="s">
        <v>263</v>
      </c>
      <c r="G1239" s="178">
        <v>44180</v>
      </c>
      <c r="H1239" s="178">
        <v>44180</v>
      </c>
      <c r="I1239" s="178">
        <v>44183</v>
      </c>
      <c r="J1239" s="178">
        <v>44187</v>
      </c>
      <c r="K1239" s="178">
        <v>44188</v>
      </c>
      <c r="L1239" s="178">
        <v>44193</v>
      </c>
      <c r="M1239" s="178">
        <v>44195</v>
      </c>
      <c r="N1239" s="178">
        <v>44204</v>
      </c>
      <c r="AA1239" s="166">
        <v>44209</v>
      </c>
    </row>
    <row r="1240" spans="1:31" ht="15.75" hidden="1" customHeight="1">
      <c r="A1240" s="244" t="s">
        <v>1486</v>
      </c>
      <c r="B1240" s="226">
        <v>44180</v>
      </c>
      <c r="C1240" s="149">
        <v>10480.280000000001</v>
      </c>
      <c r="D1240" s="107">
        <f t="shared" si="11"/>
        <v>4</v>
      </c>
      <c r="E1240" s="107">
        <v>307</v>
      </c>
      <c r="F1240" s="107" t="s">
        <v>263</v>
      </c>
      <c r="G1240" s="178">
        <v>44180</v>
      </c>
      <c r="H1240" s="178">
        <v>44180</v>
      </c>
      <c r="I1240" s="178">
        <v>44183</v>
      </c>
      <c r="J1240" s="178">
        <v>44187</v>
      </c>
      <c r="K1240" s="178">
        <v>44188</v>
      </c>
      <c r="L1240" s="178">
        <v>44193</v>
      </c>
      <c r="M1240" s="178">
        <v>44195</v>
      </c>
      <c r="N1240" s="178">
        <v>44204</v>
      </c>
      <c r="AA1240" s="166">
        <v>44209</v>
      </c>
    </row>
    <row r="1241" spans="1:31" ht="15.75" hidden="1" customHeight="1">
      <c r="A1241" s="244" t="s">
        <v>1487</v>
      </c>
      <c r="B1241" s="226">
        <v>44180</v>
      </c>
      <c r="C1241" s="149">
        <v>10480.280000000001</v>
      </c>
      <c r="D1241" s="107">
        <f t="shared" si="11"/>
        <v>4</v>
      </c>
      <c r="E1241" s="107">
        <v>307</v>
      </c>
      <c r="F1241" s="107" t="s">
        <v>263</v>
      </c>
      <c r="G1241" s="178">
        <v>44180</v>
      </c>
      <c r="H1241" s="178">
        <v>44180</v>
      </c>
      <c r="I1241" s="178">
        <v>44183</v>
      </c>
      <c r="J1241" s="178">
        <v>44187</v>
      </c>
      <c r="K1241" s="178">
        <v>44188</v>
      </c>
      <c r="L1241" s="178">
        <v>44193</v>
      </c>
      <c r="M1241" s="178">
        <v>44195</v>
      </c>
      <c r="N1241" s="178">
        <v>44204</v>
      </c>
      <c r="AA1241" s="166">
        <v>44209</v>
      </c>
    </row>
    <row r="1242" spans="1:31" ht="15.75" hidden="1" customHeight="1">
      <c r="A1242" s="244" t="s">
        <v>1488</v>
      </c>
      <c r="B1242" s="226">
        <v>44180</v>
      </c>
      <c r="C1242" s="149">
        <v>10480.280000000001</v>
      </c>
      <c r="D1242" s="107">
        <f t="shared" si="11"/>
        <v>4</v>
      </c>
      <c r="E1242" s="107">
        <v>307</v>
      </c>
      <c r="F1242" s="107" t="s">
        <v>263</v>
      </c>
      <c r="G1242" s="178">
        <v>44180</v>
      </c>
      <c r="H1242" s="178">
        <v>44180</v>
      </c>
      <c r="I1242" s="178">
        <v>44183</v>
      </c>
      <c r="J1242" s="178">
        <v>44187</v>
      </c>
      <c r="K1242" s="178">
        <v>44188</v>
      </c>
      <c r="L1242" s="178">
        <v>44193</v>
      </c>
      <c r="M1242" s="178">
        <v>44195</v>
      </c>
      <c r="N1242" s="178">
        <v>44204</v>
      </c>
      <c r="AA1242" s="166">
        <v>44209</v>
      </c>
      <c r="AC1242" s="107">
        <f>6/20%</f>
        <v>30</v>
      </c>
      <c r="AD1242" s="107">
        <v>668.5</v>
      </c>
      <c r="AE1242" s="107">
        <v>283.5</v>
      </c>
    </row>
    <row r="1243" spans="1:31" ht="15.75" hidden="1" customHeight="1">
      <c r="A1243" s="244" t="s">
        <v>1489</v>
      </c>
      <c r="B1243" s="226">
        <v>44180</v>
      </c>
      <c r="C1243" s="149">
        <v>10480.280000000001</v>
      </c>
      <c r="D1243" s="107">
        <f t="shared" si="11"/>
        <v>4</v>
      </c>
      <c r="E1243" s="107">
        <v>307</v>
      </c>
      <c r="F1243" s="107" t="s">
        <v>263</v>
      </c>
      <c r="G1243" s="178">
        <v>44180</v>
      </c>
      <c r="H1243" s="178">
        <v>44180</v>
      </c>
      <c r="I1243" s="178">
        <v>44183</v>
      </c>
      <c r="J1243" s="178">
        <v>44187</v>
      </c>
      <c r="K1243" s="178">
        <v>44188</v>
      </c>
      <c r="L1243" s="178">
        <v>44193</v>
      </c>
      <c r="M1243" s="178">
        <v>44195</v>
      </c>
      <c r="N1243" s="178">
        <v>44204</v>
      </c>
      <c r="AA1243" s="166">
        <v>44209</v>
      </c>
    </row>
    <row r="1244" spans="1:31" ht="15.75" hidden="1" customHeight="1">
      <c r="A1244" s="244" t="s">
        <v>1490</v>
      </c>
      <c r="B1244" s="226">
        <v>44180</v>
      </c>
      <c r="C1244" s="149">
        <v>10480.280000000001</v>
      </c>
      <c r="D1244" s="107">
        <f t="shared" si="11"/>
        <v>4</v>
      </c>
      <c r="E1244" s="107">
        <v>307</v>
      </c>
      <c r="F1244" s="107" t="s">
        <v>263</v>
      </c>
      <c r="G1244" s="178">
        <v>44180</v>
      </c>
      <c r="H1244" s="178">
        <v>44180</v>
      </c>
      <c r="I1244" s="178">
        <v>44183</v>
      </c>
      <c r="J1244" s="178">
        <v>44187</v>
      </c>
      <c r="K1244" s="178">
        <v>44188</v>
      </c>
      <c r="L1244" s="178">
        <v>44193</v>
      </c>
      <c r="M1244" s="178">
        <v>44195</v>
      </c>
      <c r="N1244" s="178">
        <v>44204</v>
      </c>
      <c r="AA1244" s="166">
        <v>44209</v>
      </c>
    </row>
    <row r="1245" spans="1:31" ht="15.75" hidden="1" customHeight="1">
      <c r="A1245" s="244" t="s">
        <v>1491</v>
      </c>
      <c r="B1245" s="226">
        <v>44180</v>
      </c>
      <c r="C1245" s="149">
        <v>10480.280000000001</v>
      </c>
      <c r="D1245" s="107">
        <f t="shared" si="11"/>
        <v>4</v>
      </c>
      <c r="E1245" s="107">
        <v>307</v>
      </c>
      <c r="F1245" s="107" t="s">
        <v>263</v>
      </c>
      <c r="G1245" s="178">
        <v>44180</v>
      </c>
      <c r="H1245" s="178">
        <v>44180</v>
      </c>
      <c r="I1245" s="178">
        <v>44183</v>
      </c>
      <c r="J1245" s="178">
        <v>44187</v>
      </c>
      <c r="K1245" s="178">
        <v>44188</v>
      </c>
      <c r="L1245" s="178">
        <v>44193</v>
      </c>
      <c r="M1245" s="178">
        <v>44195</v>
      </c>
      <c r="N1245" s="178">
        <v>44204</v>
      </c>
      <c r="AA1245" s="166">
        <v>44209</v>
      </c>
    </row>
    <row r="1246" spans="1:31" ht="15.75" hidden="1" customHeight="1">
      <c r="A1246" s="244" t="s">
        <v>1492</v>
      </c>
      <c r="B1246" s="226">
        <v>44180</v>
      </c>
      <c r="C1246" s="149">
        <v>10480.280000000001</v>
      </c>
      <c r="D1246" s="107">
        <f t="shared" si="11"/>
        <v>4</v>
      </c>
      <c r="E1246" s="107">
        <v>307</v>
      </c>
      <c r="F1246" s="107" t="s">
        <v>263</v>
      </c>
      <c r="G1246" s="178">
        <v>44180</v>
      </c>
      <c r="H1246" s="178">
        <v>44180</v>
      </c>
      <c r="I1246" s="178">
        <v>44183</v>
      </c>
      <c r="J1246" s="178">
        <v>44187</v>
      </c>
      <c r="K1246" s="178">
        <v>44188</v>
      </c>
      <c r="L1246" s="178">
        <v>44193</v>
      </c>
      <c r="M1246" s="178">
        <v>44195</v>
      </c>
      <c r="N1246" s="178">
        <v>44204</v>
      </c>
      <c r="AA1246" s="166">
        <v>44209</v>
      </c>
    </row>
    <row r="1247" spans="1:31" ht="15.75" hidden="1" customHeight="1">
      <c r="A1247" s="244" t="s">
        <v>1493</v>
      </c>
      <c r="B1247" s="226">
        <v>44180</v>
      </c>
      <c r="C1247" s="149">
        <v>10480.280000000001</v>
      </c>
      <c r="D1247" s="107">
        <f t="shared" si="11"/>
        <v>4</v>
      </c>
      <c r="E1247" s="107">
        <v>307</v>
      </c>
      <c r="F1247" s="107" t="s">
        <v>263</v>
      </c>
      <c r="G1247" s="178">
        <v>44180</v>
      </c>
      <c r="H1247" s="178">
        <v>44180</v>
      </c>
      <c r="I1247" s="178">
        <v>44183</v>
      </c>
      <c r="J1247" s="178">
        <v>44187</v>
      </c>
      <c r="K1247" s="178">
        <v>44188</v>
      </c>
      <c r="L1247" s="178">
        <v>44193</v>
      </c>
      <c r="M1247" s="178">
        <v>44195</v>
      </c>
      <c r="N1247" s="178">
        <v>44204</v>
      </c>
      <c r="AA1247" s="166">
        <v>44209</v>
      </c>
    </row>
    <row r="1248" spans="1:31" ht="15.75" hidden="1" customHeight="1">
      <c r="A1248" s="244" t="s">
        <v>1494</v>
      </c>
      <c r="B1248" s="226">
        <v>44180</v>
      </c>
      <c r="C1248" s="149">
        <v>10480.280000000001</v>
      </c>
      <c r="D1248" s="107">
        <f t="shared" ref="D1248:D1266" si="12">COUNTA(G1248:Z1248)*0.5</f>
        <v>4</v>
      </c>
      <c r="E1248" s="107">
        <v>307</v>
      </c>
      <c r="F1248" s="107" t="s">
        <v>263</v>
      </c>
      <c r="G1248" s="178">
        <v>44180</v>
      </c>
      <c r="H1248" s="178">
        <v>44180</v>
      </c>
      <c r="I1248" s="178">
        <v>44183</v>
      </c>
      <c r="J1248" s="178">
        <v>44187</v>
      </c>
      <c r="K1248" s="178">
        <v>44188</v>
      </c>
      <c r="L1248" s="178">
        <v>44193</v>
      </c>
      <c r="M1248" s="178">
        <v>44195</v>
      </c>
      <c r="N1248" s="178">
        <v>44204</v>
      </c>
      <c r="AA1248" s="166">
        <v>44209</v>
      </c>
      <c r="AC1248" s="107">
        <f>14/25%</f>
        <v>56</v>
      </c>
      <c r="AD1248" s="107">
        <v>640.5</v>
      </c>
      <c r="AE1248" s="107">
        <v>310</v>
      </c>
    </row>
    <row r="1249" spans="1:31" ht="15.75" hidden="1" customHeight="1">
      <c r="A1249" s="244" t="s">
        <v>1495</v>
      </c>
      <c r="B1249" s="226">
        <v>44180</v>
      </c>
      <c r="C1249" s="149">
        <v>10480.280000000001</v>
      </c>
      <c r="D1249" s="107">
        <f t="shared" si="12"/>
        <v>4</v>
      </c>
      <c r="E1249" s="107">
        <v>307</v>
      </c>
      <c r="F1249" s="107" t="s">
        <v>263</v>
      </c>
      <c r="G1249" s="178">
        <v>44180</v>
      </c>
      <c r="H1249" s="178">
        <v>44180</v>
      </c>
      <c r="I1249" s="178">
        <v>44183</v>
      </c>
      <c r="J1249" s="178">
        <v>44187</v>
      </c>
      <c r="K1249" s="178">
        <v>44188</v>
      </c>
      <c r="L1249" s="178">
        <v>44193</v>
      </c>
      <c r="M1249" s="178">
        <v>44195</v>
      </c>
      <c r="N1249" s="178">
        <v>44204</v>
      </c>
      <c r="AA1249" s="166">
        <v>44209</v>
      </c>
    </row>
    <row r="1250" spans="1:31" ht="15.75" hidden="1" customHeight="1">
      <c r="A1250" s="244" t="s">
        <v>1496</v>
      </c>
      <c r="B1250" s="226">
        <v>44180</v>
      </c>
      <c r="C1250" s="149">
        <v>10480.280000000001</v>
      </c>
      <c r="D1250" s="107">
        <f t="shared" si="12"/>
        <v>4</v>
      </c>
      <c r="E1250" s="107">
        <v>307</v>
      </c>
      <c r="F1250" s="107" t="s">
        <v>263</v>
      </c>
      <c r="G1250" s="178">
        <v>44180</v>
      </c>
      <c r="H1250" s="178">
        <v>44180</v>
      </c>
      <c r="I1250" s="178">
        <v>44183</v>
      </c>
      <c r="J1250" s="178">
        <v>44187</v>
      </c>
      <c r="K1250" s="178">
        <v>44188</v>
      </c>
      <c r="L1250" s="178">
        <v>44193</v>
      </c>
      <c r="M1250" s="178">
        <v>44195</v>
      </c>
      <c r="N1250" s="178">
        <v>44204</v>
      </c>
      <c r="AA1250" s="166">
        <v>44209</v>
      </c>
    </row>
    <row r="1251" spans="1:31" ht="15.75" hidden="1" customHeight="1">
      <c r="A1251" s="244" t="s">
        <v>1497</v>
      </c>
      <c r="B1251" s="226">
        <v>44180</v>
      </c>
      <c r="C1251" s="149">
        <v>10480.280000000001</v>
      </c>
      <c r="D1251" s="107">
        <f t="shared" si="12"/>
        <v>4</v>
      </c>
      <c r="E1251" s="107">
        <v>307</v>
      </c>
      <c r="F1251" s="107" t="s">
        <v>263</v>
      </c>
      <c r="G1251" s="178">
        <v>44180</v>
      </c>
      <c r="H1251" s="178">
        <v>44180</v>
      </c>
      <c r="I1251" s="178">
        <v>44183</v>
      </c>
      <c r="J1251" s="178">
        <v>44187</v>
      </c>
      <c r="K1251" s="178">
        <v>44188</v>
      </c>
      <c r="L1251" s="178">
        <v>44193</v>
      </c>
      <c r="M1251" s="178">
        <v>44195</v>
      </c>
      <c r="N1251" s="178">
        <v>44204</v>
      </c>
      <c r="AA1251" s="166">
        <v>44209</v>
      </c>
    </row>
    <row r="1252" spans="1:31" ht="15.75" hidden="1" customHeight="1">
      <c r="A1252" s="244" t="s">
        <v>1498</v>
      </c>
      <c r="B1252" s="226">
        <v>44180</v>
      </c>
      <c r="C1252" s="230">
        <v>9999.5470264647829</v>
      </c>
      <c r="D1252" s="107">
        <f t="shared" si="12"/>
        <v>3.5</v>
      </c>
      <c r="E1252" s="107">
        <v>308</v>
      </c>
      <c r="F1252" s="107" t="s">
        <v>263</v>
      </c>
      <c r="G1252" s="178">
        <v>44180</v>
      </c>
      <c r="H1252" s="178">
        <v>44180</v>
      </c>
      <c r="I1252" s="178">
        <v>44183</v>
      </c>
      <c r="J1252" s="178">
        <v>44187</v>
      </c>
      <c r="K1252" s="178">
        <v>44188</v>
      </c>
      <c r="L1252" s="178">
        <v>44193</v>
      </c>
      <c r="M1252" s="178">
        <v>44195</v>
      </c>
      <c r="AA1252" s="166">
        <v>44207</v>
      </c>
      <c r="AC1252" s="107">
        <f>28/29%</f>
        <v>96.551724137931046</v>
      </c>
      <c r="AD1252" s="107">
        <v>487.5</v>
      </c>
      <c r="AE1252" s="107">
        <v>224.5</v>
      </c>
    </row>
    <row r="1253" spans="1:31" ht="15.75" hidden="1" customHeight="1">
      <c r="A1253" s="244" t="s">
        <v>1499</v>
      </c>
      <c r="B1253" s="226">
        <v>44180</v>
      </c>
      <c r="C1253" s="230">
        <v>9999.5470264647829</v>
      </c>
      <c r="D1253" s="107">
        <f t="shared" si="12"/>
        <v>3.5</v>
      </c>
      <c r="E1253" s="107">
        <v>308</v>
      </c>
      <c r="F1253" s="107" t="s">
        <v>263</v>
      </c>
      <c r="G1253" s="178">
        <v>44180</v>
      </c>
      <c r="H1253" s="178">
        <v>44180</v>
      </c>
      <c r="I1253" s="178">
        <v>44183</v>
      </c>
      <c r="J1253" s="178">
        <v>44187</v>
      </c>
      <c r="K1253" s="178">
        <v>44188</v>
      </c>
      <c r="L1253" s="178" t="s">
        <v>1500</v>
      </c>
      <c r="M1253" s="178">
        <v>44193</v>
      </c>
      <c r="AA1253" s="166">
        <v>44207</v>
      </c>
      <c r="AC1253" s="107">
        <f>34/36%</f>
        <v>94.444444444444443</v>
      </c>
      <c r="AD1253" s="107">
        <v>386.5</v>
      </c>
      <c r="AE1253" s="107">
        <v>196.5</v>
      </c>
    </row>
    <row r="1254" spans="1:31" ht="15.75" hidden="1" customHeight="1">
      <c r="A1254" s="244" t="s">
        <v>1501</v>
      </c>
      <c r="B1254" s="226">
        <v>44180</v>
      </c>
      <c r="C1254" s="230">
        <v>9999.5470264647829</v>
      </c>
      <c r="D1254" s="107">
        <f t="shared" si="12"/>
        <v>4</v>
      </c>
      <c r="E1254" s="107">
        <v>308</v>
      </c>
      <c r="F1254" s="107" t="s">
        <v>263</v>
      </c>
      <c r="G1254" s="178">
        <v>44180</v>
      </c>
      <c r="H1254" s="178">
        <v>44180</v>
      </c>
      <c r="I1254" s="178">
        <v>44183</v>
      </c>
      <c r="J1254" s="178">
        <v>44187</v>
      </c>
      <c r="K1254" s="178">
        <v>44188</v>
      </c>
      <c r="L1254" s="178" t="s">
        <v>1500</v>
      </c>
      <c r="M1254" s="178">
        <v>44193</v>
      </c>
      <c r="N1254" s="178">
        <v>44195</v>
      </c>
      <c r="AA1254" s="166">
        <v>44207</v>
      </c>
      <c r="AC1254" s="107">
        <f>18/24%</f>
        <v>75</v>
      </c>
      <c r="AD1254" s="107">
        <v>471</v>
      </c>
      <c r="AE1254" s="107">
        <v>204</v>
      </c>
    </row>
    <row r="1255" spans="1:31" ht="15.75" hidden="1" customHeight="1">
      <c r="A1255" s="244" t="s">
        <v>1502</v>
      </c>
      <c r="B1255" s="226">
        <v>44180</v>
      </c>
      <c r="C1255" s="230">
        <v>9999.5470264647829</v>
      </c>
      <c r="D1255" s="107">
        <f t="shared" si="12"/>
        <v>4</v>
      </c>
      <c r="E1255" s="107">
        <v>308</v>
      </c>
      <c r="F1255" s="107" t="s">
        <v>263</v>
      </c>
      <c r="G1255" s="178">
        <v>44180</v>
      </c>
      <c r="H1255" s="178">
        <v>44180</v>
      </c>
      <c r="I1255" s="178">
        <v>44183</v>
      </c>
      <c r="J1255" s="178">
        <v>44187</v>
      </c>
      <c r="K1255" s="178">
        <v>44188</v>
      </c>
      <c r="L1255" s="178" t="s">
        <v>1500</v>
      </c>
      <c r="M1255" s="178">
        <v>44193</v>
      </c>
      <c r="N1255" s="178">
        <v>44195</v>
      </c>
      <c r="AA1255" s="166">
        <v>44207</v>
      </c>
    </row>
    <row r="1256" spans="1:31" ht="15.75" hidden="1" customHeight="1">
      <c r="A1256" s="244" t="s">
        <v>1503</v>
      </c>
      <c r="B1256" s="226">
        <v>44180</v>
      </c>
      <c r="C1256" s="230">
        <v>9999.5470264647829</v>
      </c>
      <c r="D1256" s="107">
        <f t="shared" si="12"/>
        <v>4</v>
      </c>
      <c r="E1256" s="107">
        <v>308</v>
      </c>
      <c r="F1256" s="107" t="s">
        <v>263</v>
      </c>
      <c r="G1256" s="178">
        <v>44180</v>
      </c>
      <c r="H1256" s="178">
        <v>44180</v>
      </c>
      <c r="I1256" s="178">
        <v>44183</v>
      </c>
      <c r="J1256" s="178">
        <v>44187</v>
      </c>
      <c r="K1256" s="178">
        <v>44188</v>
      </c>
      <c r="L1256" s="178" t="s">
        <v>1500</v>
      </c>
      <c r="M1256" s="178">
        <v>44193</v>
      </c>
      <c r="N1256" s="178">
        <v>44195</v>
      </c>
      <c r="AA1256" s="166">
        <v>44207</v>
      </c>
    </row>
    <row r="1257" spans="1:31" ht="15.75" hidden="1" customHeight="1">
      <c r="A1257" s="244" t="s">
        <v>1504</v>
      </c>
      <c r="B1257" s="226">
        <v>44180</v>
      </c>
      <c r="C1257" s="230">
        <v>9999.5470264647829</v>
      </c>
      <c r="D1257" s="107">
        <f t="shared" si="12"/>
        <v>4</v>
      </c>
      <c r="E1257" s="107">
        <v>308</v>
      </c>
      <c r="F1257" s="107" t="s">
        <v>263</v>
      </c>
      <c r="G1257" s="178">
        <v>44180</v>
      </c>
      <c r="H1257" s="178">
        <v>44180</v>
      </c>
      <c r="I1257" s="178">
        <v>44183</v>
      </c>
      <c r="J1257" s="178">
        <v>44187</v>
      </c>
      <c r="K1257" s="178">
        <v>44188</v>
      </c>
      <c r="L1257" s="178" t="s">
        <v>1500</v>
      </c>
      <c r="M1257" s="178">
        <v>44193</v>
      </c>
      <c r="N1257" s="178">
        <v>44195</v>
      </c>
      <c r="AA1257" s="166">
        <v>44207</v>
      </c>
    </row>
    <row r="1258" spans="1:31" ht="15.75" hidden="1" customHeight="1">
      <c r="A1258" s="244" t="s">
        <v>1505</v>
      </c>
      <c r="B1258" s="226">
        <v>44180</v>
      </c>
      <c r="C1258" s="230">
        <v>9999.5470264647829</v>
      </c>
      <c r="D1258" s="107">
        <f t="shared" si="12"/>
        <v>4</v>
      </c>
      <c r="E1258" s="107">
        <v>308</v>
      </c>
      <c r="F1258" s="107" t="s">
        <v>263</v>
      </c>
      <c r="G1258" s="178">
        <v>44180</v>
      </c>
      <c r="H1258" s="178">
        <v>44180</v>
      </c>
      <c r="I1258" s="178">
        <v>44183</v>
      </c>
      <c r="J1258" s="178">
        <v>44187</v>
      </c>
      <c r="K1258" s="178">
        <v>44188</v>
      </c>
      <c r="L1258" s="178" t="s">
        <v>1500</v>
      </c>
      <c r="M1258" s="178">
        <v>44193</v>
      </c>
      <c r="N1258" s="178">
        <v>44195</v>
      </c>
      <c r="AA1258" s="166">
        <v>44207</v>
      </c>
    </row>
    <row r="1259" spans="1:31" ht="15.75" hidden="1" customHeight="1">
      <c r="A1259" s="244" t="s">
        <v>1506</v>
      </c>
      <c r="B1259" s="226">
        <v>44180</v>
      </c>
      <c r="C1259" s="230">
        <v>9999.5470264647829</v>
      </c>
      <c r="D1259" s="107">
        <f t="shared" si="12"/>
        <v>4</v>
      </c>
      <c r="E1259" s="107">
        <v>308</v>
      </c>
      <c r="F1259" s="107" t="s">
        <v>263</v>
      </c>
      <c r="G1259" s="178">
        <v>44180</v>
      </c>
      <c r="H1259" s="178">
        <v>44180</v>
      </c>
      <c r="I1259" s="178">
        <v>44183</v>
      </c>
      <c r="J1259" s="178">
        <v>44187</v>
      </c>
      <c r="K1259" s="178">
        <v>44188</v>
      </c>
      <c r="L1259" s="178" t="s">
        <v>1500</v>
      </c>
      <c r="M1259" s="178">
        <v>44193</v>
      </c>
      <c r="N1259" s="178">
        <v>44195</v>
      </c>
      <c r="AA1259" s="166">
        <v>44207</v>
      </c>
    </row>
    <row r="1260" spans="1:31" ht="15.75" hidden="1" customHeight="1">
      <c r="A1260" s="244" t="s">
        <v>1507</v>
      </c>
      <c r="B1260" s="226">
        <v>44180</v>
      </c>
      <c r="C1260" s="230">
        <v>9999.5470264647829</v>
      </c>
      <c r="D1260" s="107">
        <f t="shared" si="12"/>
        <v>4</v>
      </c>
      <c r="E1260" s="107">
        <v>308</v>
      </c>
      <c r="F1260" s="107" t="s">
        <v>263</v>
      </c>
      <c r="G1260" s="178">
        <v>44180</v>
      </c>
      <c r="H1260" s="178">
        <v>44180</v>
      </c>
      <c r="I1260" s="178">
        <v>44183</v>
      </c>
      <c r="J1260" s="178">
        <v>44187</v>
      </c>
      <c r="K1260" s="178">
        <v>44188</v>
      </c>
      <c r="L1260" s="178" t="s">
        <v>1500</v>
      </c>
      <c r="M1260" s="178">
        <v>44193</v>
      </c>
      <c r="N1260" s="178">
        <v>44195</v>
      </c>
      <c r="AA1260" s="166">
        <v>44207</v>
      </c>
    </row>
    <row r="1261" spans="1:31" ht="15.75" hidden="1" customHeight="1">
      <c r="A1261" s="244" t="s">
        <v>1508</v>
      </c>
      <c r="B1261" s="226">
        <v>44180</v>
      </c>
      <c r="C1261" s="230">
        <v>9999.5470264647829</v>
      </c>
      <c r="D1261" s="107">
        <f t="shared" si="12"/>
        <v>4</v>
      </c>
      <c r="E1261" s="107">
        <v>308</v>
      </c>
      <c r="F1261" s="107" t="s">
        <v>263</v>
      </c>
      <c r="G1261" s="178">
        <v>44180</v>
      </c>
      <c r="H1261" s="178">
        <v>44180</v>
      </c>
      <c r="I1261" s="178">
        <v>44183</v>
      </c>
      <c r="J1261" s="178">
        <v>44187</v>
      </c>
      <c r="K1261" s="178">
        <v>44188</v>
      </c>
      <c r="L1261" s="178" t="s">
        <v>1500</v>
      </c>
      <c r="M1261" s="178">
        <v>44193</v>
      </c>
      <c r="N1261" s="178">
        <v>44195</v>
      </c>
      <c r="AA1261" s="166">
        <v>44207</v>
      </c>
    </row>
    <row r="1262" spans="1:31" ht="15.75" hidden="1" customHeight="1">
      <c r="A1262" s="244" t="s">
        <v>1509</v>
      </c>
      <c r="B1262" s="226">
        <v>44180</v>
      </c>
      <c r="C1262" s="230">
        <v>9999.5470264647829</v>
      </c>
      <c r="D1262" s="107">
        <f t="shared" si="12"/>
        <v>4</v>
      </c>
      <c r="E1262" s="107">
        <v>308</v>
      </c>
      <c r="F1262" s="107" t="s">
        <v>263</v>
      </c>
      <c r="G1262" s="178">
        <v>44180</v>
      </c>
      <c r="H1262" s="178">
        <v>44180</v>
      </c>
      <c r="I1262" s="178">
        <v>44183</v>
      </c>
      <c r="J1262" s="178">
        <v>44187</v>
      </c>
      <c r="K1262" s="178">
        <v>44188</v>
      </c>
      <c r="L1262" s="178" t="s">
        <v>1500</v>
      </c>
      <c r="M1262" s="178">
        <v>44193</v>
      </c>
      <c r="N1262" s="178">
        <v>44195</v>
      </c>
      <c r="AA1262" s="166">
        <v>44207</v>
      </c>
    </row>
    <row r="1263" spans="1:31" ht="15.75" hidden="1" customHeight="1">
      <c r="A1263" s="244" t="s">
        <v>1510</v>
      </c>
      <c r="B1263" s="226">
        <v>44180</v>
      </c>
      <c r="C1263" s="230">
        <v>9999.5470264647829</v>
      </c>
      <c r="D1263" s="107">
        <f t="shared" si="12"/>
        <v>4</v>
      </c>
      <c r="E1263" s="107">
        <v>308</v>
      </c>
      <c r="F1263" s="107" t="s">
        <v>263</v>
      </c>
      <c r="G1263" s="178">
        <v>44180</v>
      </c>
      <c r="H1263" s="178">
        <v>44180</v>
      </c>
      <c r="I1263" s="178">
        <v>44183</v>
      </c>
      <c r="J1263" s="178">
        <v>44187</v>
      </c>
      <c r="K1263" s="178">
        <v>44188</v>
      </c>
      <c r="L1263" s="178" t="s">
        <v>1500</v>
      </c>
      <c r="M1263" s="178">
        <v>44193</v>
      </c>
      <c r="N1263" s="178">
        <v>44195</v>
      </c>
      <c r="AA1263" s="166">
        <v>44207</v>
      </c>
    </row>
    <row r="1264" spans="1:31" ht="15.75" hidden="1" customHeight="1">
      <c r="A1264" s="244" t="s">
        <v>1511</v>
      </c>
      <c r="B1264" s="226">
        <v>44180</v>
      </c>
      <c r="C1264" s="230">
        <v>9999.5470264647829</v>
      </c>
      <c r="D1264" s="107">
        <f t="shared" si="12"/>
        <v>4</v>
      </c>
      <c r="E1264" s="107">
        <v>308</v>
      </c>
      <c r="F1264" s="107" t="s">
        <v>263</v>
      </c>
      <c r="G1264" s="178">
        <v>44180</v>
      </c>
      <c r="H1264" s="178">
        <v>44180</v>
      </c>
      <c r="I1264" s="178">
        <v>44183</v>
      </c>
      <c r="J1264" s="178">
        <v>44187</v>
      </c>
      <c r="K1264" s="178">
        <v>44188</v>
      </c>
      <c r="L1264" s="178" t="s">
        <v>1500</v>
      </c>
      <c r="M1264" s="178">
        <v>44193</v>
      </c>
      <c r="N1264" s="178">
        <v>44195</v>
      </c>
      <c r="AA1264" s="166">
        <v>44207</v>
      </c>
    </row>
    <row r="1265" spans="1:31" ht="15.75" hidden="1" customHeight="1">
      <c r="A1265" s="244" t="s">
        <v>1512</v>
      </c>
      <c r="B1265" s="226">
        <v>44180</v>
      </c>
      <c r="C1265" s="230">
        <v>9999.5470264647829</v>
      </c>
      <c r="D1265" s="107">
        <f t="shared" si="12"/>
        <v>4</v>
      </c>
      <c r="E1265" s="107">
        <v>308</v>
      </c>
      <c r="F1265" s="107" t="s">
        <v>263</v>
      </c>
      <c r="G1265" s="178">
        <v>44180</v>
      </c>
      <c r="H1265" s="178">
        <v>44180</v>
      </c>
      <c r="I1265" s="178">
        <v>44183</v>
      </c>
      <c r="J1265" s="178">
        <v>44187</v>
      </c>
      <c r="K1265" s="178">
        <v>44188</v>
      </c>
      <c r="L1265" s="178" t="s">
        <v>1500</v>
      </c>
      <c r="M1265" s="178">
        <v>44193</v>
      </c>
      <c r="N1265" s="178">
        <v>44195</v>
      </c>
      <c r="AA1265" s="166">
        <v>44207</v>
      </c>
    </row>
    <row r="1266" spans="1:31" ht="15.75" hidden="1" customHeight="1">
      <c r="A1266" s="244" t="s">
        <v>1513</v>
      </c>
      <c r="B1266" s="226">
        <v>44180</v>
      </c>
      <c r="C1266" s="230">
        <v>9999.5470264647829</v>
      </c>
      <c r="D1266" s="107">
        <f t="shared" si="12"/>
        <v>4</v>
      </c>
      <c r="E1266" s="107">
        <v>308</v>
      </c>
      <c r="F1266" s="107" t="s">
        <v>263</v>
      </c>
      <c r="G1266" s="178">
        <v>44180</v>
      </c>
      <c r="H1266" s="178">
        <v>44180</v>
      </c>
      <c r="I1266" s="178">
        <v>44183</v>
      </c>
      <c r="J1266" s="178">
        <v>44187</v>
      </c>
      <c r="K1266" s="178">
        <v>44188</v>
      </c>
      <c r="L1266" s="178" t="s">
        <v>1500</v>
      </c>
      <c r="M1266" s="178">
        <v>44193</v>
      </c>
      <c r="N1266" s="178">
        <v>44195</v>
      </c>
      <c r="AA1266" s="166">
        <v>44207</v>
      </c>
    </row>
    <row r="1267" spans="1:31" ht="15.75" hidden="1" customHeight="1">
      <c r="A1267" s="241" t="s">
        <v>1514</v>
      </c>
      <c r="B1267" s="226">
        <v>44183</v>
      </c>
      <c r="C1267" s="230">
        <v>10459</v>
      </c>
      <c r="D1267" s="107">
        <f>COUNTA(G1267:Z1267)*0.5</f>
        <v>4.5</v>
      </c>
      <c r="E1267" s="107">
        <v>309</v>
      </c>
      <c r="F1267" s="107" t="s">
        <v>263</v>
      </c>
      <c r="G1267" s="178">
        <v>44183</v>
      </c>
      <c r="H1267" s="178">
        <v>44183</v>
      </c>
      <c r="I1267" s="178">
        <v>44187</v>
      </c>
      <c r="J1267" s="178">
        <v>44188</v>
      </c>
      <c r="K1267" s="178" t="s">
        <v>1500</v>
      </c>
      <c r="L1267" s="178">
        <v>44193</v>
      </c>
      <c r="M1267" s="178">
        <v>44195</v>
      </c>
      <c r="N1267" s="178">
        <v>44202</v>
      </c>
      <c r="O1267" s="178">
        <v>44204</v>
      </c>
      <c r="AA1267" s="166">
        <v>44209</v>
      </c>
    </row>
    <row r="1268" spans="1:31" ht="15.75" hidden="1" customHeight="1">
      <c r="A1268" s="241" t="s">
        <v>1515</v>
      </c>
      <c r="B1268" s="226">
        <v>44183</v>
      </c>
      <c r="C1268" s="230">
        <v>10459</v>
      </c>
      <c r="D1268" s="107">
        <f>COUNTA(G1268:Z1268)*0.5</f>
        <v>5</v>
      </c>
      <c r="E1268" s="107">
        <v>309</v>
      </c>
      <c r="F1268" s="107" t="s">
        <v>263</v>
      </c>
      <c r="G1268" s="178">
        <v>44183</v>
      </c>
      <c r="H1268" s="178">
        <v>44183</v>
      </c>
      <c r="I1268" s="178">
        <v>44187</v>
      </c>
      <c r="J1268" s="178">
        <v>44188</v>
      </c>
      <c r="K1268" s="178" t="s">
        <v>1500</v>
      </c>
      <c r="L1268" s="178">
        <v>44193</v>
      </c>
      <c r="M1268" s="178">
        <v>44195</v>
      </c>
      <c r="N1268" s="178">
        <v>44202</v>
      </c>
      <c r="O1268" s="178">
        <v>44204</v>
      </c>
      <c r="P1268" s="178">
        <v>44207</v>
      </c>
      <c r="AA1268" s="166">
        <v>44209</v>
      </c>
    </row>
    <row r="1269" spans="1:31" ht="15.75" hidden="1" customHeight="1">
      <c r="A1269" s="241" t="s">
        <v>1516</v>
      </c>
      <c r="B1269" s="226">
        <v>44183</v>
      </c>
      <c r="C1269" s="230">
        <v>10459</v>
      </c>
      <c r="D1269" s="107">
        <f>COUNTA(G1269:Z1269)*0.5</f>
        <v>4.5</v>
      </c>
      <c r="E1269" s="107">
        <v>309</v>
      </c>
      <c r="F1269" s="107" t="s">
        <v>263</v>
      </c>
      <c r="G1269" s="178">
        <v>44183</v>
      </c>
      <c r="H1269" s="178">
        <v>44183</v>
      </c>
      <c r="I1269" s="178">
        <v>44187</v>
      </c>
      <c r="J1269" s="178">
        <v>44188</v>
      </c>
      <c r="K1269" s="178" t="s">
        <v>1500</v>
      </c>
      <c r="L1269" s="178">
        <v>44193</v>
      </c>
      <c r="M1269" s="178">
        <v>44195</v>
      </c>
      <c r="N1269" s="178">
        <v>44202</v>
      </c>
      <c r="O1269" s="178">
        <v>44204</v>
      </c>
      <c r="AA1269" s="166">
        <v>44209</v>
      </c>
      <c r="AC1269" s="107">
        <f>15/29%</f>
        <v>51.724137931034484</v>
      </c>
      <c r="AD1269" s="107">
        <v>1034.5</v>
      </c>
      <c r="AE1269" s="107">
        <v>393</v>
      </c>
    </row>
    <row r="1270" spans="1:31" ht="15.75" hidden="1" customHeight="1">
      <c r="A1270" s="241" t="s">
        <v>1517</v>
      </c>
      <c r="B1270" s="226">
        <v>44183</v>
      </c>
      <c r="C1270" s="230">
        <v>10459</v>
      </c>
      <c r="D1270" s="107">
        <f>COUNTA(G1270:Z1270)*0.5</f>
        <v>5</v>
      </c>
      <c r="E1270" s="107">
        <v>309</v>
      </c>
      <c r="F1270" s="107" t="s">
        <v>263</v>
      </c>
      <c r="G1270" s="178">
        <v>44183</v>
      </c>
      <c r="H1270" s="178">
        <v>44183</v>
      </c>
      <c r="I1270" s="178">
        <v>44187</v>
      </c>
      <c r="J1270" s="178">
        <v>44188</v>
      </c>
      <c r="K1270" s="178" t="s">
        <v>1500</v>
      </c>
      <c r="L1270" s="178">
        <v>44193</v>
      </c>
      <c r="M1270" s="178">
        <v>44195</v>
      </c>
      <c r="N1270" s="178">
        <v>44202</v>
      </c>
      <c r="O1270" s="178">
        <v>44204</v>
      </c>
      <c r="P1270" s="178">
        <v>44207</v>
      </c>
      <c r="AA1270" s="166">
        <v>44209</v>
      </c>
    </row>
    <row r="1271" spans="1:31" ht="15.75" hidden="1" customHeight="1">
      <c r="A1271" s="241" t="s">
        <v>1518</v>
      </c>
      <c r="B1271" s="226">
        <v>44183</v>
      </c>
      <c r="C1271" s="230">
        <v>10459</v>
      </c>
      <c r="D1271" s="107">
        <f>COUNTA(G1271:Z1271)*0.5</f>
        <v>5</v>
      </c>
      <c r="E1271" s="107">
        <v>309</v>
      </c>
      <c r="F1271" s="107" t="s">
        <v>263</v>
      </c>
      <c r="G1271" s="178">
        <v>44183</v>
      </c>
      <c r="H1271" s="178">
        <v>44183</v>
      </c>
      <c r="I1271" s="178">
        <v>44187</v>
      </c>
      <c r="J1271" s="178">
        <v>44188</v>
      </c>
      <c r="K1271" s="178" t="s">
        <v>1500</v>
      </c>
      <c r="L1271" s="178">
        <v>44193</v>
      </c>
      <c r="M1271" s="178">
        <v>44195</v>
      </c>
      <c r="N1271" s="178">
        <v>44202</v>
      </c>
      <c r="O1271" s="178">
        <v>44204</v>
      </c>
      <c r="P1271" s="178">
        <v>44207</v>
      </c>
      <c r="AA1271" s="166">
        <v>44209</v>
      </c>
    </row>
    <row r="1272" spans="1:31" ht="15.75" hidden="1" customHeight="1">
      <c r="A1272" s="241" t="s">
        <v>1519</v>
      </c>
      <c r="B1272" s="226">
        <v>44183</v>
      </c>
      <c r="C1272" s="230">
        <v>10459</v>
      </c>
      <c r="D1272" s="107">
        <f>COUNTA(G1272:Z1272)*0.5</f>
        <v>5</v>
      </c>
      <c r="E1272" s="107">
        <v>309</v>
      </c>
      <c r="F1272" s="107" t="s">
        <v>263</v>
      </c>
      <c r="G1272" s="178">
        <v>44183</v>
      </c>
      <c r="H1272" s="178">
        <v>44183</v>
      </c>
      <c r="I1272" s="178">
        <v>44187</v>
      </c>
      <c r="J1272" s="178">
        <v>44188</v>
      </c>
      <c r="K1272" s="178" t="s">
        <v>1500</v>
      </c>
      <c r="L1272" s="178">
        <v>44193</v>
      </c>
      <c r="M1272" s="178">
        <v>44195</v>
      </c>
      <c r="N1272" s="178">
        <v>44202</v>
      </c>
      <c r="O1272" s="178">
        <v>44204</v>
      </c>
      <c r="P1272" s="178">
        <v>44207</v>
      </c>
      <c r="AA1272" s="166">
        <v>44209</v>
      </c>
      <c r="AC1272" s="107">
        <f>6/21%</f>
        <v>28.571428571428573</v>
      </c>
      <c r="AD1272" s="107">
        <v>879</v>
      </c>
      <c r="AE1272" s="107">
        <v>415.5</v>
      </c>
    </row>
    <row r="1273" spans="1:31" ht="15.75" hidden="1" customHeight="1">
      <c r="A1273" s="241" t="s">
        <v>1520</v>
      </c>
      <c r="B1273" s="226">
        <v>44183</v>
      </c>
      <c r="C1273" s="230">
        <v>10459</v>
      </c>
      <c r="D1273" s="107">
        <f>COUNTA(G1273:Z1273)*0.5</f>
        <v>4.5</v>
      </c>
      <c r="E1273" s="107">
        <v>309</v>
      </c>
      <c r="F1273" s="107" t="s">
        <v>263</v>
      </c>
      <c r="G1273" s="178">
        <v>44183</v>
      </c>
      <c r="H1273" s="178">
        <v>44183</v>
      </c>
      <c r="I1273" s="178">
        <v>44187</v>
      </c>
      <c r="J1273" s="178">
        <v>44188</v>
      </c>
      <c r="K1273" s="178" t="s">
        <v>1500</v>
      </c>
      <c r="L1273" s="178">
        <v>44193</v>
      </c>
      <c r="M1273" s="178">
        <v>44195</v>
      </c>
      <c r="N1273" s="178">
        <v>44202</v>
      </c>
      <c r="O1273" s="178">
        <v>44204</v>
      </c>
      <c r="AA1273" s="166">
        <v>44209</v>
      </c>
    </row>
    <row r="1274" spans="1:31" ht="15.75" hidden="1" customHeight="1">
      <c r="A1274" s="241" t="s">
        <v>1521</v>
      </c>
      <c r="B1274" s="226">
        <v>44183</v>
      </c>
      <c r="C1274" s="230">
        <v>10459</v>
      </c>
      <c r="D1274" s="107">
        <f>COUNTA(G1274:Z1274)*0.5</f>
        <v>5</v>
      </c>
      <c r="E1274" s="107">
        <v>309</v>
      </c>
      <c r="F1274" s="107" t="s">
        <v>263</v>
      </c>
      <c r="G1274" s="178">
        <v>44183</v>
      </c>
      <c r="H1274" s="178">
        <v>44183</v>
      </c>
      <c r="I1274" s="178">
        <v>44187</v>
      </c>
      <c r="J1274" s="178">
        <v>44188</v>
      </c>
      <c r="K1274" s="178" t="s">
        <v>1500</v>
      </c>
      <c r="L1274" s="178">
        <v>44193</v>
      </c>
      <c r="M1274" s="178">
        <v>44195</v>
      </c>
      <c r="N1274" s="178">
        <v>44202</v>
      </c>
      <c r="O1274" s="178">
        <v>44204</v>
      </c>
      <c r="P1274" s="178">
        <v>44207</v>
      </c>
      <c r="AA1274" s="166">
        <v>44209</v>
      </c>
      <c r="AC1274" s="107">
        <f>8/19%</f>
        <v>42.10526315789474</v>
      </c>
      <c r="AD1274" s="107">
        <v>942</v>
      </c>
      <c r="AE1274" s="107">
        <v>489.5</v>
      </c>
    </row>
    <row r="1275" spans="1:31" ht="15.75" hidden="1" customHeight="1">
      <c r="A1275" s="241" t="s">
        <v>1522</v>
      </c>
      <c r="B1275" s="226">
        <v>44183</v>
      </c>
      <c r="C1275" s="230">
        <v>10821</v>
      </c>
      <c r="D1275" s="107">
        <f>COUNTA(G1275:Z1275)*0.5</f>
        <v>5.5</v>
      </c>
      <c r="E1275" s="107">
        <v>310</v>
      </c>
      <c r="F1275" s="107" t="s">
        <v>263</v>
      </c>
      <c r="G1275" s="178">
        <v>44183</v>
      </c>
      <c r="H1275" s="178">
        <v>44183</v>
      </c>
      <c r="I1275" s="178">
        <v>44187</v>
      </c>
      <c r="J1275" s="178">
        <v>44188</v>
      </c>
      <c r="K1275" s="178" t="s">
        <v>1500</v>
      </c>
      <c r="L1275" s="178">
        <v>44193</v>
      </c>
      <c r="M1275" s="178">
        <v>44195</v>
      </c>
      <c r="N1275" s="178">
        <v>44202</v>
      </c>
      <c r="O1275" s="178">
        <v>44204</v>
      </c>
      <c r="P1275" s="178">
        <v>44207</v>
      </c>
      <c r="Q1275" s="178">
        <v>44209</v>
      </c>
      <c r="AA1275" s="166">
        <v>44210</v>
      </c>
    </row>
    <row r="1276" spans="1:31" ht="15.75" hidden="1" customHeight="1">
      <c r="A1276" s="241" t="s">
        <v>1523</v>
      </c>
      <c r="B1276" s="226">
        <v>44183</v>
      </c>
      <c r="C1276" s="230">
        <v>10821</v>
      </c>
      <c r="D1276" s="107">
        <f>COUNTA(G1276:Z1276)*0.5</f>
        <v>5.5</v>
      </c>
      <c r="E1276" s="107">
        <v>310</v>
      </c>
      <c r="F1276" s="107" t="s">
        <v>263</v>
      </c>
      <c r="G1276" s="178">
        <v>44183</v>
      </c>
      <c r="H1276" s="178">
        <v>44183</v>
      </c>
      <c r="I1276" s="178">
        <v>44187</v>
      </c>
      <c r="J1276" s="178">
        <v>44188</v>
      </c>
      <c r="K1276" s="178" t="s">
        <v>1500</v>
      </c>
      <c r="L1276" s="178">
        <v>44193</v>
      </c>
      <c r="M1276" s="178">
        <v>44195</v>
      </c>
      <c r="N1276" s="178">
        <v>44202</v>
      </c>
      <c r="O1276" s="178">
        <v>44204</v>
      </c>
      <c r="P1276" s="178">
        <v>44207</v>
      </c>
      <c r="Q1276" s="178">
        <v>44209</v>
      </c>
      <c r="AA1276" s="166">
        <v>44210</v>
      </c>
    </row>
    <row r="1277" spans="1:31" ht="15.75" hidden="1" customHeight="1">
      <c r="A1277" s="241" t="s">
        <v>1524</v>
      </c>
      <c r="B1277" s="226">
        <v>44183</v>
      </c>
      <c r="C1277" s="230">
        <v>10821</v>
      </c>
      <c r="D1277" s="107">
        <f>COUNTA(G1277:Z1277)*0.5</f>
        <v>5.5</v>
      </c>
      <c r="E1277" s="107">
        <v>310</v>
      </c>
      <c r="F1277" s="107" t="s">
        <v>263</v>
      </c>
      <c r="G1277" s="178">
        <v>44183</v>
      </c>
      <c r="H1277" s="178">
        <v>44183</v>
      </c>
      <c r="I1277" s="178">
        <v>44187</v>
      </c>
      <c r="J1277" s="178">
        <v>44188</v>
      </c>
      <c r="K1277" s="178" t="s">
        <v>1500</v>
      </c>
      <c r="L1277" s="178">
        <v>44193</v>
      </c>
      <c r="M1277" s="178">
        <v>44195</v>
      </c>
      <c r="N1277" s="178">
        <v>44202</v>
      </c>
      <c r="O1277" s="178">
        <v>44204</v>
      </c>
      <c r="P1277" s="178">
        <v>44207</v>
      </c>
      <c r="Q1277" s="178">
        <v>44209</v>
      </c>
      <c r="R1277" s="260"/>
      <c r="AA1277" s="166">
        <v>44210</v>
      </c>
    </row>
    <row r="1278" spans="1:31" ht="15.75" hidden="1" customHeight="1">
      <c r="A1278" s="241" t="s">
        <v>1525</v>
      </c>
      <c r="B1278" s="226">
        <v>44183</v>
      </c>
      <c r="C1278" s="230">
        <v>10821</v>
      </c>
      <c r="D1278" s="107">
        <f>COUNTA(G1278:Z1278)*0.5</f>
        <v>5.5</v>
      </c>
      <c r="E1278" s="107">
        <v>310</v>
      </c>
      <c r="F1278" s="107" t="s">
        <v>263</v>
      </c>
      <c r="G1278" s="178">
        <v>44183</v>
      </c>
      <c r="H1278" s="178">
        <v>44183</v>
      </c>
      <c r="I1278" s="178">
        <v>44187</v>
      </c>
      <c r="J1278" s="178">
        <v>44188</v>
      </c>
      <c r="K1278" s="178" t="s">
        <v>1500</v>
      </c>
      <c r="L1278" s="178">
        <v>44193</v>
      </c>
      <c r="M1278" s="178">
        <v>44195</v>
      </c>
      <c r="N1278" s="178">
        <v>44202</v>
      </c>
      <c r="O1278" s="178">
        <v>44204</v>
      </c>
      <c r="P1278" s="178">
        <v>44207</v>
      </c>
      <c r="Q1278" s="178">
        <v>44209</v>
      </c>
      <c r="R1278" s="260"/>
      <c r="AA1278" s="166">
        <v>44210</v>
      </c>
    </row>
    <row r="1279" spans="1:31" ht="15.75" hidden="1" customHeight="1">
      <c r="A1279" s="241" t="s">
        <v>1526</v>
      </c>
      <c r="B1279" s="226">
        <v>44183</v>
      </c>
      <c r="C1279" s="230">
        <v>10821</v>
      </c>
      <c r="D1279" s="107">
        <f>COUNTA(G1279:Z1279)*0.5</f>
        <v>5.5</v>
      </c>
      <c r="E1279" s="107">
        <v>310</v>
      </c>
      <c r="F1279" s="107" t="s">
        <v>263</v>
      </c>
      <c r="G1279" s="178">
        <v>44183</v>
      </c>
      <c r="H1279" s="178">
        <v>44183</v>
      </c>
      <c r="I1279" s="178">
        <v>44187</v>
      </c>
      <c r="J1279" s="178">
        <v>44188</v>
      </c>
      <c r="K1279" s="178" t="s">
        <v>1500</v>
      </c>
      <c r="L1279" s="178">
        <v>44193</v>
      </c>
      <c r="M1279" s="178">
        <v>44195</v>
      </c>
      <c r="N1279" s="178">
        <v>44202</v>
      </c>
      <c r="O1279" s="178">
        <v>44204</v>
      </c>
      <c r="P1279" s="178">
        <v>44207</v>
      </c>
      <c r="Q1279" s="178">
        <v>44209</v>
      </c>
      <c r="AA1279" s="166">
        <v>44210</v>
      </c>
      <c r="AC1279" s="107">
        <f>17/26%</f>
        <v>65.384615384615387</v>
      </c>
      <c r="AD1279" s="107">
        <v>907.5</v>
      </c>
      <c r="AE1279" s="107">
        <v>280.5</v>
      </c>
    </row>
    <row r="1280" spans="1:31" ht="15.75" hidden="1" customHeight="1">
      <c r="A1280" s="241" t="s">
        <v>1527</v>
      </c>
      <c r="B1280" s="226">
        <v>44183</v>
      </c>
      <c r="C1280" s="230">
        <v>10821</v>
      </c>
      <c r="D1280" s="107">
        <f>COUNTA(G1280:Z1280)*0.5</f>
        <v>5.5</v>
      </c>
      <c r="E1280" s="107">
        <v>310</v>
      </c>
      <c r="F1280" s="107" t="s">
        <v>263</v>
      </c>
      <c r="G1280" s="178">
        <v>44183</v>
      </c>
      <c r="H1280" s="178">
        <v>44183</v>
      </c>
      <c r="I1280" s="178">
        <v>44187</v>
      </c>
      <c r="J1280" s="178">
        <v>44188</v>
      </c>
      <c r="K1280" s="178" t="s">
        <v>1500</v>
      </c>
      <c r="L1280" s="178">
        <v>44193</v>
      </c>
      <c r="M1280" s="178">
        <v>44195</v>
      </c>
      <c r="N1280" s="178">
        <v>44202</v>
      </c>
      <c r="O1280" s="178">
        <v>44204</v>
      </c>
      <c r="P1280" s="178">
        <v>44207</v>
      </c>
      <c r="Q1280" s="178">
        <v>44209</v>
      </c>
      <c r="AA1280" s="166">
        <v>44210</v>
      </c>
    </row>
    <row r="1281" spans="1:31" ht="15.75" hidden="1" customHeight="1">
      <c r="A1281" s="241" t="s">
        <v>1528</v>
      </c>
      <c r="B1281" s="226">
        <v>44183</v>
      </c>
      <c r="C1281" s="230">
        <v>10821</v>
      </c>
      <c r="D1281" s="107">
        <f>COUNTA(G1281:Z1281)*0.5</f>
        <v>5.5</v>
      </c>
      <c r="E1281" s="107">
        <v>310</v>
      </c>
      <c r="F1281" s="107" t="s">
        <v>263</v>
      </c>
      <c r="G1281" s="178">
        <v>44183</v>
      </c>
      <c r="H1281" s="178">
        <v>44183</v>
      </c>
      <c r="I1281" s="178">
        <v>44187</v>
      </c>
      <c r="J1281" s="178">
        <v>44188</v>
      </c>
      <c r="K1281" s="178" t="s">
        <v>1500</v>
      </c>
      <c r="L1281" s="178">
        <v>44193</v>
      </c>
      <c r="M1281" s="178">
        <v>44195</v>
      </c>
      <c r="N1281" s="178">
        <v>44202</v>
      </c>
      <c r="O1281" s="178">
        <v>44204</v>
      </c>
      <c r="P1281" s="178">
        <v>44207</v>
      </c>
      <c r="Q1281" s="178">
        <v>44209</v>
      </c>
      <c r="AA1281" s="166">
        <v>44210</v>
      </c>
      <c r="AC1281" s="107">
        <f>12/25%</f>
        <v>48</v>
      </c>
      <c r="AD1281" s="107">
        <v>991</v>
      </c>
      <c r="AE1281" s="107">
        <v>369.5</v>
      </c>
    </row>
    <row r="1282" spans="1:31" ht="15.75" hidden="1" customHeight="1">
      <c r="A1282" s="241" t="s">
        <v>1529</v>
      </c>
      <c r="B1282" s="226">
        <v>44183</v>
      </c>
      <c r="C1282" s="230">
        <v>10821</v>
      </c>
      <c r="D1282" s="107">
        <f>COUNTA(G1282:Z1282)*0.5</f>
        <v>5.5</v>
      </c>
      <c r="E1282" s="107">
        <v>310</v>
      </c>
      <c r="F1282" s="107" t="s">
        <v>263</v>
      </c>
      <c r="G1282" s="178">
        <v>44183</v>
      </c>
      <c r="H1282" s="178">
        <v>44183</v>
      </c>
      <c r="I1282" s="178">
        <v>44187</v>
      </c>
      <c r="J1282" s="178">
        <v>44188</v>
      </c>
      <c r="K1282" s="178" t="s">
        <v>1500</v>
      </c>
      <c r="L1282" s="178">
        <v>44193</v>
      </c>
      <c r="M1282" s="178">
        <v>44195</v>
      </c>
      <c r="N1282" s="178">
        <v>44202</v>
      </c>
      <c r="O1282" s="178">
        <v>44204</v>
      </c>
      <c r="P1282" s="178">
        <v>44207</v>
      </c>
      <c r="Q1282" s="178">
        <v>44209</v>
      </c>
      <c r="AA1282" s="166">
        <v>44210</v>
      </c>
    </row>
    <row r="1283" spans="1:31" ht="15.75" hidden="1" customHeight="1">
      <c r="A1283" s="241" t="s">
        <v>1530</v>
      </c>
      <c r="B1283" s="226">
        <v>44183</v>
      </c>
      <c r="C1283" s="230">
        <v>10821</v>
      </c>
      <c r="D1283" s="107">
        <f>COUNTA(G1283:Z1283)*0.5</f>
        <v>5.5</v>
      </c>
      <c r="E1283" s="107">
        <v>310</v>
      </c>
      <c r="F1283" s="107" t="s">
        <v>263</v>
      </c>
      <c r="G1283" s="178">
        <v>44183</v>
      </c>
      <c r="H1283" s="178">
        <v>44183</v>
      </c>
      <c r="I1283" s="178">
        <v>44187</v>
      </c>
      <c r="J1283" s="178">
        <v>44188</v>
      </c>
      <c r="K1283" s="178" t="s">
        <v>1500</v>
      </c>
      <c r="L1283" s="178">
        <v>44193</v>
      </c>
      <c r="M1283" s="178">
        <v>44195</v>
      </c>
      <c r="N1283" s="178">
        <v>44202</v>
      </c>
      <c r="O1283" s="178">
        <v>44204</v>
      </c>
      <c r="P1283" s="178">
        <v>44207</v>
      </c>
      <c r="Q1283" s="178">
        <v>44209</v>
      </c>
      <c r="AA1283" s="166">
        <v>44210</v>
      </c>
    </row>
    <row r="1284" spans="1:31" ht="15.75" hidden="1" customHeight="1">
      <c r="A1284" s="241" t="s">
        <v>1531</v>
      </c>
      <c r="B1284" s="226">
        <v>44183</v>
      </c>
      <c r="C1284" s="230">
        <v>10821</v>
      </c>
      <c r="D1284" s="107">
        <f>COUNTA(G1284:Z1284)*0.5</f>
        <v>5.5</v>
      </c>
      <c r="E1284" s="107">
        <v>310</v>
      </c>
      <c r="F1284" s="107" t="s">
        <v>263</v>
      </c>
      <c r="G1284" s="178">
        <v>44183</v>
      </c>
      <c r="H1284" s="178">
        <v>44183</v>
      </c>
      <c r="I1284" s="178">
        <v>44187</v>
      </c>
      <c r="J1284" s="178">
        <v>44188</v>
      </c>
      <c r="K1284" s="178" t="s">
        <v>1500</v>
      </c>
      <c r="L1284" s="178">
        <v>44193</v>
      </c>
      <c r="M1284" s="178">
        <v>44195</v>
      </c>
      <c r="N1284" s="178">
        <v>44202</v>
      </c>
      <c r="O1284" s="178">
        <v>44204</v>
      </c>
      <c r="P1284" s="178">
        <v>44207</v>
      </c>
      <c r="Q1284" s="178">
        <v>44209</v>
      </c>
      <c r="AA1284" s="166">
        <v>44210</v>
      </c>
      <c r="AC1284" s="107">
        <f>10/27%</f>
        <v>37.037037037037038</v>
      </c>
      <c r="AD1284" s="107">
        <v>879.5</v>
      </c>
      <c r="AE1284" s="107">
        <v>333.5</v>
      </c>
    </row>
    <row r="1285" spans="1:31" ht="15.75" hidden="1" customHeight="1">
      <c r="A1285" s="258" t="s">
        <v>1532</v>
      </c>
      <c r="B1285" s="226">
        <v>44186</v>
      </c>
      <c r="C1285" s="259">
        <v>10245.290000000001</v>
      </c>
      <c r="D1285" s="107">
        <f>COUNTA(G1285:Z1285)*0.5</f>
        <v>3.5</v>
      </c>
      <c r="E1285" s="107">
        <v>311</v>
      </c>
      <c r="F1285" s="107" t="s">
        <v>263</v>
      </c>
      <c r="G1285" s="178">
        <v>44186</v>
      </c>
      <c r="H1285" s="178">
        <v>44186</v>
      </c>
      <c r="I1285" s="178">
        <v>44193</v>
      </c>
      <c r="J1285" s="178">
        <v>44195</v>
      </c>
      <c r="K1285" s="178">
        <v>44202</v>
      </c>
      <c r="L1285" s="178">
        <v>44204</v>
      </c>
      <c r="M1285" s="178">
        <v>44207</v>
      </c>
      <c r="AA1285" s="166">
        <v>44216</v>
      </c>
    </row>
    <row r="1286" spans="1:31" ht="15.75" hidden="1" customHeight="1">
      <c r="A1286" s="258" t="s">
        <v>1533</v>
      </c>
      <c r="B1286" s="226">
        <v>44186</v>
      </c>
      <c r="C1286" s="259">
        <v>10245.290000000001</v>
      </c>
      <c r="D1286" s="107">
        <f>COUNTA(G1286:Z1286)*0.5</f>
        <v>3.5</v>
      </c>
      <c r="E1286" s="107">
        <v>311</v>
      </c>
      <c r="F1286" s="107" t="s">
        <v>263</v>
      </c>
      <c r="G1286" s="178">
        <v>44186</v>
      </c>
      <c r="H1286" s="178">
        <v>44186</v>
      </c>
      <c r="I1286" s="178">
        <v>44193</v>
      </c>
      <c r="J1286" s="178">
        <v>44195</v>
      </c>
      <c r="K1286" s="178">
        <v>44202</v>
      </c>
      <c r="L1286" s="178">
        <v>44204</v>
      </c>
      <c r="M1286" s="178">
        <v>44207</v>
      </c>
      <c r="AA1286" s="166">
        <v>44216</v>
      </c>
    </row>
    <row r="1287" spans="1:31" ht="15.75" hidden="1" customHeight="1">
      <c r="A1287" s="258" t="s">
        <v>1534</v>
      </c>
      <c r="B1287" s="226">
        <v>44186</v>
      </c>
      <c r="C1287" s="259">
        <v>10245.290000000001</v>
      </c>
      <c r="D1287" s="107">
        <f>COUNTA(G1287:Z1287)*0.5</f>
        <v>3.5</v>
      </c>
      <c r="E1287" s="107">
        <v>311</v>
      </c>
      <c r="F1287" s="107" t="s">
        <v>263</v>
      </c>
      <c r="G1287" s="178">
        <v>44186</v>
      </c>
      <c r="H1287" s="178">
        <v>44186</v>
      </c>
      <c r="I1287" s="178">
        <v>44193</v>
      </c>
      <c r="J1287" s="178">
        <v>44195</v>
      </c>
      <c r="K1287" s="178">
        <v>44202</v>
      </c>
      <c r="L1287" s="178">
        <v>44204</v>
      </c>
      <c r="M1287" s="178">
        <v>44207</v>
      </c>
      <c r="AA1287" s="166">
        <v>44216</v>
      </c>
    </row>
    <row r="1288" spans="1:31" ht="15.75" hidden="1" customHeight="1">
      <c r="A1288" s="258" t="s">
        <v>1535</v>
      </c>
      <c r="B1288" s="226">
        <v>44186</v>
      </c>
      <c r="C1288" s="259">
        <v>10245.290000000001</v>
      </c>
      <c r="D1288" s="107">
        <f>COUNTA(G1288:Z1288)*0.5</f>
        <v>3.5</v>
      </c>
      <c r="E1288" s="107">
        <v>311</v>
      </c>
      <c r="F1288" s="107" t="s">
        <v>263</v>
      </c>
      <c r="G1288" s="178">
        <v>44186</v>
      </c>
      <c r="H1288" s="178">
        <v>44186</v>
      </c>
      <c r="I1288" s="178">
        <v>44193</v>
      </c>
      <c r="J1288" s="178">
        <v>44195</v>
      </c>
      <c r="K1288" s="178">
        <v>44202</v>
      </c>
      <c r="L1288" s="178">
        <v>44204</v>
      </c>
      <c r="M1288" s="178">
        <v>44207</v>
      </c>
      <c r="AA1288" s="166">
        <v>44216</v>
      </c>
      <c r="AC1288" s="107">
        <f>27/32%</f>
        <v>84.375</v>
      </c>
      <c r="AD1288" s="107">
        <v>805</v>
      </c>
      <c r="AE1288" s="107">
        <v>250.5</v>
      </c>
    </row>
    <row r="1289" spans="1:31" ht="15.75" hidden="1" customHeight="1">
      <c r="A1289" s="258" t="s">
        <v>1536</v>
      </c>
      <c r="B1289" s="226">
        <v>44186</v>
      </c>
      <c r="C1289" s="259">
        <v>10245.290000000001</v>
      </c>
      <c r="D1289" s="107">
        <f>COUNTA(G1289:Z1289)*0.5</f>
        <v>3.5</v>
      </c>
      <c r="E1289" s="107">
        <v>311</v>
      </c>
      <c r="F1289" s="107" t="s">
        <v>263</v>
      </c>
      <c r="G1289" s="178">
        <v>44186</v>
      </c>
      <c r="H1289" s="178">
        <v>44186</v>
      </c>
      <c r="I1289" s="178">
        <v>44193</v>
      </c>
      <c r="J1289" s="178">
        <v>44195</v>
      </c>
      <c r="K1289" s="178">
        <v>44202</v>
      </c>
      <c r="L1289" s="178">
        <v>44204</v>
      </c>
      <c r="M1289" s="178">
        <v>44207</v>
      </c>
      <c r="AA1289" s="166">
        <v>44216</v>
      </c>
      <c r="AC1289" s="107">
        <f>13/26%</f>
        <v>50</v>
      </c>
      <c r="AD1289" s="107">
        <v>816.5</v>
      </c>
      <c r="AE1289" s="107">
        <v>234.5</v>
      </c>
    </row>
    <row r="1290" spans="1:31" ht="15.75" hidden="1" customHeight="1">
      <c r="A1290" s="258" t="s">
        <v>1537</v>
      </c>
      <c r="B1290" s="226">
        <v>44186</v>
      </c>
      <c r="C1290" s="259">
        <v>10245.290000000001</v>
      </c>
      <c r="D1290" s="107">
        <f>COUNTA(G1290:Z1290)*0.5</f>
        <v>3.5</v>
      </c>
      <c r="E1290" s="107">
        <v>311</v>
      </c>
      <c r="F1290" s="107" t="s">
        <v>263</v>
      </c>
      <c r="G1290" s="178">
        <v>44186</v>
      </c>
      <c r="H1290" s="178">
        <v>44186</v>
      </c>
      <c r="I1290" s="178">
        <v>44193</v>
      </c>
      <c r="J1290" s="178">
        <v>44195</v>
      </c>
      <c r="K1290" s="178">
        <v>44202</v>
      </c>
      <c r="L1290" s="178">
        <v>44204</v>
      </c>
      <c r="M1290" s="178">
        <v>44207</v>
      </c>
      <c r="AA1290" s="166">
        <v>44216</v>
      </c>
    </row>
    <row r="1291" spans="1:31" ht="15.75" hidden="1" customHeight="1">
      <c r="A1291" s="258" t="s">
        <v>1538</v>
      </c>
      <c r="B1291" s="226">
        <v>44186</v>
      </c>
      <c r="C1291" s="259">
        <v>10245.290000000001</v>
      </c>
      <c r="D1291" s="107">
        <f>COUNTA(G1291:Z1291)*0.5</f>
        <v>3.5</v>
      </c>
      <c r="E1291" s="107">
        <v>311</v>
      </c>
      <c r="F1291" s="107" t="s">
        <v>263</v>
      </c>
      <c r="G1291" s="178">
        <v>44186</v>
      </c>
      <c r="H1291" s="178">
        <v>44186</v>
      </c>
      <c r="I1291" s="178">
        <v>44193</v>
      </c>
      <c r="J1291" s="178">
        <v>44195</v>
      </c>
      <c r="K1291" s="178">
        <v>44202</v>
      </c>
      <c r="L1291" s="178">
        <v>44204</v>
      </c>
      <c r="M1291" s="178">
        <v>44207</v>
      </c>
      <c r="AA1291" s="166">
        <v>44216</v>
      </c>
      <c r="AC1291" s="107">
        <f>25/28%</f>
        <v>89.285714285714278</v>
      </c>
      <c r="AD1291" s="107">
        <v>718.5</v>
      </c>
      <c r="AE1291" s="107">
        <v>236</v>
      </c>
    </row>
    <row r="1292" spans="1:31" ht="15.75" hidden="1" customHeight="1">
      <c r="A1292" s="258" t="s">
        <v>1539</v>
      </c>
      <c r="B1292" s="226">
        <v>44186</v>
      </c>
      <c r="C1292" s="259">
        <v>10051.77</v>
      </c>
      <c r="D1292" s="107">
        <f>COUNTA(G1292:Z1292)*0.5</f>
        <v>4.5</v>
      </c>
      <c r="E1292" s="107">
        <v>312</v>
      </c>
      <c r="F1292" s="107" t="s">
        <v>263</v>
      </c>
      <c r="G1292" s="178">
        <v>44186</v>
      </c>
      <c r="H1292" s="178">
        <v>44186</v>
      </c>
      <c r="I1292" s="178">
        <v>44193</v>
      </c>
      <c r="J1292" s="178">
        <v>44195</v>
      </c>
      <c r="K1292" s="178">
        <v>44202</v>
      </c>
      <c r="L1292" s="178">
        <v>44204</v>
      </c>
      <c r="M1292" s="178">
        <v>44207</v>
      </c>
      <c r="N1292" s="178">
        <v>44209</v>
      </c>
      <c r="O1292" s="178">
        <v>44211</v>
      </c>
      <c r="AA1292" s="166">
        <v>44221</v>
      </c>
      <c r="AC1292" s="107">
        <f>16/22*100</f>
        <v>72.727272727272734</v>
      </c>
      <c r="AD1292" s="107">
        <v>690</v>
      </c>
      <c r="AE1292" s="107">
        <v>335</v>
      </c>
    </row>
    <row r="1293" spans="1:31" ht="15.75" hidden="1" customHeight="1">
      <c r="A1293" s="258" t="s">
        <v>1540</v>
      </c>
      <c r="B1293" s="226">
        <v>44186</v>
      </c>
      <c r="C1293" s="259">
        <v>10051.77</v>
      </c>
      <c r="D1293" s="107">
        <f>COUNTA(G1293:Z1293)*0.5</f>
        <v>4.5</v>
      </c>
      <c r="E1293" s="107">
        <v>312</v>
      </c>
      <c r="F1293" s="107" t="s">
        <v>263</v>
      </c>
      <c r="G1293" s="178">
        <v>44186</v>
      </c>
      <c r="H1293" s="178">
        <v>44186</v>
      </c>
      <c r="I1293" s="178">
        <v>44193</v>
      </c>
      <c r="J1293" s="178">
        <v>44195</v>
      </c>
      <c r="K1293" s="178">
        <v>44202</v>
      </c>
      <c r="L1293" s="178">
        <v>44204</v>
      </c>
      <c r="M1293" s="178">
        <v>44207</v>
      </c>
      <c r="N1293" s="178">
        <v>44209</v>
      </c>
      <c r="O1293" s="178">
        <v>44211</v>
      </c>
      <c r="AA1293" s="166">
        <v>44221</v>
      </c>
    </row>
    <row r="1294" spans="1:31" ht="15.75" hidden="1" customHeight="1">
      <c r="A1294" s="258" t="s">
        <v>1541</v>
      </c>
      <c r="B1294" s="226">
        <v>44186</v>
      </c>
      <c r="C1294" s="259">
        <v>10051.77</v>
      </c>
      <c r="D1294" s="107">
        <f>COUNTA(G1294:Z1294)*0.5</f>
        <v>4.5</v>
      </c>
      <c r="E1294" s="107">
        <v>312</v>
      </c>
      <c r="F1294" s="107" t="s">
        <v>263</v>
      </c>
      <c r="G1294" s="178">
        <v>44186</v>
      </c>
      <c r="H1294" s="178">
        <v>44186</v>
      </c>
      <c r="I1294" s="178">
        <v>44193</v>
      </c>
      <c r="J1294" s="178">
        <v>44195</v>
      </c>
      <c r="K1294" s="178">
        <v>44202</v>
      </c>
      <c r="L1294" s="178">
        <v>44204</v>
      </c>
      <c r="M1294" s="178">
        <v>44207</v>
      </c>
      <c r="N1294" s="178">
        <v>44209</v>
      </c>
      <c r="O1294" s="178">
        <v>44211</v>
      </c>
      <c r="AA1294" s="166">
        <v>44221</v>
      </c>
    </row>
    <row r="1295" spans="1:31" ht="15.75" hidden="1" customHeight="1">
      <c r="A1295" s="258" t="s">
        <v>1542</v>
      </c>
      <c r="B1295" s="226">
        <v>44186</v>
      </c>
      <c r="C1295" s="259">
        <v>10051.77</v>
      </c>
      <c r="D1295" s="107">
        <f>COUNTA(G1295:Z1295)*0.5</f>
        <v>4.5</v>
      </c>
      <c r="E1295" s="107">
        <v>312</v>
      </c>
      <c r="F1295" s="107" t="s">
        <v>263</v>
      </c>
      <c r="G1295" s="178">
        <v>44186</v>
      </c>
      <c r="H1295" s="178">
        <v>44186</v>
      </c>
      <c r="I1295" s="178">
        <v>44193</v>
      </c>
      <c r="J1295" s="178">
        <v>44195</v>
      </c>
      <c r="K1295" s="178">
        <v>44202</v>
      </c>
      <c r="L1295" s="178">
        <v>44204</v>
      </c>
      <c r="M1295" s="178">
        <v>44207</v>
      </c>
      <c r="N1295" s="178">
        <v>44209</v>
      </c>
      <c r="O1295" s="178">
        <v>44211</v>
      </c>
      <c r="AA1295" s="166">
        <v>44221</v>
      </c>
      <c r="AC1295" s="107">
        <f>7/25%</f>
        <v>28</v>
      </c>
      <c r="AD1295" s="107">
        <v>741</v>
      </c>
      <c r="AE1295" s="107">
        <v>360.5</v>
      </c>
    </row>
    <row r="1296" spans="1:31" ht="15.75" hidden="1" customHeight="1">
      <c r="A1296" s="258" t="s">
        <v>1543</v>
      </c>
      <c r="B1296" s="226">
        <v>44186</v>
      </c>
      <c r="C1296" s="259">
        <v>10051.77</v>
      </c>
      <c r="D1296" s="107">
        <f>COUNTA(G1296:Z1296)*0.5</f>
        <v>4.5</v>
      </c>
      <c r="E1296" s="107">
        <v>312</v>
      </c>
      <c r="F1296" s="107" t="s">
        <v>263</v>
      </c>
      <c r="G1296" s="178">
        <v>44186</v>
      </c>
      <c r="H1296" s="178">
        <v>44186</v>
      </c>
      <c r="I1296" s="178">
        <v>44193</v>
      </c>
      <c r="J1296" s="178">
        <v>44195</v>
      </c>
      <c r="K1296" s="178">
        <v>44202</v>
      </c>
      <c r="L1296" s="178">
        <v>44204</v>
      </c>
      <c r="M1296" s="178">
        <v>44207</v>
      </c>
      <c r="N1296" s="178">
        <v>44209</v>
      </c>
      <c r="O1296" s="178">
        <v>44211</v>
      </c>
      <c r="AA1296" s="166">
        <v>44221</v>
      </c>
    </row>
    <row r="1297" spans="1:31" ht="15.75" hidden="1" customHeight="1">
      <c r="A1297" s="258" t="s">
        <v>1544</v>
      </c>
      <c r="B1297" s="226">
        <v>44186</v>
      </c>
      <c r="C1297" s="259">
        <v>10051.77</v>
      </c>
      <c r="D1297" s="107">
        <f>COUNTA(G1297:Z1297)*0.5</f>
        <v>4.5</v>
      </c>
      <c r="E1297" s="107">
        <v>312</v>
      </c>
      <c r="F1297" s="107" t="s">
        <v>263</v>
      </c>
      <c r="G1297" s="178">
        <v>44186</v>
      </c>
      <c r="H1297" s="178">
        <v>44186</v>
      </c>
      <c r="I1297" s="178">
        <v>44193</v>
      </c>
      <c r="J1297" s="178">
        <v>44195</v>
      </c>
      <c r="K1297" s="178">
        <v>44202</v>
      </c>
      <c r="L1297" s="178">
        <v>44204</v>
      </c>
      <c r="M1297" s="178">
        <v>44207</v>
      </c>
      <c r="N1297" s="178">
        <v>44209</v>
      </c>
      <c r="O1297" s="178">
        <v>44211</v>
      </c>
      <c r="AA1297" s="166">
        <v>44221</v>
      </c>
    </row>
    <row r="1298" spans="1:31" ht="15.75" hidden="1" customHeight="1">
      <c r="A1298" s="258" t="s">
        <v>1545</v>
      </c>
      <c r="B1298" s="226">
        <v>44186</v>
      </c>
      <c r="C1298" s="259">
        <v>10051.77</v>
      </c>
      <c r="D1298" s="107">
        <f>COUNTA(G1298:Z1298)*0.5</f>
        <v>4.5</v>
      </c>
      <c r="E1298" s="107">
        <v>312</v>
      </c>
      <c r="F1298" s="107" t="s">
        <v>263</v>
      </c>
      <c r="G1298" s="178">
        <v>44186</v>
      </c>
      <c r="H1298" s="178">
        <v>44186</v>
      </c>
      <c r="I1298" s="178">
        <v>44193</v>
      </c>
      <c r="J1298" s="178">
        <v>44195</v>
      </c>
      <c r="K1298" s="178">
        <v>44202</v>
      </c>
      <c r="L1298" s="178">
        <v>44204</v>
      </c>
      <c r="M1298" s="178">
        <v>44207</v>
      </c>
      <c r="N1298" s="178">
        <v>44209</v>
      </c>
      <c r="O1298" s="178">
        <v>44211</v>
      </c>
      <c r="AA1298" s="166">
        <v>44221</v>
      </c>
      <c r="AC1298" s="107">
        <f>12/27%</f>
        <v>44.444444444444443</v>
      </c>
      <c r="AD1298" s="107">
        <v>729.5</v>
      </c>
      <c r="AE1298" s="107">
        <v>371</v>
      </c>
    </row>
    <row r="1299" spans="1:31" ht="15.75" hidden="1" customHeight="1">
      <c r="A1299" s="258" t="s">
        <v>1546</v>
      </c>
      <c r="B1299" s="226">
        <v>44186</v>
      </c>
      <c r="C1299" s="259">
        <v>10051.77</v>
      </c>
      <c r="D1299" s="107">
        <f>COUNTA(G1299:Z1299)*0.5</f>
        <v>4.5</v>
      </c>
      <c r="E1299" s="107">
        <v>312</v>
      </c>
      <c r="F1299" s="107" t="s">
        <v>263</v>
      </c>
      <c r="G1299" s="178">
        <v>44186</v>
      </c>
      <c r="H1299" s="178">
        <v>44186</v>
      </c>
      <c r="I1299" s="178">
        <v>44193</v>
      </c>
      <c r="J1299" s="178">
        <v>44195</v>
      </c>
      <c r="K1299" s="178">
        <v>44202</v>
      </c>
      <c r="L1299" s="178">
        <v>44204</v>
      </c>
      <c r="M1299" s="178">
        <v>44207</v>
      </c>
      <c r="N1299" s="178">
        <v>44209</v>
      </c>
      <c r="O1299" s="178">
        <v>44211</v>
      </c>
      <c r="AA1299" s="166">
        <v>44221</v>
      </c>
    </row>
    <row r="1300" spans="1:31" ht="15.75" hidden="1" customHeight="1">
      <c r="A1300" s="258" t="s">
        <v>1547</v>
      </c>
      <c r="B1300" s="226">
        <v>44187</v>
      </c>
      <c r="C1300" s="259">
        <v>10645.73</v>
      </c>
      <c r="D1300" s="107">
        <f>COUNTA(G1300:Z1300)*0.5</f>
        <v>3.5</v>
      </c>
      <c r="E1300" s="107">
        <v>313</v>
      </c>
      <c r="F1300" s="107" t="s">
        <v>263</v>
      </c>
      <c r="G1300" s="178">
        <v>44187</v>
      </c>
      <c r="H1300" s="178">
        <v>44187</v>
      </c>
      <c r="I1300" s="178" t="s">
        <v>1500</v>
      </c>
      <c r="J1300" s="178">
        <v>44193</v>
      </c>
      <c r="K1300" s="178">
        <v>44195</v>
      </c>
      <c r="L1300" s="178">
        <v>44202</v>
      </c>
      <c r="M1300" s="178">
        <v>44204</v>
      </c>
      <c r="AA1300" s="166">
        <v>44216</v>
      </c>
    </row>
    <row r="1301" spans="1:31" ht="15.75" hidden="1" customHeight="1">
      <c r="A1301" s="258" t="s">
        <v>1548</v>
      </c>
      <c r="B1301" s="226">
        <v>44187</v>
      </c>
      <c r="C1301" s="259">
        <v>10645.73</v>
      </c>
      <c r="D1301" s="107">
        <f>COUNTA(G1301:Z1301)*0.5</f>
        <v>4</v>
      </c>
      <c r="E1301" s="107">
        <v>313</v>
      </c>
      <c r="F1301" s="107" t="s">
        <v>263</v>
      </c>
      <c r="G1301" s="178">
        <v>44187</v>
      </c>
      <c r="H1301" s="178">
        <v>44187</v>
      </c>
      <c r="I1301" s="178" t="s">
        <v>1500</v>
      </c>
      <c r="J1301" s="178">
        <v>44193</v>
      </c>
      <c r="K1301" s="178">
        <v>44195</v>
      </c>
      <c r="L1301" s="178">
        <v>44202</v>
      </c>
      <c r="M1301" s="178">
        <v>44204</v>
      </c>
      <c r="N1301" s="178">
        <v>44207</v>
      </c>
      <c r="AA1301" s="166">
        <v>44216</v>
      </c>
    </row>
    <row r="1302" spans="1:31" ht="15.75" hidden="1" customHeight="1">
      <c r="A1302" s="258" t="s">
        <v>1549</v>
      </c>
      <c r="B1302" s="226">
        <v>44187</v>
      </c>
      <c r="C1302" s="259">
        <v>10645.73</v>
      </c>
      <c r="D1302" s="107">
        <f>COUNTA(G1302:Z1302)*0.5</f>
        <v>4</v>
      </c>
      <c r="E1302" s="107">
        <v>313</v>
      </c>
      <c r="F1302" s="107" t="s">
        <v>263</v>
      </c>
      <c r="G1302" s="178">
        <v>44187</v>
      </c>
      <c r="H1302" s="178">
        <v>44187</v>
      </c>
      <c r="I1302" s="178" t="s">
        <v>1500</v>
      </c>
      <c r="J1302" s="178">
        <v>44193</v>
      </c>
      <c r="K1302" s="178">
        <v>44195</v>
      </c>
      <c r="L1302" s="178">
        <v>44202</v>
      </c>
      <c r="M1302" s="178">
        <v>44204</v>
      </c>
      <c r="N1302" s="178">
        <v>44207</v>
      </c>
      <c r="AA1302" s="166">
        <v>44216</v>
      </c>
      <c r="AC1302" s="107">
        <f>9/14*100</f>
        <v>64.285714285714292</v>
      </c>
      <c r="AD1302" s="107">
        <f>986.5-233.5</f>
        <v>753</v>
      </c>
      <c r="AE1302" s="107">
        <v>218</v>
      </c>
    </row>
    <row r="1303" spans="1:31" ht="15.75" hidden="1" customHeight="1">
      <c r="A1303" s="258" t="s">
        <v>1550</v>
      </c>
      <c r="B1303" s="226">
        <v>44187</v>
      </c>
      <c r="C1303" s="259">
        <v>10645.73</v>
      </c>
      <c r="D1303" s="107">
        <f>COUNTA(G1303:Z1303)*0.5</f>
        <v>4.5</v>
      </c>
      <c r="E1303" s="107">
        <v>313</v>
      </c>
      <c r="F1303" s="107" t="s">
        <v>263</v>
      </c>
      <c r="G1303" s="178">
        <v>44187</v>
      </c>
      <c r="H1303" s="178">
        <v>44187</v>
      </c>
      <c r="I1303" s="178" t="s">
        <v>1500</v>
      </c>
      <c r="J1303" s="178">
        <v>44193</v>
      </c>
      <c r="K1303" s="178">
        <v>44195</v>
      </c>
      <c r="L1303" s="178">
        <v>44202</v>
      </c>
      <c r="M1303" s="178">
        <v>44204</v>
      </c>
      <c r="N1303" s="178">
        <v>44207</v>
      </c>
      <c r="O1303" s="178">
        <v>44209</v>
      </c>
      <c r="AA1303" s="166">
        <v>44216</v>
      </c>
    </row>
    <row r="1304" spans="1:31" ht="15.75" hidden="1" customHeight="1">
      <c r="A1304" s="258" t="s">
        <v>1551</v>
      </c>
      <c r="B1304" s="226">
        <v>44187</v>
      </c>
      <c r="C1304" s="259">
        <v>10645.73</v>
      </c>
      <c r="D1304" s="107">
        <f>COUNTA(G1304:Z1304)*0.5</f>
        <v>4</v>
      </c>
      <c r="E1304" s="107">
        <v>313</v>
      </c>
      <c r="F1304" s="107" t="s">
        <v>263</v>
      </c>
      <c r="G1304" s="178">
        <v>44187</v>
      </c>
      <c r="H1304" s="178">
        <v>44187</v>
      </c>
      <c r="I1304" s="178" t="s">
        <v>1500</v>
      </c>
      <c r="J1304" s="178">
        <v>44193</v>
      </c>
      <c r="K1304" s="178">
        <v>44195</v>
      </c>
      <c r="L1304" s="178">
        <v>44202</v>
      </c>
      <c r="M1304" s="178">
        <v>44204</v>
      </c>
      <c r="N1304" s="178">
        <v>44207</v>
      </c>
      <c r="AA1304" s="166">
        <v>44216</v>
      </c>
      <c r="AC1304" s="107">
        <f>24/40*100</f>
        <v>60</v>
      </c>
      <c r="AD1304" s="107">
        <v>750</v>
      </c>
      <c r="AE1304" s="107">
        <v>225</v>
      </c>
    </row>
    <row r="1305" spans="1:31" ht="15.75" hidden="1" customHeight="1">
      <c r="A1305" s="258" t="s">
        <v>1552</v>
      </c>
      <c r="B1305" s="226">
        <v>44187</v>
      </c>
      <c r="C1305" s="259">
        <v>11538.01</v>
      </c>
      <c r="D1305" s="107">
        <f>COUNTA(G1305:Z1305)*0.5</f>
        <v>4</v>
      </c>
      <c r="E1305" s="107">
        <v>316</v>
      </c>
      <c r="F1305" s="107" t="s">
        <v>263</v>
      </c>
      <c r="G1305" s="178">
        <v>44187</v>
      </c>
      <c r="H1305" s="178">
        <v>44187</v>
      </c>
      <c r="I1305" s="178" t="s">
        <v>1500</v>
      </c>
      <c r="J1305" s="178">
        <v>44193</v>
      </c>
      <c r="K1305" s="178">
        <v>44195</v>
      </c>
      <c r="L1305" s="178">
        <v>44202</v>
      </c>
      <c r="M1305" s="178">
        <v>44204</v>
      </c>
      <c r="N1305" s="178">
        <v>44207</v>
      </c>
      <c r="AA1305" s="166">
        <v>44216</v>
      </c>
      <c r="AC1305" s="107">
        <f>8/23*100</f>
        <v>34.782608695652172</v>
      </c>
      <c r="AD1305" s="107">
        <v>755.5</v>
      </c>
      <c r="AE1305" s="107">
        <v>220</v>
      </c>
    </row>
    <row r="1306" spans="1:31" ht="15.75" hidden="1" customHeight="1">
      <c r="A1306" s="258" t="s">
        <v>1553</v>
      </c>
      <c r="B1306" s="226">
        <v>44187</v>
      </c>
      <c r="C1306" s="259">
        <v>11538.01</v>
      </c>
      <c r="D1306" s="107">
        <f>COUNTA(G1306:Z1306)*0.5</f>
        <v>4.5</v>
      </c>
      <c r="E1306" s="107">
        <v>316</v>
      </c>
      <c r="F1306" s="107" t="s">
        <v>263</v>
      </c>
      <c r="G1306" s="178">
        <v>44187</v>
      </c>
      <c r="H1306" s="178">
        <v>44187</v>
      </c>
      <c r="I1306" s="178" t="s">
        <v>1500</v>
      </c>
      <c r="J1306" s="178">
        <v>44193</v>
      </c>
      <c r="K1306" s="178">
        <v>44195</v>
      </c>
      <c r="L1306" s="178">
        <v>44202</v>
      </c>
      <c r="M1306" s="178">
        <v>44204</v>
      </c>
      <c r="N1306" s="178">
        <v>44207</v>
      </c>
      <c r="O1306" s="178">
        <v>44209</v>
      </c>
      <c r="AA1306" s="166">
        <v>44216</v>
      </c>
    </row>
    <row r="1307" spans="1:31" ht="15.75" hidden="1" customHeight="1">
      <c r="A1307" s="258" t="s">
        <v>1554</v>
      </c>
      <c r="B1307" s="226">
        <v>44187</v>
      </c>
      <c r="C1307" s="259">
        <v>11538.01</v>
      </c>
      <c r="D1307" s="107">
        <f>COUNTA(G1307:Z1307)*0.5</f>
        <v>4</v>
      </c>
      <c r="E1307" s="107">
        <v>316</v>
      </c>
      <c r="F1307" s="107" t="s">
        <v>263</v>
      </c>
      <c r="G1307" s="178">
        <v>44187</v>
      </c>
      <c r="H1307" s="178">
        <v>44187</v>
      </c>
      <c r="I1307" s="178" t="s">
        <v>1500</v>
      </c>
      <c r="J1307" s="178">
        <v>44193</v>
      </c>
      <c r="K1307" s="178">
        <v>44195</v>
      </c>
      <c r="L1307" s="178">
        <v>44202</v>
      </c>
      <c r="M1307" s="178">
        <v>44204</v>
      </c>
      <c r="N1307" s="178">
        <v>44207</v>
      </c>
      <c r="AA1307" s="166">
        <v>44216</v>
      </c>
    </row>
    <row r="1308" spans="1:31" ht="15.75" hidden="1" customHeight="1">
      <c r="A1308" s="258" t="s">
        <v>1555</v>
      </c>
      <c r="B1308" s="226">
        <v>44187</v>
      </c>
      <c r="C1308" s="230">
        <f>20100.91
/2</f>
        <v>10050.455</v>
      </c>
      <c r="D1308" s="107">
        <f>COUNTA(G1308:Z1308)*0.5</f>
        <v>4.5</v>
      </c>
      <c r="E1308" s="107">
        <v>314</v>
      </c>
      <c r="F1308" s="107" t="s">
        <v>263</v>
      </c>
      <c r="G1308" s="178">
        <v>44187</v>
      </c>
      <c r="H1308" s="178">
        <v>44187</v>
      </c>
      <c r="I1308" s="178">
        <v>44193</v>
      </c>
      <c r="J1308" s="178">
        <v>44195</v>
      </c>
      <c r="K1308" s="178">
        <v>44202</v>
      </c>
      <c r="L1308" s="178">
        <v>44204</v>
      </c>
      <c r="M1308" s="178">
        <v>44207</v>
      </c>
      <c r="N1308" s="178">
        <v>44209</v>
      </c>
      <c r="O1308" s="178">
        <v>44211</v>
      </c>
      <c r="AA1308" s="166">
        <v>44216</v>
      </c>
    </row>
    <row r="1309" spans="1:31" ht="15.75" hidden="1" customHeight="1">
      <c r="A1309" s="258" t="s">
        <v>1556</v>
      </c>
      <c r="B1309" s="226">
        <v>44187</v>
      </c>
      <c r="C1309" s="230">
        <f>20100.91
/2</f>
        <v>10050.455</v>
      </c>
      <c r="D1309" s="107">
        <f>COUNTA(G1309:Z1309)*0.5</f>
        <v>4.5</v>
      </c>
      <c r="E1309" s="107">
        <v>314</v>
      </c>
      <c r="F1309" s="107" t="s">
        <v>263</v>
      </c>
      <c r="G1309" s="178">
        <v>44187</v>
      </c>
      <c r="H1309" s="178">
        <v>44187</v>
      </c>
      <c r="I1309" s="178">
        <v>44193</v>
      </c>
      <c r="J1309" s="178">
        <v>44195</v>
      </c>
      <c r="K1309" s="178">
        <v>44202</v>
      </c>
      <c r="L1309" s="178">
        <v>44204</v>
      </c>
      <c r="M1309" s="178">
        <v>44207</v>
      </c>
      <c r="N1309" s="178">
        <v>44209</v>
      </c>
      <c r="O1309" s="178">
        <v>44211</v>
      </c>
      <c r="AA1309" s="166">
        <v>44216</v>
      </c>
    </row>
    <row r="1310" spans="1:31" ht="15.75" hidden="1" customHeight="1">
      <c r="A1310" s="258" t="s">
        <v>1557</v>
      </c>
      <c r="B1310" s="226">
        <v>44187</v>
      </c>
      <c r="C1310" s="259">
        <v>10128.530000000001</v>
      </c>
      <c r="D1310" s="107">
        <f>COUNTA(G1310:Z1310)*0.5</f>
        <v>4.5</v>
      </c>
      <c r="E1310" s="107">
        <v>315</v>
      </c>
      <c r="F1310" s="107" t="s">
        <v>263</v>
      </c>
      <c r="G1310" s="178">
        <v>44187</v>
      </c>
      <c r="H1310" s="178">
        <v>44187</v>
      </c>
      <c r="I1310" s="178">
        <v>44193</v>
      </c>
      <c r="J1310" s="178">
        <v>44195</v>
      </c>
      <c r="K1310" s="178">
        <v>44202</v>
      </c>
      <c r="L1310" s="178">
        <v>44204</v>
      </c>
      <c r="M1310" s="178">
        <v>44207</v>
      </c>
      <c r="N1310" s="178">
        <v>44209</v>
      </c>
      <c r="O1310" s="178">
        <v>44211</v>
      </c>
      <c r="AA1310" s="166">
        <v>44216</v>
      </c>
    </row>
    <row r="1311" spans="1:31" ht="15.75" hidden="1" customHeight="1">
      <c r="A1311" s="258" t="s">
        <v>1558</v>
      </c>
      <c r="B1311" s="226">
        <v>44187</v>
      </c>
      <c r="C1311" s="259">
        <v>10128.530000000001</v>
      </c>
      <c r="D1311" s="107">
        <f>COUNTA(G1311:Z1311)*0.5</f>
        <v>4.5</v>
      </c>
      <c r="E1311" s="107">
        <v>315</v>
      </c>
      <c r="F1311" s="107" t="s">
        <v>263</v>
      </c>
      <c r="G1311" s="178">
        <v>44187</v>
      </c>
      <c r="H1311" s="178">
        <v>44187</v>
      </c>
      <c r="I1311" s="178">
        <v>44193</v>
      </c>
      <c r="J1311" s="178">
        <v>44195</v>
      </c>
      <c r="K1311" s="178">
        <v>44202</v>
      </c>
      <c r="L1311" s="178">
        <v>44204</v>
      </c>
      <c r="M1311" s="178">
        <v>44207</v>
      </c>
      <c r="N1311" s="178">
        <v>44209</v>
      </c>
      <c r="O1311" s="178">
        <v>44211</v>
      </c>
      <c r="AA1311" s="166">
        <v>44216</v>
      </c>
    </row>
    <row r="1312" spans="1:31" ht="15.75" hidden="1" customHeight="1">
      <c r="A1312" s="258" t="s">
        <v>1559</v>
      </c>
      <c r="B1312" s="226">
        <v>44187</v>
      </c>
      <c r="C1312" s="259">
        <v>10128.530000000001</v>
      </c>
      <c r="D1312" s="107">
        <f>COUNTA(G1312:Z1312)*0.5</f>
        <v>4</v>
      </c>
      <c r="E1312" s="107">
        <v>315</v>
      </c>
      <c r="F1312" s="107" t="s">
        <v>263</v>
      </c>
      <c r="G1312" s="178">
        <v>44187</v>
      </c>
      <c r="H1312" s="178">
        <v>44187</v>
      </c>
      <c r="I1312" s="178">
        <v>44193</v>
      </c>
      <c r="J1312" s="178">
        <v>44195</v>
      </c>
      <c r="K1312" s="178">
        <v>44202</v>
      </c>
      <c r="L1312" s="178">
        <v>44204</v>
      </c>
      <c r="M1312" s="178">
        <v>44207</v>
      </c>
      <c r="N1312" s="178">
        <v>44209</v>
      </c>
      <c r="AA1312" s="166">
        <v>44216</v>
      </c>
    </row>
    <row r="1313" spans="1:31" ht="15.75" hidden="1" customHeight="1">
      <c r="A1313" s="258" t="s">
        <v>1560</v>
      </c>
      <c r="B1313" s="226">
        <v>44187</v>
      </c>
      <c r="C1313" s="259">
        <v>10128.530000000001</v>
      </c>
      <c r="D1313" s="107">
        <f>COUNTA(G1313:Z1313)*0.5</f>
        <v>4</v>
      </c>
      <c r="E1313" s="107">
        <v>315</v>
      </c>
      <c r="F1313" s="107" t="s">
        <v>263</v>
      </c>
      <c r="G1313" s="178">
        <v>44187</v>
      </c>
      <c r="H1313" s="178">
        <v>44187</v>
      </c>
      <c r="I1313" s="178">
        <v>44193</v>
      </c>
      <c r="J1313" s="178">
        <v>44195</v>
      </c>
      <c r="K1313" s="178">
        <v>44202</v>
      </c>
      <c r="L1313" s="178">
        <v>44204</v>
      </c>
      <c r="M1313" s="178">
        <v>44207</v>
      </c>
      <c r="N1313" s="178">
        <v>44209</v>
      </c>
      <c r="AA1313" s="166">
        <v>44216</v>
      </c>
    </row>
    <row r="1314" spans="1:31" ht="15.75" hidden="1" customHeight="1">
      <c r="A1314" s="258" t="s">
        <v>1561</v>
      </c>
      <c r="B1314" s="226">
        <v>44187</v>
      </c>
      <c r="C1314" s="259">
        <v>10128.530000000001</v>
      </c>
      <c r="D1314" s="107">
        <f>COUNTA(G1314:Z1314)*0.5</f>
        <v>4</v>
      </c>
      <c r="E1314" s="107">
        <v>315</v>
      </c>
      <c r="F1314" s="107" t="s">
        <v>263</v>
      </c>
      <c r="G1314" s="178">
        <v>44187</v>
      </c>
      <c r="H1314" s="178">
        <v>44187</v>
      </c>
      <c r="I1314" s="178">
        <v>44193</v>
      </c>
      <c r="J1314" s="178">
        <v>44195</v>
      </c>
      <c r="K1314" s="178">
        <v>44202</v>
      </c>
      <c r="L1314" s="178">
        <v>44204</v>
      </c>
      <c r="M1314" s="178">
        <v>44207</v>
      </c>
      <c r="N1314" s="178">
        <v>44209</v>
      </c>
      <c r="AA1314" s="166">
        <v>44216</v>
      </c>
      <c r="AC1314" s="107">
        <f>20/29%</f>
        <v>68.965517241379317</v>
      </c>
      <c r="AD1314" s="107">
        <v>694.5</v>
      </c>
      <c r="AE1314" s="107">
        <v>245.5</v>
      </c>
    </row>
    <row r="1315" spans="1:31" ht="15.75" hidden="1" customHeight="1">
      <c r="A1315" s="258" t="s">
        <v>1562</v>
      </c>
      <c r="B1315" s="226">
        <v>44187</v>
      </c>
      <c r="C1315" s="259">
        <v>10128.530000000001</v>
      </c>
      <c r="D1315" s="107">
        <f>COUNTA(G1315:Z1315)*0.5</f>
        <v>4</v>
      </c>
      <c r="E1315" s="107">
        <v>315</v>
      </c>
      <c r="F1315" s="107" t="s">
        <v>263</v>
      </c>
      <c r="G1315" s="178">
        <v>44187</v>
      </c>
      <c r="H1315" s="178">
        <v>44187</v>
      </c>
      <c r="I1315" s="178">
        <v>44193</v>
      </c>
      <c r="J1315" s="178">
        <v>44195</v>
      </c>
      <c r="K1315" s="178">
        <v>44202</v>
      </c>
      <c r="L1315" s="178">
        <v>44204</v>
      </c>
      <c r="M1315" s="178">
        <v>44207</v>
      </c>
      <c r="N1315" s="178">
        <v>44209</v>
      </c>
      <c r="AA1315" s="166">
        <v>44216</v>
      </c>
      <c r="AC1315" s="107">
        <f>29/38*100</f>
        <v>76.31578947368422</v>
      </c>
      <c r="AD1315" s="107">
        <v>606.5</v>
      </c>
      <c r="AE1315" s="107">
        <v>226.5</v>
      </c>
    </row>
    <row r="1316" spans="1:31" ht="15.75" hidden="1" customHeight="1">
      <c r="A1316" s="258" t="s">
        <v>1563</v>
      </c>
      <c r="B1316" s="226">
        <v>44187</v>
      </c>
      <c r="C1316" s="259">
        <v>10128.530000000001</v>
      </c>
      <c r="D1316" s="107">
        <f>COUNTA(G1316:Z1316)*0.5</f>
        <v>4</v>
      </c>
      <c r="E1316" s="107">
        <v>315</v>
      </c>
      <c r="F1316" s="107" t="s">
        <v>263</v>
      </c>
      <c r="G1316" s="178">
        <v>44187</v>
      </c>
      <c r="H1316" s="178">
        <v>44187</v>
      </c>
      <c r="I1316" s="178">
        <v>44193</v>
      </c>
      <c r="J1316" s="178">
        <v>44195</v>
      </c>
      <c r="K1316" s="178">
        <v>44202</v>
      </c>
      <c r="L1316" s="178">
        <v>44204</v>
      </c>
      <c r="M1316" s="178">
        <v>44207</v>
      </c>
      <c r="N1316" s="178">
        <v>44209</v>
      </c>
      <c r="AA1316" s="166">
        <v>44216</v>
      </c>
    </row>
    <row r="1317" spans="1:31" ht="15.75" hidden="1" customHeight="1">
      <c r="A1317" s="258" t="s">
        <v>1564</v>
      </c>
      <c r="B1317" s="226">
        <v>44187</v>
      </c>
      <c r="C1317" s="259">
        <v>10128.530000000001</v>
      </c>
      <c r="D1317" s="107">
        <f>COUNTA(G1317:Z1317)*0.5</f>
        <v>4</v>
      </c>
      <c r="E1317" s="107">
        <v>315</v>
      </c>
      <c r="F1317" s="107" t="s">
        <v>263</v>
      </c>
      <c r="G1317" s="178">
        <v>44187</v>
      </c>
      <c r="H1317" s="178">
        <v>44187</v>
      </c>
      <c r="I1317" s="178">
        <v>44193</v>
      </c>
      <c r="J1317" s="178">
        <v>44195</v>
      </c>
      <c r="K1317" s="178">
        <v>44202</v>
      </c>
      <c r="L1317" s="178">
        <v>44204</v>
      </c>
      <c r="M1317" s="178">
        <v>44207</v>
      </c>
      <c r="N1317" s="178">
        <v>44209</v>
      </c>
      <c r="AA1317" s="166">
        <v>44216</v>
      </c>
      <c r="AC1317" s="107">
        <f>24/40*100</f>
        <v>60</v>
      </c>
      <c r="AD1317" s="107">
        <v>636</v>
      </c>
      <c r="AE1317" s="107">
        <v>221</v>
      </c>
    </row>
    <row r="1318" spans="1:31" ht="15.75" hidden="1" customHeight="1">
      <c r="A1318" s="258" t="s">
        <v>1565</v>
      </c>
      <c r="B1318" s="226">
        <v>44187</v>
      </c>
      <c r="C1318" s="259">
        <v>10128.530000000001</v>
      </c>
      <c r="D1318" s="107">
        <f>COUNTA(G1318:Z1318)*0.5</f>
        <v>4</v>
      </c>
      <c r="E1318" s="107">
        <v>315</v>
      </c>
      <c r="F1318" s="107" t="s">
        <v>263</v>
      </c>
      <c r="G1318" s="178">
        <v>44187</v>
      </c>
      <c r="H1318" s="178">
        <v>44187</v>
      </c>
      <c r="I1318" s="178">
        <v>44193</v>
      </c>
      <c r="J1318" s="178">
        <v>44195</v>
      </c>
      <c r="K1318" s="178">
        <v>44202</v>
      </c>
      <c r="L1318" s="178">
        <v>44204</v>
      </c>
      <c r="M1318" s="178">
        <v>44207</v>
      </c>
      <c r="N1318" s="178">
        <v>44209</v>
      </c>
      <c r="AA1318" s="166">
        <v>44216</v>
      </c>
      <c r="AC1318" s="107">
        <f>18/20*100</f>
        <v>90</v>
      </c>
      <c r="AD1318" s="107">
        <v>394.5</v>
      </c>
      <c r="AE1318" s="107">
        <v>197.5</v>
      </c>
    </row>
    <row r="1319" spans="1:31" ht="15.75" customHeight="1">
      <c r="A1319" s="261" t="s">
        <v>1566</v>
      </c>
      <c r="B1319" s="226">
        <v>44195</v>
      </c>
      <c r="C1319" s="230">
        <v>11392</v>
      </c>
      <c r="D1319" s="107">
        <f>COUNTA(G1319:Z1319)*0.5</f>
        <v>5</v>
      </c>
      <c r="E1319" s="107">
        <v>319</v>
      </c>
      <c r="F1319" s="107" t="s">
        <v>1567</v>
      </c>
      <c r="G1319" s="178">
        <v>44195</v>
      </c>
      <c r="H1319" s="178">
        <v>44195</v>
      </c>
      <c r="I1319" s="178">
        <v>44202</v>
      </c>
      <c r="J1319" s="178">
        <v>44204</v>
      </c>
      <c r="K1319" s="178">
        <v>44207</v>
      </c>
      <c r="L1319" s="178">
        <v>44209</v>
      </c>
      <c r="M1319" s="178">
        <v>44211</v>
      </c>
      <c r="N1319" s="178">
        <v>44214</v>
      </c>
      <c r="O1319" s="178">
        <v>44216</v>
      </c>
      <c r="P1319" s="178">
        <v>44218</v>
      </c>
    </row>
    <row r="1320" spans="1:31" ht="15.75" customHeight="1">
      <c r="A1320" s="261" t="s">
        <v>1568</v>
      </c>
      <c r="B1320" s="226">
        <v>44195</v>
      </c>
      <c r="C1320" s="230">
        <v>11392</v>
      </c>
      <c r="D1320" s="107">
        <f>COUNTA(G1320:Z1320)*0.5</f>
        <v>5</v>
      </c>
      <c r="E1320" s="107">
        <v>319</v>
      </c>
      <c r="F1320" s="107" t="s">
        <v>1567</v>
      </c>
      <c r="G1320" s="178">
        <v>44195</v>
      </c>
      <c r="H1320" s="178">
        <v>44195</v>
      </c>
      <c r="I1320" s="178">
        <v>44202</v>
      </c>
      <c r="J1320" s="178">
        <v>44204</v>
      </c>
      <c r="K1320" s="178">
        <v>44207</v>
      </c>
      <c r="L1320" s="178">
        <v>44209</v>
      </c>
      <c r="M1320" s="178">
        <v>44211</v>
      </c>
      <c r="N1320" s="178">
        <v>44214</v>
      </c>
      <c r="O1320" s="178">
        <v>44216</v>
      </c>
      <c r="P1320" s="178">
        <v>44218</v>
      </c>
    </row>
    <row r="1321" spans="1:31" ht="15.75" customHeight="1">
      <c r="A1321" s="261" t="s">
        <v>1569</v>
      </c>
      <c r="B1321" s="226">
        <v>44195</v>
      </c>
      <c r="C1321" s="230">
        <v>11392</v>
      </c>
      <c r="D1321" s="107">
        <f>COUNTA(G1321:Z1321)*0.5</f>
        <v>5</v>
      </c>
      <c r="E1321" s="107">
        <v>319</v>
      </c>
      <c r="F1321" s="107" t="s">
        <v>1567</v>
      </c>
      <c r="G1321" s="178">
        <v>44195</v>
      </c>
      <c r="H1321" s="178">
        <v>44195</v>
      </c>
      <c r="I1321" s="178">
        <v>44202</v>
      </c>
      <c r="J1321" s="178">
        <v>44204</v>
      </c>
      <c r="K1321" s="178">
        <v>44207</v>
      </c>
      <c r="L1321" s="178">
        <v>44209</v>
      </c>
      <c r="M1321" s="178">
        <v>44211</v>
      </c>
      <c r="N1321" s="178">
        <v>44214</v>
      </c>
      <c r="O1321" s="178">
        <v>44216</v>
      </c>
      <c r="P1321" s="178">
        <v>44218</v>
      </c>
    </row>
    <row r="1322" spans="1:31" ht="15.75" customHeight="1">
      <c r="A1322" s="261" t="s">
        <v>1570</v>
      </c>
      <c r="B1322" s="226">
        <v>44195</v>
      </c>
      <c r="C1322" s="230">
        <v>11392</v>
      </c>
      <c r="D1322" s="107">
        <f>COUNTA(G1322:Z1322)*0.5</f>
        <v>5</v>
      </c>
      <c r="E1322" s="107">
        <v>319</v>
      </c>
      <c r="F1322" s="107" t="s">
        <v>1567</v>
      </c>
      <c r="G1322" s="178">
        <v>44195</v>
      </c>
      <c r="H1322" s="178">
        <v>44195</v>
      </c>
      <c r="I1322" s="178">
        <v>44202</v>
      </c>
      <c r="J1322" s="178">
        <v>44204</v>
      </c>
      <c r="K1322" s="178">
        <v>44207</v>
      </c>
      <c r="L1322" s="178">
        <v>44209</v>
      </c>
      <c r="M1322" s="178">
        <v>44211</v>
      </c>
      <c r="N1322" s="178">
        <v>44214</v>
      </c>
      <c r="O1322" s="178">
        <v>44216</v>
      </c>
      <c r="P1322" s="178">
        <v>44218</v>
      </c>
    </row>
    <row r="1323" spans="1:31" ht="15.75" customHeight="1">
      <c r="A1323" s="261" t="s">
        <v>1571</v>
      </c>
      <c r="B1323" s="226">
        <v>44195</v>
      </c>
      <c r="C1323" s="230">
        <v>11392</v>
      </c>
      <c r="D1323" s="107">
        <f>COUNTA(G1323:Z1323)*0.5</f>
        <v>5</v>
      </c>
      <c r="E1323" s="107">
        <v>319</v>
      </c>
      <c r="F1323" s="107" t="s">
        <v>1567</v>
      </c>
      <c r="G1323" s="178">
        <v>44195</v>
      </c>
      <c r="H1323" s="178">
        <v>44195</v>
      </c>
      <c r="I1323" s="178">
        <v>44202</v>
      </c>
      <c r="J1323" s="178">
        <v>44204</v>
      </c>
      <c r="K1323" s="178">
        <v>44207</v>
      </c>
      <c r="L1323" s="178">
        <v>44209</v>
      </c>
      <c r="M1323" s="178">
        <v>44211</v>
      </c>
      <c r="N1323" s="178">
        <v>44214</v>
      </c>
      <c r="O1323" s="178">
        <v>44216</v>
      </c>
      <c r="P1323" s="178">
        <v>44218</v>
      </c>
    </row>
    <row r="1324" spans="1:31" ht="15.75" customHeight="1">
      <c r="A1324" s="261" t="s">
        <v>1572</v>
      </c>
      <c r="B1324" s="226">
        <v>44195</v>
      </c>
      <c r="C1324" s="230">
        <v>10662</v>
      </c>
      <c r="D1324" s="107">
        <f>COUNTA(G1324:Z1324)*0.5</f>
        <v>5</v>
      </c>
      <c r="E1324" s="107">
        <v>320</v>
      </c>
      <c r="F1324" s="107" t="s">
        <v>1567</v>
      </c>
      <c r="G1324" s="178">
        <v>44195</v>
      </c>
      <c r="H1324" s="178">
        <v>44195</v>
      </c>
      <c r="I1324" s="178">
        <v>44202</v>
      </c>
      <c r="J1324" s="178">
        <v>44204</v>
      </c>
      <c r="K1324" s="178">
        <v>44207</v>
      </c>
      <c r="L1324" s="178">
        <v>44209</v>
      </c>
      <c r="M1324" s="178">
        <v>44211</v>
      </c>
      <c r="N1324" s="178">
        <v>44214</v>
      </c>
      <c r="O1324" s="178">
        <v>44216</v>
      </c>
      <c r="P1324" s="178">
        <v>44218</v>
      </c>
    </row>
    <row r="1325" spans="1:31" ht="15.75" customHeight="1">
      <c r="A1325" s="261" t="s">
        <v>1573</v>
      </c>
      <c r="B1325" s="226">
        <v>44195</v>
      </c>
      <c r="C1325" s="230">
        <v>10662</v>
      </c>
      <c r="D1325" s="107">
        <f>COUNTA(G1325:Z1325)*0.5</f>
        <v>5</v>
      </c>
      <c r="E1325" s="107">
        <v>320</v>
      </c>
      <c r="F1325" s="107" t="s">
        <v>1567</v>
      </c>
      <c r="G1325" s="178">
        <v>44195</v>
      </c>
      <c r="H1325" s="178">
        <v>44195</v>
      </c>
      <c r="I1325" s="178">
        <v>44202</v>
      </c>
      <c r="J1325" s="178">
        <v>44204</v>
      </c>
      <c r="K1325" s="178">
        <v>44207</v>
      </c>
      <c r="L1325" s="178">
        <v>44209</v>
      </c>
      <c r="M1325" s="178">
        <v>44211</v>
      </c>
      <c r="N1325" s="178">
        <v>44214</v>
      </c>
      <c r="O1325" s="178">
        <v>44216</v>
      </c>
      <c r="P1325" s="178">
        <v>44218</v>
      </c>
    </row>
    <row r="1326" spans="1:31" ht="15.75" customHeight="1">
      <c r="A1326" s="261" t="s">
        <v>1574</v>
      </c>
      <c r="B1326" s="226">
        <v>44195</v>
      </c>
      <c r="C1326" s="230">
        <v>10662</v>
      </c>
      <c r="D1326" s="107">
        <f>COUNTA(G1326:Z1326)*0.5</f>
        <v>5</v>
      </c>
      <c r="E1326" s="107">
        <v>320</v>
      </c>
      <c r="F1326" s="107" t="s">
        <v>1567</v>
      </c>
      <c r="G1326" s="178">
        <v>44195</v>
      </c>
      <c r="H1326" s="178">
        <v>44195</v>
      </c>
      <c r="I1326" s="178">
        <v>44202</v>
      </c>
      <c r="J1326" s="178">
        <v>44204</v>
      </c>
      <c r="K1326" s="178">
        <v>44207</v>
      </c>
      <c r="L1326" s="178">
        <v>44209</v>
      </c>
      <c r="M1326" s="178">
        <v>44211</v>
      </c>
      <c r="N1326" s="178">
        <v>44214</v>
      </c>
      <c r="O1326" s="178">
        <v>44216</v>
      </c>
      <c r="P1326" s="178">
        <v>44218</v>
      </c>
    </row>
    <row r="1327" spans="1:31" ht="15.75" customHeight="1">
      <c r="A1327" s="261" t="s">
        <v>1575</v>
      </c>
      <c r="B1327" s="226">
        <v>44195</v>
      </c>
      <c r="C1327" s="230">
        <v>10662</v>
      </c>
      <c r="D1327" s="107">
        <f>COUNTA(G1327:Z1327)*0.5</f>
        <v>5</v>
      </c>
      <c r="E1327" s="107">
        <v>320</v>
      </c>
      <c r="F1327" s="107" t="s">
        <v>1567</v>
      </c>
      <c r="G1327" s="178">
        <v>44195</v>
      </c>
      <c r="H1327" s="178">
        <v>44195</v>
      </c>
      <c r="I1327" s="178">
        <v>44202</v>
      </c>
      <c r="J1327" s="178">
        <v>44204</v>
      </c>
      <c r="K1327" s="178">
        <v>44207</v>
      </c>
      <c r="L1327" s="178">
        <v>44209</v>
      </c>
      <c r="M1327" s="178">
        <v>44211</v>
      </c>
      <c r="N1327" s="178">
        <v>44214</v>
      </c>
      <c r="O1327" s="178">
        <v>44216</v>
      </c>
      <c r="P1327" s="178">
        <v>44218</v>
      </c>
    </row>
    <row r="1328" spans="1:31" ht="15.75" customHeight="1">
      <c r="A1328" s="261" t="s">
        <v>1576</v>
      </c>
      <c r="B1328" s="226">
        <v>44195</v>
      </c>
      <c r="C1328" s="230">
        <v>10662</v>
      </c>
      <c r="D1328" s="107">
        <f>COUNTA(G1328:Z1328)*0.5</f>
        <v>5</v>
      </c>
      <c r="E1328" s="107">
        <v>320</v>
      </c>
      <c r="F1328" s="107" t="s">
        <v>1567</v>
      </c>
      <c r="G1328" s="178">
        <v>44195</v>
      </c>
      <c r="H1328" s="178">
        <v>44195</v>
      </c>
      <c r="I1328" s="178">
        <v>44202</v>
      </c>
      <c r="J1328" s="178">
        <v>44204</v>
      </c>
      <c r="K1328" s="178">
        <v>44207</v>
      </c>
      <c r="L1328" s="178">
        <v>44209</v>
      </c>
      <c r="M1328" s="178">
        <v>44211</v>
      </c>
      <c r="N1328" s="178">
        <v>44214</v>
      </c>
      <c r="O1328" s="178">
        <v>44216</v>
      </c>
      <c r="P1328" s="178">
        <v>44218</v>
      </c>
    </row>
    <row r="1329" spans="1:31" ht="15.75" customHeight="1">
      <c r="A1329" s="261" t="s">
        <v>1577</v>
      </c>
      <c r="B1329" s="226">
        <v>44195</v>
      </c>
      <c r="C1329" s="230">
        <v>10662</v>
      </c>
      <c r="D1329" s="107">
        <f>COUNTA(G1329:Z1329)*0.5</f>
        <v>5</v>
      </c>
      <c r="E1329" s="107">
        <v>320</v>
      </c>
      <c r="F1329" s="107" t="s">
        <v>1567</v>
      </c>
      <c r="G1329" s="178">
        <v>44195</v>
      </c>
      <c r="H1329" s="178">
        <v>44195</v>
      </c>
      <c r="I1329" s="178">
        <v>44202</v>
      </c>
      <c r="J1329" s="178">
        <v>44204</v>
      </c>
      <c r="K1329" s="178">
        <v>44207</v>
      </c>
      <c r="L1329" s="178">
        <v>44209</v>
      </c>
      <c r="M1329" s="178">
        <v>44211</v>
      </c>
      <c r="N1329" s="178">
        <v>44214</v>
      </c>
      <c r="O1329" s="178">
        <v>44216</v>
      </c>
      <c r="P1329" s="178">
        <v>44218</v>
      </c>
    </row>
    <row r="1330" spans="1:31" ht="15.75" customHeight="1">
      <c r="A1330" s="261" t="s">
        <v>1578</v>
      </c>
      <c r="B1330" s="226">
        <v>44195</v>
      </c>
      <c r="C1330" s="230">
        <v>10662</v>
      </c>
      <c r="D1330" s="107">
        <f>COUNTA(G1330:Z1330)*0.5</f>
        <v>5</v>
      </c>
      <c r="E1330" s="107">
        <v>320</v>
      </c>
      <c r="F1330" s="107" t="s">
        <v>1567</v>
      </c>
      <c r="G1330" s="178">
        <v>44195</v>
      </c>
      <c r="H1330" s="178">
        <v>44195</v>
      </c>
      <c r="I1330" s="178">
        <v>44202</v>
      </c>
      <c r="J1330" s="178">
        <v>44204</v>
      </c>
      <c r="K1330" s="178">
        <v>44207</v>
      </c>
      <c r="L1330" s="178">
        <v>44209</v>
      </c>
      <c r="M1330" s="178">
        <v>44211</v>
      </c>
      <c r="N1330" s="178">
        <v>44214</v>
      </c>
      <c r="O1330" s="178">
        <v>44216</v>
      </c>
      <c r="P1330" s="178">
        <v>44218</v>
      </c>
    </row>
    <row r="1331" spans="1:31" ht="15.75" customHeight="1">
      <c r="A1331" s="261" t="s">
        <v>1579</v>
      </c>
      <c r="B1331" s="226">
        <v>44195</v>
      </c>
      <c r="C1331" s="230">
        <v>10662</v>
      </c>
      <c r="D1331" s="107">
        <f>COUNTA(G1331:Z1331)*0.5</f>
        <v>5</v>
      </c>
      <c r="E1331" s="107">
        <v>320</v>
      </c>
      <c r="F1331" s="107" t="s">
        <v>1567</v>
      </c>
      <c r="G1331" s="178">
        <v>44195</v>
      </c>
      <c r="H1331" s="178">
        <v>44195</v>
      </c>
      <c r="I1331" s="178">
        <v>44202</v>
      </c>
      <c r="J1331" s="178">
        <v>44204</v>
      </c>
      <c r="K1331" s="178">
        <v>44207</v>
      </c>
      <c r="L1331" s="178">
        <v>44209</v>
      </c>
      <c r="M1331" s="178">
        <v>44211</v>
      </c>
      <c r="N1331" s="178">
        <v>44214</v>
      </c>
      <c r="O1331" s="178">
        <v>44216</v>
      </c>
      <c r="P1331" s="178">
        <v>44218</v>
      </c>
    </row>
    <row r="1332" spans="1:31" ht="15.75" customHeight="1">
      <c r="A1332" s="261" t="s">
        <v>1580</v>
      </c>
      <c r="B1332" s="226">
        <v>44195</v>
      </c>
      <c r="C1332" s="230">
        <v>10662</v>
      </c>
      <c r="D1332" s="107">
        <f>COUNTA(G1332:Z1332)*0.5</f>
        <v>5</v>
      </c>
      <c r="E1332" s="107">
        <v>320</v>
      </c>
      <c r="F1332" s="107" t="s">
        <v>1567</v>
      </c>
      <c r="G1332" s="178">
        <v>44195</v>
      </c>
      <c r="H1332" s="178">
        <v>44195</v>
      </c>
      <c r="I1332" s="178">
        <v>44202</v>
      </c>
      <c r="J1332" s="178">
        <v>44204</v>
      </c>
      <c r="K1332" s="178">
        <v>44207</v>
      </c>
      <c r="L1332" s="178">
        <v>44209</v>
      </c>
      <c r="M1332" s="178">
        <v>44211</v>
      </c>
      <c r="N1332" s="178">
        <v>44214</v>
      </c>
      <c r="O1332" s="178">
        <v>44216</v>
      </c>
      <c r="P1332" s="178">
        <v>44218</v>
      </c>
    </row>
    <row r="1333" spans="1:31" ht="15.75" customHeight="1">
      <c r="A1333" s="261" t="s">
        <v>1581</v>
      </c>
      <c r="B1333" s="226">
        <v>44195</v>
      </c>
      <c r="C1333" s="230">
        <v>10662</v>
      </c>
      <c r="D1333" s="107">
        <f>COUNTA(G1333:Z1333)*0.5</f>
        <v>5</v>
      </c>
      <c r="E1333" s="107">
        <v>320</v>
      </c>
      <c r="F1333" s="107" t="s">
        <v>1567</v>
      </c>
      <c r="G1333" s="178">
        <v>44195</v>
      </c>
      <c r="H1333" s="178">
        <v>44195</v>
      </c>
      <c r="I1333" s="178">
        <v>44202</v>
      </c>
      <c r="J1333" s="178">
        <v>44204</v>
      </c>
      <c r="K1333" s="178">
        <v>44207</v>
      </c>
      <c r="L1333" s="178">
        <v>44209</v>
      </c>
      <c r="M1333" s="178">
        <v>44211</v>
      </c>
      <c r="N1333" s="178">
        <v>44214</v>
      </c>
      <c r="O1333" s="178">
        <v>44216</v>
      </c>
      <c r="P1333" s="178">
        <v>44218</v>
      </c>
    </row>
    <row r="1334" spans="1:31" ht="15.75" customHeight="1">
      <c r="A1334" s="261" t="s">
        <v>1582</v>
      </c>
      <c r="B1334" s="226">
        <v>44195</v>
      </c>
      <c r="C1334" s="230">
        <v>10662</v>
      </c>
      <c r="D1334" s="107">
        <f>COUNTA(G1334:Z1334)*0.5</f>
        <v>5</v>
      </c>
      <c r="E1334" s="107">
        <v>320</v>
      </c>
      <c r="F1334" s="107" t="s">
        <v>1567</v>
      </c>
      <c r="G1334" s="178">
        <v>44195</v>
      </c>
      <c r="H1334" s="178">
        <v>44195</v>
      </c>
      <c r="I1334" s="178">
        <v>44202</v>
      </c>
      <c r="J1334" s="178">
        <v>44204</v>
      </c>
      <c r="K1334" s="178">
        <v>44207</v>
      </c>
      <c r="L1334" s="178">
        <v>44209</v>
      </c>
      <c r="M1334" s="178">
        <v>44211</v>
      </c>
      <c r="N1334" s="178">
        <v>44214</v>
      </c>
      <c r="O1334" s="178">
        <v>44216</v>
      </c>
      <c r="P1334" s="178">
        <v>44218</v>
      </c>
    </row>
    <row r="1335" spans="1:31" ht="15.75" hidden="1" customHeight="1">
      <c r="A1335" s="261" t="s">
        <v>1583</v>
      </c>
      <c r="B1335" s="226">
        <v>44195</v>
      </c>
      <c r="C1335" s="230">
        <v>14377</v>
      </c>
      <c r="D1335" s="107">
        <f>COUNTA(G1335:Z1335)*0.5</f>
        <v>5.5</v>
      </c>
      <c r="E1335" s="107">
        <v>321</v>
      </c>
      <c r="F1335" s="107" t="s">
        <v>263</v>
      </c>
      <c r="G1335" s="178">
        <v>44195</v>
      </c>
      <c r="H1335" s="178">
        <v>44195</v>
      </c>
      <c r="I1335" s="178">
        <v>44202</v>
      </c>
      <c r="J1335" s="178">
        <v>44204</v>
      </c>
      <c r="K1335" s="178">
        <v>44207</v>
      </c>
      <c r="L1335" s="178">
        <v>44209</v>
      </c>
      <c r="M1335" s="178">
        <v>44211</v>
      </c>
      <c r="N1335" s="178">
        <v>44214</v>
      </c>
      <c r="O1335" s="178">
        <v>44216</v>
      </c>
      <c r="P1335" s="178">
        <v>44218</v>
      </c>
      <c r="Q1335" s="178">
        <v>44223</v>
      </c>
      <c r="AA1335" s="166">
        <v>44225</v>
      </c>
      <c r="AC1335" s="107">
        <f>12/20%</f>
        <v>60</v>
      </c>
      <c r="AD1335" s="107">
        <v>1323</v>
      </c>
      <c r="AE1335" s="107">
        <v>428.5</v>
      </c>
    </row>
    <row r="1336" spans="1:31" ht="15.75" hidden="1" customHeight="1">
      <c r="A1336" s="261" t="s">
        <v>1584</v>
      </c>
      <c r="B1336" s="226">
        <v>44195</v>
      </c>
      <c r="C1336" s="230">
        <v>14377</v>
      </c>
      <c r="D1336" s="107">
        <f>COUNTA(G1336:Z1336)*0.5</f>
        <v>5.5</v>
      </c>
      <c r="E1336" s="107">
        <v>321</v>
      </c>
      <c r="F1336" s="107" t="s">
        <v>263</v>
      </c>
      <c r="G1336" s="178">
        <v>44195</v>
      </c>
      <c r="H1336" s="178">
        <v>44195</v>
      </c>
      <c r="I1336" s="178">
        <v>44202</v>
      </c>
      <c r="J1336" s="178">
        <v>44204</v>
      </c>
      <c r="K1336" s="178">
        <v>44207</v>
      </c>
      <c r="L1336" s="178">
        <v>44209</v>
      </c>
      <c r="M1336" s="178">
        <v>44211</v>
      </c>
      <c r="N1336" s="178">
        <v>44214</v>
      </c>
      <c r="O1336" s="178">
        <v>44216</v>
      </c>
      <c r="P1336" s="178">
        <v>44218</v>
      </c>
      <c r="Q1336" s="178">
        <v>44223</v>
      </c>
      <c r="AA1336" s="166">
        <v>44225</v>
      </c>
    </row>
    <row r="1337" spans="1:31" ht="15.75" hidden="1" customHeight="1">
      <c r="A1337" s="261" t="s">
        <v>1585</v>
      </c>
      <c r="B1337" s="226">
        <v>44195</v>
      </c>
      <c r="C1337" s="230">
        <v>11221</v>
      </c>
      <c r="D1337" s="107">
        <f>COUNTA(G1337:Z1337)*0.5</f>
        <v>5.5</v>
      </c>
      <c r="E1337" s="107">
        <v>322</v>
      </c>
      <c r="F1337" s="107" t="s">
        <v>263</v>
      </c>
      <c r="G1337" s="178">
        <v>44195</v>
      </c>
      <c r="H1337" s="178">
        <v>44195</v>
      </c>
      <c r="I1337" s="178">
        <v>44202</v>
      </c>
      <c r="J1337" s="178">
        <v>44204</v>
      </c>
      <c r="K1337" s="178">
        <v>44207</v>
      </c>
      <c r="L1337" s="178">
        <v>44209</v>
      </c>
      <c r="M1337" s="178">
        <v>44211</v>
      </c>
      <c r="N1337" s="178">
        <v>44214</v>
      </c>
      <c r="O1337" s="178">
        <v>44216</v>
      </c>
      <c r="P1337" s="178">
        <v>44218</v>
      </c>
      <c r="Q1337" s="178">
        <v>44223</v>
      </c>
      <c r="AA1337" s="166">
        <v>44225</v>
      </c>
    </row>
    <row r="1338" spans="1:31" ht="15.75" hidden="1" customHeight="1">
      <c r="A1338" s="261" t="s">
        <v>1586</v>
      </c>
      <c r="B1338" s="226">
        <v>44195</v>
      </c>
      <c r="C1338" s="230">
        <v>11221</v>
      </c>
      <c r="D1338" s="107">
        <f>COUNTA(G1338:Z1338)*0.5</f>
        <v>5.5</v>
      </c>
      <c r="E1338" s="107">
        <v>322</v>
      </c>
      <c r="F1338" s="107" t="s">
        <v>263</v>
      </c>
      <c r="G1338" s="178">
        <v>44195</v>
      </c>
      <c r="H1338" s="178">
        <v>44195</v>
      </c>
      <c r="I1338" s="178">
        <v>44202</v>
      </c>
      <c r="J1338" s="178">
        <v>44204</v>
      </c>
      <c r="K1338" s="178">
        <v>44207</v>
      </c>
      <c r="L1338" s="178">
        <v>44209</v>
      </c>
      <c r="M1338" s="178">
        <v>44211</v>
      </c>
      <c r="N1338" s="178">
        <v>44214</v>
      </c>
      <c r="O1338" s="178">
        <v>44216</v>
      </c>
      <c r="P1338" s="178">
        <v>44218</v>
      </c>
      <c r="Q1338" s="178">
        <v>44223</v>
      </c>
      <c r="AA1338" s="166">
        <v>44225</v>
      </c>
      <c r="AC1338" s="107">
        <f>12/26%</f>
        <v>46.153846153846153</v>
      </c>
      <c r="AD1338" s="107">
        <v>1397</v>
      </c>
      <c r="AE1338" s="107">
        <v>409</v>
      </c>
    </row>
    <row r="1339" spans="1:31" ht="15.75" hidden="1" customHeight="1">
      <c r="A1339" s="261" t="s">
        <v>1587</v>
      </c>
      <c r="B1339" s="226">
        <v>44195</v>
      </c>
      <c r="C1339" s="230">
        <v>11221</v>
      </c>
      <c r="D1339" s="107">
        <f>COUNTA(G1339:Z1339)*0.5</f>
        <v>5.5</v>
      </c>
      <c r="E1339" s="107">
        <v>322</v>
      </c>
      <c r="F1339" s="107" t="s">
        <v>263</v>
      </c>
      <c r="G1339" s="178">
        <v>44195</v>
      </c>
      <c r="H1339" s="178">
        <v>44195</v>
      </c>
      <c r="I1339" s="178">
        <v>44202</v>
      </c>
      <c r="J1339" s="178">
        <v>44204</v>
      </c>
      <c r="K1339" s="178">
        <v>44207</v>
      </c>
      <c r="L1339" s="178">
        <v>44209</v>
      </c>
      <c r="M1339" s="178">
        <v>44211</v>
      </c>
      <c r="N1339" s="178">
        <v>44214</v>
      </c>
      <c r="O1339" s="178">
        <v>44216</v>
      </c>
      <c r="P1339" s="178">
        <v>44218</v>
      </c>
      <c r="Q1339" s="178">
        <v>44223</v>
      </c>
      <c r="AA1339" s="166">
        <v>44225</v>
      </c>
      <c r="AC1339" s="107">
        <f>6/13%</f>
        <v>46.153846153846153</v>
      </c>
      <c r="AD1339" s="107">
        <v>1404.5</v>
      </c>
      <c r="AE1339" s="107">
        <v>434.5</v>
      </c>
    </row>
    <row r="1340" spans="1:31" ht="15.75" hidden="1" customHeight="1">
      <c r="A1340" s="261" t="s">
        <v>1588</v>
      </c>
      <c r="B1340" s="226">
        <v>44195</v>
      </c>
      <c r="C1340" s="230">
        <v>11221</v>
      </c>
      <c r="D1340" s="107">
        <f>COUNTA(G1340:Z1340)*0.5</f>
        <v>5.5</v>
      </c>
      <c r="E1340" s="107">
        <v>322</v>
      </c>
      <c r="F1340" s="107" t="s">
        <v>263</v>
      </c>
      <c r="G1340" s="178">
        <v>44195</v>
      </c>
      <c r="H1340" s="178">
        <v>44195</v>
      </c>
      <c r="I1340" s="178">
        <v>44202</v>
      </c>
      <c r="J1340" s="178">
        <v>44204</v>
      </c>
      <c r="K1340" s="178">
        <v>44207</v>
      </c>
      <c r="L1340" s="178">
        <v>44209</v>
      </c>
      <c r="M1340" s="178">
        <v>44211</v>
      </c>
      <c r="N1340" s="178">
        <v>44214</v>
      </c>
      <c r="O1340" s="178">
        <v>44216</v>
      </c>
      <c r="P1340" s="178">
        <v>44218</v>
      </c>
      <c r="Q1340" s="178">
        <v>44223</v>
      </c>
      <c r="AA1340" s="166">
        <v>44225</v>
      </c>
    </row>
    <row r="1341" spans="1:31" ht="15.75" hidden="1" customHeight="1">
      <c r="A1341" s="261" t="s">
        <v>1589</v>
      </c>
      <c r="B1341" s="226">
        <v>44195</v>
      </c>
      <c r="C1341" s="230">
        <v>11221</v>
      </c>
      <c r="D1341" s="107">
        <f>COUNTA(G1341:Z1341)*0.5</f>
        <v>5.5</v>
      </c>
      <c r="E1341" s="107">
        <v>322</v>
      </c>
      <c r="F1341" s="107" t="s">
        <v>263</v>
      </c>
      <c r="G1341" s="178">
        <v>44195</v>
      </c>
      <c r="H1341" s="178">
        <v>44195</v>
      </c>
      <c r="I1341" s="178">
        <v>44202</v>
      </c>
      <c r="J1341" s="178">
        <v>44204</v>
      </c>
      <c r="K1341" s="178">
        <v>44207</v>
      </c>
      <c r="L1341" s="178">
        <v>44209</v>
      </c>
      <c r="M1341" s="178">
        <v>44211</v>
      </c>
      <c r="N1341" s="178">
        <v>44214</v>
      </c>
      <c r="O1341" s="178">
        <v>44216</v>
      </c>
      <c r="P1341" s="178">
        <v>44218</v>
      </c>
      <c r="Q1341" s="178">
        <v>44223</v>
      </c>
      <c r="AA1341" s="166">
        <v>44225</v>
      </c>
    </row>
    <row r="1342" spans="1:31" ht="15.75" hidden="1" customHeight="1">
      <c r="A1342" s="261" t="s">
        <v>1590</v>
      </c>
      <c r="B1342" s="226">
        <v>44195</v>
      </c>
      <c r="C1342" s="230">
        <v>11221</v>
      </c>
      <c r="D1342" s="107">
        <f>COUNTA(G1342:Z1342)*0.5</f>
        <v>5.5</v>
      </c>
      <c r="E1342" s="107">
        <v>322</v>
      </c>
      <c r="F1342" s="107" t="s">
        <v>263</v>
      </c>
      <c r="G1342" s="178">
        <v>44195</v>
      </c>
      <c r="H1342" s="178">
        <v>44195</v>
      </c>
      <c r="I1342" s="178">
        <v>44202</v>
      </c>
      <c r="J1342" s="178">
        <v>44204</v>
      </c>
      <c r="K1342" s="178">
        <v>44207</v>
      </c>
      <c r="L1342" s="178">
        <v>44209</v>
      </c>
      <c r="M1342" s="178">
        <v>44211</v>
      </c>
      <c r="N1342" s="178">
        <v>44214</v>
      </c>
      <c r="O1342" s="178">
        <v>44216</v>
      </c>
      <c r="P1342" s="178">
        <v>44218</v>
      </c>
      <c r="Q1342" s="178">
        <v>44223</v>
      </c>
      <c r="AA1342" s="166">
        <v>44225</v>
      </c>
    </row>
    <row r="1343" spans="1:31" ht="15.75" hidden="1" customHeight="1">
      <c r="A1343" s="261" t="s">
        <v>1591</v>
      </c>
      <c r="B1343" s="226">
        <v>44195</v>
      </c>
      <c r="C1343" s="230" t="s">
        <v>54</v>
      </c>
      <c r="D1343" s="107">
        <f>COUNTA(G1343:Z1343)*0.5</f>
        <v>5.5</v>
      </c>
      <c r="E1343" s="107" t="s">
        <v>355</v>
      </c>
      <c r="F1343" s="107" t="s">
        <v>263</v>
      </c>
      <c r="G1343" s="178">
        <v>44195</v>
      </c>
      <c r="H1343" s="178">
        <v>44195</v>
      </c>
      <c r="I1343" s="178">
        <v>44202</v>
      </c>
      <c r="J1343" s="178">
        <v>44204</v>
      </c>
      <c r="K1343" s="178">
        <v>44207</v>
      </c>
      <c r="L1343" s="178">
        <v>44209</v>
      </c>
      <c r="M1343" s="178">
        <v>44211</v>
      </c>
      <c r="N1343" s="178">
        <v>44214</v>
      </c>
      <c r="O1343" s="178">
        <v>44216</v>
      </c>
      <c r="P1343" s="178">
        <v>44218</v>
      </c>
      <c r="Q1343" s="178">
        <v>44223</v>
      </c>
      <c r="AA1343" s="166">
        <v>44225</v>
      </c>
      <c r="AC1343" s="107">
        <f>10/19%</f>
        <v>52.631578947368418</v>
      </c>
      <c r="AD1343" s="107">
        <v>1576.5</v>
      </c>
      <c r="AE1343" s="107">
        <v>451</v>
      </c>
    </row>
    <row r="1344" spans="1:31" ht="15.75" hidden="1" customHeight="1">
      <c r="A1344" s="261" t="s">
        <v>1592</v>
      </c>
      <c r="B1344" s="226">
        <v>44195</v>
      </c>
      <c r="C1344" s="230">
        <v>10674</v>
      </c>
      <c r="D1344" s="107">
        <f>COUNTA(G1344:Z1344)*0.5</f>
        <v>4</v>
      </c>
      <c r="E1344" s="107">
        <v>317</v>
      </c>
      <c r="F1344" s="107" t="s">
        <v>323</v>
      </c>
      <c r="G1344" s="178">
        <v>44195</v>
      </c>
      <c r="H1344" s="178">
        <v>44195</v>
      </c>
      <c r="I1344" s="178">
        <v>44202</v>
      </c>
      <c r="J1344" s="178">
        <v>44204</v>
      </c>
      <c r="K1344" s="178">
        <v>44207</v>
      </c>
      <c r="L1344" s="178">
        <v>44209</v>
      </c>
      <c r="M1344" s="178">
        <v>44211</v>
      </c>
      <c r="N1344" s="178">
        <v>44216</v>
      </c>
      <c r="AA1344" s="166">
        <v>44222</v>
      </c>
    </row>
    <row r="1345" spans="1:31" ht="15.75" hidden="1" customHeight="1">
      <c r="A1345" s="261" t="s">
        <v>1593</v>
      </c>
      <c r="B1345" s="226">
        <v>44195</v>
      </c>
      <c r="C1345" s="230">
        <v>10674</v>
      </c>
      <c r="D1345" s="107">
        <f>COUNTA(G1345:Z1345)*0.5</f>
        <v>4</v>
      </c>
      <c r="E1345" s="107">
        <v>317</v>
      </c>
      <c r="F1345" s="107" t="s">
        <v>263</v>
      </c>
      <c r="G1345" s="178">
        <v>44195</v>
      </c>
      <c r="H1345" s="178">
        <v>44195</v>
      </c>
      <c r="I1345" s="178">
        <v>44202</v>
      </c>
      <c r="J1345" s="178">
        <v>44204</v>
      </c>
      <c r="K1345" s="178">
        <v>44207</v>
      </c>
      <c r="L1345" s="178">
        <v>44209</v>
      </c>
      <c r="M1345" s="178">
        <v>44211</v>
      </c>
      <c r="N1345" s="178">
        <v>44216</v>
      </c>
      <c r="AA1345" s="166">
        <v>44222</v>
      </c>
    </row>
    <row r="1346" spans="1:31" ht="15.75" hidden="1" customHeight="1">
      <c r="A1346" s="261" t="s">
        <v>1594</v>
      </c>
      <c r="B1346" s="226">
        <v>44195</v>
      </c>
      <c r="C1346" s="230">
        <v>10674</v>
      </c>
      <c r="D1346" s="107">
        <f>COUNTA(G1346:Z1346)*0.5</f>
        <v>4</v>
      </c>
      <c r="E1346" s="107">
        <v>317</v>
      </c>
      <c r="F1346" s="107" t="s">
        <v>263</v>
      </c>
      <c r="G1346" s="178">
        <v>44195</v>
      </c>
      <c r="H1346" s="178">
        <v>44195</v>
      </c>
      <c r="I1346" s="178">
        <v>44202</v>
      </c>
      <c r="J1346" s="178">
        <v>44204</v>
      </c>
      <c r="K1346" s="178">
        <v>44207</v>
      </c>
      <c r="L1346" s="178">
        <v>44209</v>
      </c>
      <c r="M1346" s="178">
        <v>44211</v>
      </c>
      <c r="N1346" s="178">
        <v>44216</v>
      </c>
      <c r="AA1346" s="166">
        <v>44222</v>
      </c>
      <c r="AC1346" s="107">
        <f>21/25%</f>
        <v>84</v>
      </c>
      <c r="AD1346" s="107">
        <v>789</v>
      </c>
      <c r="AE1346" s="107">
        <v>362</v>
      </c>
    </row>
    <row r="1347" spans="1:31" ht="15.75" hidden="1" customHeight="1">
      <c r="A1347" s="261" t="s">
        <v>1595</v>
      </c>
      <c r="B1347" s="226">
        <v>44195</v>
      </c>
      <c r="C1347" s="230">
        <v>10674</v>
      </c>
      <c r="D1347" s="107">
        <f>COUNTA(G1347:Z1347)*0.5</f>
        <v>4</v>
      </c>
      <c r="E1347" s="107">
        <v>317</v>
      </c>
      <c r="F1347" s="107" t="s">
        <v>263</v>
      </c>
      <c r="G1347" s="178">
        <v>44195</v>
      </c>
      <c r="H1347" s="178">
        <v>44195</v>
      </c>
      <c r="I1347" s="178">
        <v>44202</v>
      </c>
      <c r="J1347" s="178">
        <v>44204</v>
      </c>
      <c r="K1347" s="178">
        <v>44207</v>
      </c>
      <c r="L1347" s="178">
        <v>44209</v>
      </c>
      <c r="M1347" s="178">
        <v>44211</v>
      </c>
      <c r="N1347" s="178">
        <v>44216</v>
      </c>
      <c r="AA1347" s="166">
        <v>44222</v>
      </c>
    </row>
    <row r="1348" spans="1:31" ht="15.75" hidden="1" customHeight="1">
      <c r="A1348" s="261" t="s">
        <v>1596</v>
      </c>
      <c r="B1348" s="226">
        <v>44195</v>
      </c>
      <c r="C1348" s="230">
        <v>10674</v>
      </c>
      <c r="D1348" s="107">
        <f>COUNTA(G1348:Z1348)*0.5</f>
        <v>4</v>
      </c>
      <c r="E1348" s="107">
        <v>317</v>
      </c>
      <c r="F1348" s="107" t="s">
        <v>323</v>
      </c>
      <c r="G1348" s="178">
        <v>44195</v>
      </c>
      <c r="H1348" s="178">
        <v>44195</v>
      </c>
      <c r="I1348" s="178">
        <v>44202</v>
      </c>
      <c r="J1348" s="178">
        <v>44204</v>
      </c>
      <c r="K1348" s="178">
        <v>44207</v>
      </c>
      <c r="L1348" s="178">
        <v>44209</v>
      </c>
      <c r="M1348" s="178">
        <v>44211</v>
      </c>
      <c r="N1348" s="178">
        <v>44216</v>
      </c>
      <c r="AA1348" s="166">
        <v>44222</v>
      </c>
    </row>
    <row r="1349" spans="1:31" ht="15.75" hidden="1" customHeight="1">
      <c r="A1349" s="261" t="s">
        <v>1597</v>
      </c>
      <c r="B1349" s="226">
        <v>44195</v>
      </c>
      <c r="C1349" s="230">
        <v>10674</v>
      </c>
      <c r="D1349" s="107">
        <f>COUNTA(G1349:Z1349)*0.5</f>
        <v>4</v>
      </c>
      <c r="E1349" s="107">
        <v>317</v>
      </c>
      <c r="F1349" s="107" t="s">
        <v>323</v>
      </c>
      <c r="G1349" s="178">
        <v>44195</v>
      </c>
      <c r="H1349" s="178">
        <v>44195</v>
      </c>
      <c r="I1349" s="178">
        <v>44202</v>
      </c>
      <c r="J1349" s="178">
        <v>44204</v>
      </c>
      <c r="K1349" s="178">
        <v>44207</v>
      </c>
      <c r="L1349" s="178">
        <v>44209</v>
      </c>
      <c r="M1349" s="178">
        <v>44211</v>
      </c>
      <c r="N1349" s="178">
        <v>44216</v>
      </c>
      <c r="AA1349" s="166">
        <v>44222</v>
      </c>
    </row>
    <row r="1350" spans="1:31" ht="15.75" hidden="1" customHeight="1">
      <c r="A1350" s="261" t="s">
        <v>1598</v>
      </c>
      <c r="B1350" s="226">
        <v>44195</v>
      </c>
      <c r="C1350" s="230">
        <v>10391</v>
      </c>
      <c r="D1350" s="107">
        <f>COUNTA(G1350:Z1350)*0.5</f>
        <v>4</v>
      </c>
      <c r="E1350" s="107">
        <v>318</v>
      </c>
      <c r="F1350" s="107" t="s">
        <v>263</v>
      </c>
      <c r="G1350" s="178">
        <v>44195</v>
      </c>
      <c r="H1350" s="178">
        <v>44195</v>
      </c>
      <c r="I1350" s="178">
        <v>44202</v>
      </c>
      <c r="J1350" s="178">
        <v>44204</v>
      </c>
      <c r="K1350" s="178">
        <v>44207</v>
      </c>
      <c r="L1350" s="178">
        <v>44209</v>
      </c>
      <c r="M1350" s="178">
        <v>44211</v>
      </c>
      <c r="N1350" s="178">
        <v>44216</v>
      </c>
      <c r="AA1350" s="166">
        <v>44222</v>
      </c>
    </row>
    <row r="1351" spans="1:31" ht="15.75" hidden="1" customHeight="1">
      <c r="A1351" s="261" t="s">
        <v>1599</v>
      </c>
      <c r="B1351" s="226">
        <v>44195</v>
      </c>
      <c r="C1351" s="230">
        <v>10391</v>
      </c>
      <c r="D1351" s="107">
        <f>COUNTA(G1351:Z1351)*0.5</f>
        <v>4</v>
      </c>
      <c r="E1351" s="107">
        <v>318</v>
      </c>
      <c r="F1351" s="107" t="s">
        <v>263</v>
      </c>
      <c r="G1351" s="178">
        <v>44195</v>
      </c>
      <c r="H1351" s="178">
        <v>44195</v>
      </c>
      <c r="I1351" s="178">
        <v>44202</v>
      </c>
      <c r="J1351" s="178">
        <v>44204</v>
      </c>
      <c r="K1351" s="178">
        <v>44207</v>
      </c>
      <c r="L1351" s="178">
        <v>44209</v>
      </c>
      <c r="M1351" s="178">
        <v>44211</v>
      </c>
      <c r="N1351" s="178">
        <v>44216</v>
      </c>
      <c r="AA1351" s="166">
        <v>44222</v>
      </c>
      <c r="AC1351" s="107">
        <f>17/23%</f>
        <v>73.91304347826086</v>
      </c>
      <c r="AD1351" s="107">
        <v>748.5</v>
      </c>
      <c r="AE1351" s="107">
        <v>331</v>
      </c>
    </row>
    <row r="1352" spans="1:31" ht="15.75" hidden="1" customHeight="1">
      <c r="A1352" s="261" t="s">
        <v>1600</v>
      </c>
      <c r="B1352" s="226">
        <v>44195</v>
      </c>
      <c r="C1352" s="230">
        <v>10391</v>
      </c>
      <c r="D1352" s="107">
        <f>COUNTA(G1352:Z1352)*0.5</f>
        <v>4</v>
      </c>
      <c r="E1352" s="107">
        <v>318</v>
      </c>
      <c r="F1352" s="107" t="s">
        <v>263</v>
      </c>
      <c r="G1352" s="178">
        <v>44195</v>
      </c>
      <c r="H1352" s="178">
        <v>44195</v>
      </c>
      <c r="I1352" s="178">
        <v>44202</v>
      </c>
      <c r="J1352" s="178">
        <v>44204</v>
      </c>
      <c r="K1352" s="178">
        <v>44207</v>
      </c>
      <c r="L1352" s="178">
        <v>44209</v>
      </c>
      <c r="M1352" s="178">
        <v>44211</v>
      </c>
      <c r="N1352" s="178">
        <v>44216</v>
      </c>
      <c r="AA1352" s="166">
        <v>44222</v>
      </c>
      <c r="AC1352" s="107">
        <f>11/26%</f>
        <v>42.307692307692307</v>
      </c>
      <c r="AD1352" s="107">
        <v>731.5</v>
      </c>
      <c r="AE1352" s="107">
        <v>351.5</v>
      </c>
    </row>
    <row r="1353" spans="1:31" ht="15.75" hidden="1" customHeight="1">
      <c r="A1353" s="261" t="s">
        <v>1601</v>
      </c>
      <c r="B1353" s="226">
        <v>44195</v>
      </c>
      <c r="C1353" s="230">
        <v>10391</v>
      </c>
      <c r="D1353" s="107">
        <f>COUNTA(G1353:Z1353)*0.5</f>
        <v>4</v>
      </c>
      <c r="E1353" s="107">
        <v>318</v>
      </c>
      <c r="F1353" s="107" t="s">
        <v>263</v>
      </c>
      <c r="G1353" s="178">
        <v>44195</v>
      </c>
      <c r="H1353" s="178">
        <v>44195</v>
      </c>
      <c r="I1353" s="178">
        <v>44202</v>
      </c>
      <c r="J1353" s="178">
        <v>44204</v>
      </c>
      <c r="K1353" s="178">
        <v>44207</v>
      </c>
      <c r="L1353" s="178">
        <v>44209</v>
      </c>
      <c r="M1353" s="178">
        <v>44211</v>
      </c>
      <c r="N1353" s="178">
        <v>44216</v>
      </c>
      <c r="AA1353" s="166">
        <v>44222</v>
      </c>
    </row>
    <row r="1354" spans="1:31" ht="15.75" hidden="1" customHeight="1">
      <c r="A1354" s="261" t="s">
        <v>1602</v>
      </c>
      <c r="B1354" s="226">
        <v>44195</v>
      </c>
      <c r="C1354" s="230">
        <v>10391</v>
      </c>
      <c r="D1354" s="107">
        <f>COUNTA(G1354:Z1354)*0.5</f>
        <v>4</v>
      </c>
      <c r="E1354" s="107">
        <v>318</v>
      </c>
      <c r="F1354" s="107" t="s">
        <v>263</v>
      </c>
      <c r="G1354" s="178">
        <v>44195</v>
      </c>
      <c r="H1354" s="178">
        <v>44195</v>
      </c>
      <c r="I1354" s="178">
        <v>44202</v>
      </c>
      <c r="J1354" s="178">
        <v>44204</v>
      </c>
      <c r="K1354" s="178">
        <v>44207</v>
      </c>
      <c r="L1354" s="178">
        <v>44209</v>
      </c>
      <c r="M1354" s="178">
        <v>44211</v>
      </c>
      <c r="N1354" s="178">
        <v>44216</v>
      </c>
      <c r="AA1354" s="166">
        <v>44222</v>
      </c>
    </row>
    <row r="1355" spans="1:31" ht="15.75" hidden="1" customHeight="1">
      <c r="A1355" s="261" t="s">
        <v>1603</v>
      </c>
      <c r="B1355" s="226">
        <v>44195</v>
      </c>
      <c r="C1355" s="230">
        <v>10391</v>
      </c>
      <c r="D1355" s="107">
        <f>COUNTA(G1355:Z1355)*0.5</f>
        <v>4</v>
      </c>
      <c r="E1355" s="107">
        <v>318</v>
      </c>
      <c r="F1355" s="107" t="s">
        <v>263</v>
      </c>
      <c r="G1355" s="178">
        <v>44195</v>
      </c>
      <c r="H1355" s="178">
        <v>44195</v>
      </c>
      <c r="I1355" s="178">
        <v>44202</v>
      </c>
      <c r="J1355" s="178">
        <v>44204</v>
      </c>
      <c r="K1355" s="178">
        <v>44207</v>
      </c>
      <c r="L1355" s="178">
        <v>44209</v>
      </c>
      <c r="M1355" s="178">
        <v>44211</v>
      </c>
      <c r="N1355" s="178">
        <v>44216</v>
      </c>
      <c r="AA1355" s="166">
        <v>44222</v>
      </c>
    </row>
    <row r="1356" spans="1:31" ht="15.75" hidden="1" customHeight="1">
      <c r="A1356" s="261" t="s">
        <v>1604</v>
      </c>
      <c r="B1356" s="226">
        <v>44195</v>
      </c>
      <c r="C1356" s="230">
        <v>10391</v>
      </c>
      <c r="D1356" s="107">
        <f>COUNTA(G1356:Z1356)*0.5</f>
        <v>4</v>
      </c>
      <c r="E1356" s="107">
        <v>318</v>
      </c>
      <c r="F1356" s="107" t="s">
        <v>263</v>
      </c>
      <c r="G1356" s="178">
        <v>44195</v>
      </c>
      <c r="H1356" s="178">
        <v>44195</v>
      </c>
      <c r="I1356" s="178">
        <v>44202</v>
      </c>
      <c r="J1356" s="178">
        <v>44204</v>
      </c>
      <c r="K1356" s="178">
        <v>44207</v>
      </c>
      <c r="L1356" s="178">
        <v>44209</v>
      </c>
      <c r="M1356" s="178">
        <v>44211</v>
      </c>
      <c r="N1356" s="178">
        <v>44216</v>
      </c>
      <c r="AA1356" s="166">
        <v>44222</v>
      </c>
    </row>
    <row r="1357" spans="1:31" ht="15.75" hidden="1" customHeight="1">
      <c r="A1357" s="261" t="s">
        <v>1605</v>
      </c>
      <c r="B1357" s="226">
        <v>44195</v>
      </c>
      <c r="C1357" s="230">
        <v>10391</v>
      </c>
      <c r="D1357" s="107">
        <f>COUNTA(G1357:Z1357)*0.5</f>
        <v>4</v>
      </c>
      <c r="E1357" s="107">
        <v>318</v>
      </c>
      <c r="F1357" s="107" t="s">
        <v>263</v>
      </c>
      <c r="G1357" s="178">
        <v>44195</v>
      </c>
      <c r="H1357" s="178">
        <v>44195</v>
      </c>
      <c r="I1357" s="178">
        <v>44202</v>
      </c>
      <c r="J1357" s="178">
        <v>44204</v>
      </c>
      <c r="K1357" s="178">
        <v>44207</v>
      </c>
      <c r="L1357" s="178">
        <v>44209</v>
      </c>
      <c r="M1357" s="178">
        <v>44211</v>
      </c>
      <c r="N1357" s="178">
        <v>44216</v>
      </c>
      <c r="AA1357" s="166">
        <v>44222</v>
      </c>
    </row>
    <row r="1358" spans="1:31" ht="15.75" hidden="1" customHeight="1">
      <c r="A1358" s="261" t="s">
        <v>1606</v>
      </c>
      <c r="B1358" s="226">
        <v>44195</v>
      </c>
      <c r="C1358" s="230">
        <v>10391</v>
      </c>
      <c r="D1358" s="107">
        <f>COUNTA(G1358:Z1358)*0.5</f>
        <v>4</v>
      </c>
      <c r="E1358" s="107">
        <v>318</v>
      </c>
      <c r="F1358" s="107" t="s">
        <v>263</v>
      </c>
      <c r="G1358" s="178">
        <v>44195</v>
      </c>
      <c r="H1358" s="178">
        <v>44195</v>
      </c>
      <c r="I1358" s="178">
        <v>44202</v>
      </c>
      <c r="J1358" s="178">
        <v>44204</v>
      </c>
      <c r="K1358" s="178">
        <v>44207</v>
      </c>
      <c r="L1358" s="178">
        <v>44209</v>
      </c>
      <c r="M1358" s="178">
        <v>44211</v>
      </c>
      <c r="N1358" s="178">
        <v>44216</v>
      </c>
      <c r="AA1358" s="166">
        <v>44222</v>
      </c>
    </row>
    <row r="1359" spans="1:31" ht="15.75" hidden="1" customHeight="1">
      <c r="A1359" s="261" t="s">
        <v>1607</v>
      </c>
      <c r="B1359" s="226">
        <v>44195</v>
      </c>
      <c r="C1359" s="230">
        <v>10391</v>
      </c>
      <c r="D1359" s="107">
        <f>COUNTA(G1359:Z1359)*0.5</f>
        <v>4</v>
      </c>
      <c r="E1359" s="107">
        <v>318</v>
      </c>
      <c r="F1359" s="107" t="s">
        <v>263</v>
      </c>
      <c r="G1359" s="178">
        <v>44195</v>
      </c>
      <c r="H1359" s="178">
        <v>44195</v>
      </c>
      <c r="I1359" s="178">
        <v>44202</v>
      </c>
      <c r="J1359" s="178">
        <v>44204</v>
      </c>
      <c r="K1359" s="178">
        <v>44207</v>
      </c>
      <c r="L1359" s="178">
        <v>44209</v>
      </c>
      <c r="M1359" s="178">
        <v>44211</v>
      </c>
      <c r="N1359" s="178">
        <v>44216</v>
      </c>
      <c r="AA1359" s="166">
        <v>44222</v>
      </c>
    </row>
    <row r="1360" spans="1:31" ht="15.75" hidden="1" customHeight="1">
      <c r="A1360" s="261" t="s">
        <v>1608</v>
      </c>
      <c r="B1360" s="226">
        <v>44195</v>
      </c>
      <c r="C1360" s="230">
        <v>10391</v>
      </c>
      <c r="D1360" s="107">
        <f>COUNTA(G1360:Z1360)*0.5</f>
        <v>4</v>
      </c>
      <c r="E1360" s="107">
        <v>318</v>
      </c>
      <c r="F1360" s="107" t="s">
        <v>263</v>
      </c>
      <c r="G1360" s="178">
        <v>44195</v>
      </c>
      <c r="H1360" s="178">
        <v>44195</v>
      </c>
      <c r="I1360" s="178">
        <v>44202</v>
      </c>
      <c r="J1360" s="178">
        <v>44204</v>
      </c>
      <c r="K1360" s="178">
        <v>44207</v>
      </c>
      <c r="L1360" s="178">
        <v>44209</v>
      </c>
      <c r="M1360" s="178">
        <v>44211</v>
      </c>
      <c r="N1360" s="178">
        <v>44216</v>
      </c>
      <c r="AA1360" s="166">
        <v>44222</v>
      </c>
    </row>
    <row r="1361" spans="1:27" ht="15.75" hidden="1" customHeight="1">
      <c r="A1361" s="261" t="s">
        <v>1609</v>
      </c>
      <c r="B1361" s="226">
        <v>44195</v>
      </c>
      <c r="C1361" s="230" t="s">
        <v>54</v>
      </c>
      <c r="D1361" s="107">
        <f>COUNTA(G1361:Z1361)*0.5</f>
        <v>2</v>
      </c>
      <c r="E1361" s="107" t="s">
        <v>54</v>
      </c>
      <c r="F1361" s="107" t="s">
        <v>323</v>
      </c>
      <c r="G1361" s="178">
        <v>44195</v>
      </c>
      <c r="H1361" s="178">
        <v>44195</v>
      </c>
      <c r="I1361" s="178">
        <v>44202</v>
      </c>
      <c r="J1361" s="178">
        <v>44204</v>
      </c>
      <c r="AA1361" s="166">
        <v>44209</v>
      </c>
    </row>
    <row r="1362" spans="1:27" ht="15.75" customHeight="1">
      <c r="D1362" s="107">
        <f>COUNTA(G1362:Z1362)*0.5</f>
        <v>0</v>
      </c>
      <c r="F1362" s="107" t="s">
        <v>1567</v>
      </c>
    </row>
    <row r="1363" spans="1:27" ht="15.75" customHeight="1">
      <c r="D1363" s="107">
        <f>COUNTA(G1363:Z1363)*0.5</f>
        <v>0</v>
      </c>
      <c r="F1363" s="107" t="s">
        <v>1567</v>
      </c>
    </row>
    <row r="1364" spans="1:27" ht="15.75" customHeight="1">
      <c r="D1364" s="107">
        <f>COUNTA(G1364:Z1364)*0.5</f>
        <v>0</v>
      </c>
      <c r="F1364" s="107" t="s">
        <v>1567</v>
      </c>
    </row>
    <row r="1365" spans="1:27" ht="15.75" customHeight="1">
      <c r="D1365" s="107">
        <f>COUNTA(G1365:Z1365)*0.5</f>
        <v>0</v>
      </c>
      <c r="F1365" s="107" t="s">
        <v>1567</v>
      </c>
    </row>
    <row r="1366" spans="1:27" ht="15.75" customHeight="1">
      <c r="D1366" s="107">
        <f>COUNTA(G1366:Z1366)*0.5</f>
        <v>0</v>
      </c>
      <c r="F1366" s="107" t="s">
        <v>1567</v>
      </c>
    </row>
    <row r="1367" spans="1:27" ht="15.75" customHeight="1">
      <c r="D1367" s="107">
        <f>COUNTA(G1367:Z1367)*0.5</f>
        <v>0</v>
      </c>
      <c r="F1367" s="107" t="s">
        <v>1567</v>
      </c>
    </row>
    <row r="1368" spans="1:27" ht="15.75" customHeight="1">
      <c r="D1368" s="107">
        <f>COUNTA(G1368:Z1368)*0.5</f>
        <v>0</v>
      </c>
      <c r="F1368" s="107" t="s">
        <v>1567</v>
      </c>
    </row>
    <row r="1369" spans="1:27" ht="15.75" customHeight="1">
      <c r="D1369" s="107">
        <f>COUNTA(G1369:Z1369)*0.5</f>
        <v>0</v>
      </c>
      <c r="F1369" s="107" t="s">
        <v>1567</v>
      </c>
    </row>
    <row r="1370" spans="1:27" ht="15.75" customHeight="1">
      <c r="D1370" s="107">
        <f>COUNTA(G1370:Z1370)*0.5</f>
        <v>0</v>
      </c>
      <c r="F1370" s="107" t="s">
        <v>1567</v>
      </c>
    </row>
    <row r="1371" spans="1:27" ht="15.75" customHeight="1">
      <c r="D1371" s="107">
        <f>COUNTA(G1371:Z1371)*0.5</f>
        <v>0</v>
      </c>
      <c r="F1371" s="107" t="s">
        <v>1567</v>
      </c>
    </row>
    <row r="1372" spans="1:27" ht="15.75" customHeight="1">
      <c r="D1372" s="107">
        <f>COUNTA(G1372:Z1372)*0.5</f>
        <v>0</v>
      </c>
      <c r="F1372" s="107" t="s">
        <v>1567</v>
      </c>
    </row>
    <row r="1373" spans="1:27" ht="15.75" customHeight="1">
      <c r="D1373" s="107">
        <f>COUNTA(G1373:Z1373)*0.5</f>
        <v>0</v>
      </c>
      <c r="F1373" s="107" t="s">
        <v>1567</v>
      </c>
    </row>
    <row r="1374" spans="1:27" ht="15.75" customHeight="1">
      <c r="D1374" s="107">
        <f>COUNTA(G1374:Z1374)*0.5</f>
        <v>0</v>
      </c>
      <c r="F1374" s="107" t="s">
        <v>1567</v>
      </c>
    </row>
    <row r="1375" spans="1:27" ht="15.75" customHeight="1">
      <c r="D1375" s="107">
        <f>COUNTA(G1375:Z1375)*0.5</f>
        <v>0</v>
      </c>
      <c r="F1375" s="107" t="s">
        <v>1567</v>
      </c>
    </row>
    <row r="1376" spans="1:27" ht="15.75" customHeight="1">
      <c r="D1376" s="107">
        <f>COUNTA(G1376:Z1376)*0.5</f>
        <v>0</v>
      </c>
      <c r="F1376" s="107" t="s">
        <v>1567</v>
      </c>
    </row>
    <row r="1377" spans="4:6" ht="15.75" customHeight="1">
      <c r="D1377" s="107">
        <f>COUNTA(G1377:Z1377)*0.5</f>
        <v>0</v>
      </c>
      <c r="F1377" s="107" t="s">
        <v>1567</v>
      </c>
    </row>
    <row r="1378" spans="4:6" ht="15.75" customHeight="1">
      <c r="D1378" s="107">
        <f>COUNTA(G1378:Z1378)*0.5</f>
        <v>0</v>
      </c>
      <c r="F1378" s="107" t="s">
        <v>1567</v>
      </c>
    </row>
    <row r="1379" spans="4:6" ht="15.75" customHeight="1">
      <c r="D1379" s="107">
        <f>COUNTA(G1379:Z1379)*0.5</f>
        <v>0</v>
      </c>
      <c r="F1379" s="107" t="s">
        <v>1567</v>
      </c>
    </row>
    <row r="1380" spans="4:6" ht="15.75" customHeight="1">
      <c r="D1380" s="107">
        <f>COUNTA(G1380:Z1380)*0.5</f>
        <v>0</v>
      </c>
      <c r="F1380" s="107" t="s">
        <v>1567</v>
      </c>
    </row>
    <row r="1381" spans="4:6" ht="15.75" customHeight="1">
      <c r="D1381" s="107">
        <f>COUNTA(G1381:Z1381)*0.5</f>
        <v>0</v>
      </c>
      <c r="F1381" s="107" t="s">
        <v>1567</v>
      </c>
    </row>
    <row r="1382" spans="4:6" ht="15.75" customHeight="1">
      <c r="D1382" s="107">
        <f>COUNTA(G1382:Z1382)*0.5</f>
        <v>0</v>
      </c>
      <c r="F1382" s="107" t="s">
        <v>1567</v>
      </c>
    </row>
    <row r="1383" spans="4:6" ht="15.75" customHeight="1">
      <c r="D1383" s="107">
        <f>COUNTA(G1383:Z1383)*0.5</f>
        <v>0</v>
      </c>
      <c r="F1383" s="107" t="s">
        <v>1567</v>
      </c>
    </row>
    <row r="1384" spans="4:6" ht="15.75" customHeight="1">
      <c r="D1384" s="107">
        <f>COUNTA(G1384:Z1384)*0.5</f>
        <v>0</v>
      </c>
      <c r="F1384" s="107" t="s">
        <v>1567</v>
      </c>
    </row>
    <row r="1385" spans="4:6" ht="15.75" customHeight="1">
      <c r="D1385" s="107">
        <f>COUNTA(G1385:Z1385)*0.5</f>
        <v>0</v>
      </c>
      <c r="F1385" s="107" t="s">
        <v>1567</v>
      </c>
    </row>
    <row r="1386" spans="4:6" ht="15.75" customHeight="1">
      <c r="D1386" s="107">
        <f>COUNTA(G1386:Z1386)*0.5</f>
        <v>0</v>
      </c>
      <c r="F1386" s="107" t="s">
        <v>1567</v>
      </c>
    </row>
    <row r="1387" spans="4:6" ht="15.75" customHeight="1">
      <c r="D1387" s="107">
        <f>COUNTA(G1387:Z1387)*0.5</f>
        <v>0</v>
      </c>
      <c r="F1387" s="107" t="s">
        <v>1567</v>
      </c>
    </row>
    <row r="1388" spans="4:6" ht="15.75" customHeight="1">
      <c r="D1388" s="107">
        <f>COUNTA(G1388:Z1388)*0.5</f>
        <v>0</v>
      </c>
      <c r="F1388" s="107" t="s">
        <v>1567</v>
      </c>
    </row>
    <row r="1389" spans="4:6" ht="15.75" customHeight="1">
      <c r="D1389" s="107">
        <f>COUNTA(G1389:Z1389)*0.5</f>
        <v>0</v>
      </c>
      <c r="F1389" s="107" t="s">
        <v>1567</v>
      </c>
    </row>
    <row r="1390" spans="4:6" ht="15.75" customHeight="1">
      <c r="D1390" s="107">
        <f>COUNTA(G1390:Z1390)*0.5</f>
        <v>0</v>
      </c>
      <c r="F1390" s="107" t="s">
        <v>1567</v>
      </c>
    </row>
    <row r="1391" spans="4:6" ht="15.75" customHeight="1">
      <c r="D1391" s="107">
        <f>COUNTA(G1391:Z1391)*0.5</f>
        <v>0</v>
      </c>
      <c r="F1391" s="107" t="s">
        <v>1567</v>
      </c>
    </row>
    <row r="1392" spans="4:6" ht="15.75" customHeight="1">
      <c r="D1392" s="107">
        <f>COUNTA(G1392:Z1392)*0.5</f>
        <v>0</v>
      </c>
      <c r="F1392" s="107" t="s">
        <v>1567</v>
      </c>
    </row>
    <row r="1393" spans="4:35" ht="15.75" customHeight="1">
      <c r="D1393" s="107">
        <f>COUNTA(G1393:Z1393)*0.5</f>
        <v>0</v>
      </c>
      <c r="F1393" s="107" t="s">
        <v>1567</v>
      </c>
    </row>
    <row r="1394" spans="4:35" ht="15.75" customHeight="1">
      <c r="D1394" s="107">
        <f>COUNTA(G1394:Z1394)*0.5</f>
        <v>0</v>
      </c>
      <c r="F1394" s="107" t="s">
        <v>1567</v>
      </c>
    </row>
    <row r="1395" spans="4:35" ht="15.75" customHeight="1">
      <c r="D1395" s="107">
        <f>COUNTA(G1395:Z1395)*0.5</f>
        <v>0</v>
      </c>
      <c r="F1395" s="107" t="s">
        <v>1567</v>
      </c>
    </row>
    <row r="1396" spans="4:35" ht="15.75" customHeight="1">
      <c r="D1396" s="107">
        <f>COUNTA(G1396:Z1396)*0.5</f>
        <v>0</v>
      </c>
      <c r="F1396" s="107" t="s">
        <v>1567</v>
      </c>
    </row>
    <row r="1397" spans="4:35" ht="15.75" customHeight="1">
      <c r="D1397" s="107">
        <f>COUNTA(G1397:Z1397)*0.5</f>
        <v>0</v>
      </c>
      <c r="F1397" s="107" t="s">
        <v>1567</v>
      </c>
    </row>
    <row r="1398" spans="4:35" ht="15.75" customHeight="1">
      <c r="D1398" s="107">
        <f>COUNTA(G1398:Z1398)*0.5</f>
        <v>0</v>
      </c>
      <c r="F1398" s="107" t="s">
        <v>1567</v>
      </c>
    </row>
    <row r="1399" spans="4:35" ht="15.75" customHeight="1">
      <c r="D1399" s="107">
        <f>COUNTA(G1399:Z1399)*0.5</f>
        <v>0</v>
      </c>
      <c r="F1399" s="107" t="s">
        <v>1567</v>
      </c>
    </row>
    <row r="1400" spans="4:35" ht="15.75" customHeight="1">
      <c r="D1400" s="107">
        <f>COUNTA(G1400:Z1400)*0.5</f>
        <v>0</v>
      </c>
      <c r="F1400" s="107" t="s">
        <v>1567</v>
      </c>
    </row>
    <row r="1401" spans="4:35" ht="15.75" customHeight="1">
      <c r="D1401" s="107">
        <f>COUNTA(G1401:Z1401)*0.5</f>
        <v>0</v>
      </c>
      <c r="F1401" s="107" t="s">
        <v>1567</v>
      </c>
    </row>
    <row r="1402" spans="4:35" ht="15.75" customHeight="1">
      <c r="F1402" s="107" t="s">
        <v>1567</v>
      </c>
    </row>
    <row r="1403" spans="4:35" ht="15.75" customHeight="1">
      <c r="AH1403" s="108" t="e">
        <f>(AD1403-AF1403)/(D1403*$K$1*2)%</f>
        <v>#DIV/0!</v>
      </c>
      <c r="AI1403" s="108" t="e">
        <f>(AE1403+AF1403)/(D1403*$K$1*2)%</f>
        <v>#DIV/0!</v>
      </c>
    </row>
  </sheetData>
  <autoFilter ref="A2:AU1402" xr:uid="{82529BB0-CBF4-4663-A58A-B4089B1DF1A1}">
    <filterColumn colId="5">
      <filters>
        <filter val="Feeding"/>
      </filters>
    </filterColumn>
  </autoFilter>
  <sortState xmlns:xlrd2="http://schemas.microsoft.com/office/spreadsheetml/2017/richdata2" ref="A3:AO949">
    <sortCondition ref="A3:A949"/>
  </sortState>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90B45C5-5624-4F96-8282-35AA22B2ACFF}">
          <x14:formula1>
            <xm:f>'Read me and More'!$A$18:$A$21</xm:f>
          </x14:formula1>
          <xm:sqref>F3:F354 F356:F654 F690:F805</xm:sqref>
        </x14:dataValidation>
        <x14:dataValidation type="list" allowBlank="1" showInputMessage="1" showErrorMessage="1" xr:uid="{1D504FF3-C26D-4BD1-A63A-D8596C4BB762}">
          <x14:formula1>
            <xm:f>'Read me and More'!$A$18:$A$22</xm:f>
          </x14:formula1>
          <xm:sqref>F355 F806:F1402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000"/>
  <sheetViews>
    <sheetView workbookViewId="0">
      <pane xSplit="1" ySplit="5" topLeftCell="I243" activePane="bottomRight" state="frozen"/>
      <selection pane="bottomRight" activeCell="I243" sqref="I243"/>
      <selection pane="bottomLeft" activeCell="A6" sqref="A6"/>
      <selection pane="topRight" activeCell="B1" sqref="B1"/>
    </sheetView>
  </sheetViews>
  <sheetFormatPr defaultColWidth="14.42578125" defaultRowHeight="15.75" customHeight="1"/>
  <cols>
    <col min="1" max="1" width="14.7109375" style="154" customWidth="1"/>
    <col min="2" max="2" width="4" style="53" customWidth="1"/>
    <col min="3" max="3" width="3.85546875" style="53" customWidth="1"/>
    <col min="4" max="4" width="4.140625" style="53" customWidth="1"/>
    <col min="5" max="5" width="3.85546875" style="53" customWidth="1"/>
    <col min="6" max="6" width="4" style="53" customWidth="1"/>
    <col min="7" max="7" width="4.28515625" style="53" customWidth="1"/>
    <col min="8" max="8" width="14" style="53" customWidth="1"/>
    <col min="9" max="9" width="3.7109375" style="53" customWidth="1"/>
    <col min="10" max="11" width="4.42578125" style="53" customWidth="1"/>
    <col min="12" max="12" width="4.140625" style="53" customWidth="1"/>
    <col min="13" max="14" width="4.28515625" style="53" customWidth="1"/>
    <col min="15" max="15" width="17" style="53" customWidth="1"/>
    <col min="16" max="16" width="13.42578125" style="53" customWidth="1"/>
    <col min="17" max="17" width="6.42578125" style="53" customWidth="1"/>
  </cols>
  <sheetData>
    <row r="1" spans="1:17" ht="15.75" customHeight="1">
      <c r="A1" s="170"/>
      <c r="B1" s="96" t="s">
        <v>8</v>
      </c>
      <c r="C1" s="96" t="s">
        <v>19</v>
      </c>
      <c r="D1" s="96" t="s">
        <v>11</v>
      </c>
      <c r="E1" s="96" t="s">
        <v>16</v>
      </c>
      <c r="F1" s="96" t="s">
        <v>24</v>
      </c>
      <c r="G1" s="96" t="s">
        <v>18</v>
      </c>
      <c r="H1" s="97" t="s">
        <v>1610</v>
      </c>
      <c r="I1" s="96" t="s">
        <v>8</v>
      </c>
      <c r="J1" s="96" t="s">
        <v>19</v>
      </c>
      <c r="K1" s="96" t="s">
        <v>11</v>
      </c>
      <c r="L1" s="96" t="s">
        <v>16</v>
      </c>
      <c r="M1" s="96" t="s">
        <v>24</v>
      </c>
      <c r="N1" s="96" t="s">
        <v>18</v>
      </c>
      <c r="O1" s="98" t="s">
        <v>1611</v>
      </c>
      <c r="P1" s="96" t="s">
        <v>1612</v>
      </c>
    </row>
    <row r="2" spans="1:17" ht="12.75">
      <c r="A2" s="171" t="s">
        <v>32</v>
      </c>
      <c r="B2" s="96">
        <f t="shared" ref="B2:E2" si="0">SUM(B6:B401)</f>
        <v>266</v>
      </c>
      <c r="C2" s="96">
        <f t="shared" si="0"/>
        <v>183</v>
      </c>
      <c r="D2" s="96">
        <f t="shared" si="0"/>
        <v>306</v>
      </c>
      <c r="E2" s="96">
        <f t="shared" si="0"/>
        <v>445</v>
      </c>
      <c r="F2" s="96">
        <f t="shared" ref="F2:G2" si="1">SUM(F7:F401)</f>
        <v>277</v>
      </c>
      <c r="G2" s="96">
        <f t="shared" si="1"/>
        <v>117</v>
      </c>
      <c r="H2" s="97">
        <f>SUM(B2:G2)</f>
        <v>1594</v>
      </c>
      <c r="I2" s="96">
        <f t="shared" ref="I2:N2" si="2">SUM(I6:I402)</f>
        <v>236</v>
      </c>
      <c r="J2" s="96">
        <f t="shared" si="2"/>
        <v>171</v>
      </c>
      <c r="K2" s="96">
        <f>SUM(K6:K402)</f>
        <v>266</v>
      </c>
      <c r="L2" s="96">
        <f t="shared" si="2"/>
        <v>405</v>
      </c>
      <c r="M2" s="96">
        <f t="shared" si="2"/>
        <v>244</v>
      </c>
      <c r="N2" s="96">
        <f t="shared" si="2"/>
        <v>117</v>
      </c>
      <c r="O2" s="98">
        <f>SUM(I2:N2)</f>
        <v>1439</v>
      </c>
      <c r="P2" s="28">
        <f>H2-O2</f>
        <v>155</v>
      </c>
    </row>
    <row r="3" spans="1:17" ht="12.75">
      <c r="B3" s="44"/>
      <c r="H3" s="99" t="s">
        <v>1613</v>
      </c>
      <c r="I3" s="100">
        <f t="shared" ref="I3:N3" si="3">B2-I2</f>
        <v>30</v>
      </c>
      <c r="J3" s="100">
        <f t="shared" si="3"/>
        <v>12</v>
      </c>
      <c r="K3" s="100">
        <f t="shared" si="3"/>
        <v>40</v>
      </c>
      <c r="L3" s="100">
        <f t="shared" si="3"/>
        <v>40</v>
      </c>
      <c r="M3" s="100">
        <f t="shared" si="3"/>
        <v>33</v>
      </c>
      <c r="N3" s="101">
        <f t="shared" si="3"/>
        <v>0</v>
      </c>
    </row>
    <row r="4" spans="1:17" ht="12.75">
      <c r="A4" s="172"/>
      <c r="B4" s="272" t="s">
        <v>1614</v>
      </c>
      <c r="C4" s="272"/>
      <c r="D4" s="272"/>
      <c r="E4" s="272"/>
      <c r="F4" s="272"/>
      <c r="G4" s="272"/>
      <c r="H4" s="102"/>
      <c r="I4" s="272" t="s">
        <v>1615</v>
      </c>
      <c r="J4" s="272"/>
      <c r="K4" s="272"/>
      <c r="L4" s="272"/>
      <c r="M4" s="272"/>
      <c r="N4" s="272"/>
    </row>
    <row r="5" spans="1:17" ht="12.75">
      <c r="A5" s="172" t="s">
        <v>60</v>
      </c>
      <c r="B5" s="272" t="s">
        <v>8</v>
      </c>
      <c r="C5" s="272" t="s">
        <v>19</v>
      </c>
      <c r="D5" s="272" t="s">
        <v>11</v>
      </c>
      <c r="E5" s="272" t="s">
        <v>16</v>
      </c>
      <c r="F5" s="272" t="s">
        <v>24</v>
      </c>
      <c r="G5" s="272" t="s">
        <v>18</v>
      </c>
      <c r="H5" s="102" t="s">
        <v>1616</v>
      </c>
      <c r="I5" s="272" t="s">
        <v>8</v>
      </c>
      <c r="J5" s="272" t="s">
        <v>19</v>
      </c>
      <c r="K5" s="272" t="s">
        <v>11</v>
      </c>
      <c r="L5" s="272" t="s">
        <v>16</v>
      </c>
      <c r="M5" s="272" t="s">
        <v>24</v>
      </c>
      <c r="N5" s="272" t="s">
        <v>18</v>
      </c>
      <c r="O5" s="272" t="s">
        <v>1617</v>
      </c>
      <c r="P5" s="44" t="s">
        <v>1610</v>
      </c>
      <c r="Q5" s="44" t="s">
        <v>1618</v>
      </c>
    </row>
    <row r="6" spans="1:17" ht="12.75" hidden="1">
      <c r="A6" s="173" t="s">
        <v>1619</v>
      </c>
      <c r="C6" s="44">
        <v>2</v>
      </c>
      <c r="D6" s="44">
        <v>1</v>
      </c>
      <c r="E6" s="44"/>
      <c r="F6" s="44">
        <v>2</v>
      </c>
      <c r="G6" s="44"/>
      <c r="H6" s="103">
        <f t="shared" ref="H6:H101" si="4">SUM(B6:G6)</f>
        <v>5</v>
      </c>
      <c r="O6" s="44">
        <f t="shared" ref="O6:O101" si="5">SUM(I6:N6)</f>
        <v>0</v>
      </c>
      <c r="P6" s="44">
        <f t="shared" ref="P6:P101" si="6">SUM(H$6:H6)</f>
        <v>5</v>
      </c>
      <c r="Q6" s="44">
        <v>3</v>
      </c>
    </row>
    <row r="7" spans="1:17" ht="12.75" hidden="1">
      <c r="A7" s="173">
        <v>43894</v>
      </c>
      <c r="C7" s="44">
        <v>2</v>
      </c>
      <c r="D7" s="44">
        <v>3</v>
      </c>
      <c r="E7" s="44">
        <v>1</v>
      </c>
      <c r="F7" s="44">
        <v>3</v>
      </c>
      <c r="G7" s="44">
        <v>6</v>
      </c>
      <c r="H7" s="103">
        <f t="shared" si="4"/>
        <v>15</v>
      </c>
      <c r="O7" s="44">
        <f t="shared" si="5"/>
        <v>0</v>
      </c>
      <c r="P7" s="44">
        <f t="shared" si="6"/>
        <v>20</v>
      </c>
      <c r="Q7" s="44">
        <f t="shared" ref="Q7:Q101" si="7">Q6-O7+H7</f>
        <v>18</v>
      </c>
    </row>
    <row r="8" spans="1:17" ht="12.75" hidden="1">
      <c r="A8" s="173">
        <v>43895</v>
      </c>
      <c r="C8" s="44">
        <v>5</v>
      </c>
      <c r="F8" s="44">
        <v>5</v>
      </c>
      <c r="G8" s="44">
        <v>10</v>
      </c>
      <c r="H8" s="103">
        <f t="shared" si="4"/>
        <v>20</v>
      </c>
      <c r="O8" s="44">
        <f t="shared" si="5"/>
        <v>0</v>
      </c>
      <c r="P8" s="44">
        <f t="shared" si="6"/>
        <v>40</v>
      </c>
      <c r="Q8" s="44">
        <f t="shared" si="7"/>
        <v>38</v>
      </c>
    </row>
    <row r="9" spans="1:17" ht="12.75" hidden="1">
      <c r="A9" s="173">
        <v>43896</v>
      </c>
      <c r="F9" s="44">
        <v>24</v>
      </c>
      <c r="H9" s="103">
        <f t="shared" si="4"/>
        <v>24</v>
      </c>
      <c r="O9" s="44">
        <f t="shared" si="5"/>
        <v>0</v>
      </c>
      <c r="P9" s="44">
        <f t="shared" si="6"/>
        <v>64</v>
      </c>
      <c r="Q9" s="44">
        <f t="shared" si="7"/>
        <v>62</v>
      </c>
    </row>
    <row r="10" spans="1:17" ht="12.75" hidden="1">
      <c r="A10" s="173">
        <v>43900</v>
      </c>
      <c r="B10" s="44">
        <f>16</f>
        <v>16</v>
      </c>
      <c r="C10" s="44">
        <f>5</f>
        <v>5</v>
      </c>
      <c r="H10" s="103">
        <f t="shared" si="4"/>
        <v>21</v>
      </c>
      <c r="O10" s="44">
        <f t="shared" si="5"/>
        <v>0</v>
      </c>
      <c r="P10" s="44">
        <f t="shared" si="6"/>
        <v>85</v>
      </c>
      <c r="Q10" s="44">
        <f t="shared" si="7"/>
        <v>83</v>
      </c>
    </row>
    <row r="11" spans="1:17" ht="12.75" hidden="1">
      <c r="A11" s="173">
        <v>43901</v>
      </c>
      <c r="C11" s="44">
        <v>1</v>
      </c>
      <c r="D11" s="44">
        <f>16</f>
        <v>16</v>
      </c>
      <c r="E11" s="44">
        <f>22</f>
        <v>22</v>
      </c>
      <c r="G11" s="44">
        <f>11</f>
        <v>11</v>
      </c>
      <c r="H11" s="103">
        <f t="shared" si="4"/>
        <v>50</v>
      </c>
      <c r="O11" s="44">
        <f t="shared" si="5"/>
        <v>0</v>
      </c>
      <c r="P11" s="44">
        <f t="shared" si="6"/>
        <v>135</v>
      </c>
      <c r="Q11" s="44">
        <f t="shared" si="7"/>
        <v>133</v>
      </c>
    </row>
    <row r="12" spans="1:17" ht="12.75" hidden="1">
      <c r="A12" s="173">
        <v>43902</v>
      </c>
      <c r="G12" s="44">
        <f>16</f>
        <v>16</v>
      </c>
      <c r="H12" s="103">
        <f t="shared" si="4"/>
        <v>16</v>
      </c>
      <c r="O12" s="44">
        <f t="shared" si="5"/>
        <v>0</v>
      </c>
      <c r="P12" s="44">
        <f t="shared" si="6"/>
        <v>151</v>
      </c>
      <c r="Q12" s="44">
        <f t="shared" si="7"/>
        <v>149</v>
      </c>
    </row>
    <row r="13" spans="1:17" ht="12.75" hidden="1">
      <c r="A13" s="173">
        <v>43903</v>
      </c>
      <c r="B13" s="44">
        <f>12</f>
        <v>12</v>
      </c>
      <c r="F13" s="44">
        <f>23</f>
        <v>23</v>
      </c>
      <c r="G13" s="44">
        <f>12</f>
        <v>12</v>
      </c>
      <c r="H13" s="103">
        <f t="shared" si="4"/>
        <v>47</v>
      </c>
      <c r="O13" s="44">
        <f t="shared" si="5"/>
        <v>0</v>
      </c>
      <c r="P13" s="44">
        <f t="shared" si="6"/>
        <v>198</v>
      </c>
      <c r="Q13" s="44">
        <f t="shared" si="7"/>
        <v>196</v>
      </c>
    </row>
    <row r="14" spans="1:17" ht="12.75" hidden="1">
      <c r="A14" s="173">
        <v>43908</v>
      </c>
      <c r="B14" s="44">
        <f>26</f>
        <v>26</v>
      </c>
      <c r="E14" s="44">
        <v>17</v>
      </c>
      <c r="H14" s="103">
        <f t="shared" si="4"/>
        <v>43</v>
      </c>
      <c r="O14" s="44">
        <f t="shared" si="5"/>
        <v>0</v>
      </c>
      <c r="P14" s="44">
        <f t="shared" si="6"/>
        <v>241</v>
      </c>
      <c r="Q14" s="44">
        <f t="shared" si="7"/>
        <v>239</v>
      </c>
    </row>
    <row r="15" spans="1:17" ht="12.75" hidden="1">
      <c r="A15" s="173">
        <v>43909</v>
      </c>
      <c r="C15" s="44">
        <f>12</f>
        <v>12</v>
      </c>
      <c r="D15" s="44">
        <f>4</f>
        <v>4</v>
      </c>
      <c r="F15" s="44">
        <f>17</f>
        <v>17</v>
      </c>
      <c r="G15" s="44">
        <f>19</f>
        <v>19</v>
      </c>
      <c r="H15" s="103">
        <f t="shared" si="4"/>
        <v>52</v>
      </c>
      <c r="O15" s="44">
        <f t="shared" si="5"/>
        <v>0</v>
      </c>
      <c r="P15" s="44">
        <f t="shared" si="6"/>
        <v>293</v>
      </c>
      <c r="Q15" s="103">
        <f t="shared" si="7"/>
        <v>291</v>
      </c>
    </row>
    <row r="16" spans="1:17" ht="12.75" hidden="1">
      <c r="A16" s="173">
        <v>43916</v>
      </c>
      <c r="B16" s="44">
        <v>7</v>
      </c>
      <c r="E16" s="44">
        <v>13</v>
      </c>
      <c r="F16" s="44">
        <v>2</v>
      </c>
      <c r="G16" s="44">
        <v>13</v>
      </c>
      <c r="H16" s="103">
        <f t="shared" si="4"/>
        <v>35</v>
      </c>
      <c r="K16" s="44">
        <v>2</v>
      </c>
      <c r="M16" s="44">
        <v>5</v>
      </c>
      <c r="O16" s="44">
        <f t="shared" si="5"/>
        <v>7</v>
      </c>
      <c r="P16" s="44">
        <f t="shared" si="6"/>
        <v>328</v>
      </c>
      <c r="Q16" s="44">
        <f t="shared" si="7"/>
        <v>319</v>
      </c>
    </row>
    <row r="17" spans="1:17" ht="12.75" hidden="1">
      <c r="A17" s="173">
        <v>43917</v>
      </c>
      <c r="E17" s="44">
        <v>10</v>
      </c>
      <c r="H17" s="103">
        <f t="shared" si="4"/>
        <v>10</v>
      </c>
      <c r="O17" s="44">
        <f t="shared" si="5"/>
        <v>0</v>
      </c>
      <c r="P17" s="44">
        <f t="shared" si="6"/>
        <v>338</v>
      </c>
      <c r="Q17" s="44">
        <f t="shared" si="7"/>
        <v>329</v>
      </c>
    </row>
    <row r="18" spans="1:17" ht="12.75" hidden="1">
      <c r="A18" s="173">
        <v>43920</v>
      </c>
      <c r="H18" s="103">
        <f t="shared" si="4"/>
        <v>0</v>
      </c>
      <c r="M18" s="44">
        <v>15</v>
      </c>
      <c r="N18" s="44">
        <v>10</v>
      </c>
      <c r="O18" s="44">
        <f t="shared" si="5"/>
        <v>25</v>
      </c>
      <c r="P18" s="44">
        <f t="shared" si="6"/>
        <v>338</v>
      </c>
      <c r="Q18" s="44">
        <f t="shared" si="7"/>
        <v>304</v>
      </c>
    </row>
    <row r="19" spans="1:17" ht="12.75" hidden="1">
      <c r="A19" s="173">
        <v>43921</v>
      </c>
      <c r="H19" s="103">
        <f t="shared" si="4"/>
        <v>0</v>
      </c>
      <c r="I19" s="44">
        <v>10</v>
      </c>
      <c r="O19" s="44">
        <f t="shared" si="5"/>
        <v>10</v>
      </c>
      <c r="P19" s="44">
        <f t="shared" si="6"/>
        <v>338</v>
      </c>
      <c r="Q19" s="44">
        <f t="shared" si="7"/>
        <v>294</v>
      </c>
    </row>
    <row r="20" spans="1:17" ht="12.75" hidden="1">
      <c r="A20" s="173">
        <v>43922</v>
      </c>
      <c r="E20" s="44">
        <v>8</v>
      </c>
      <c r="H20" s="103">
        <f t="shared" si="4"/>
        <v>8</v>
      </c>
      <c r="I20" s="44">
        <v>6</v>
      </c>
      <c r="J20" s="44">
        <v>3</v>
      </c>
      <c r="L20" s="44">
        <v>1</v>
      </c>
      <c r="O20" s="44">
        <f t="shared" si="5"/>
        <v>10</v>
      </c>
      <c r="P20" s="44">
        <f t="shared" si="6"/>
        <v>346</v>
      </c>
      <c r="Q20" s="44">
        <f t="shared" si="7"/>
        <v>292</v>
      </c>
    </row>
    <row r="21" spans="1:17" ht="12.75" hidden="1">
      <c r="A21" s="173">
        <v>43923</v>
      </c>
      <c r="B21" s="44">
        <v>1</v>
      </c>
      <c r="C21" s="44">
        <v>7</v>
      </c>
      <c r="E21" s="44">
        <v>3</v>
      </c>
      <c r="H21" s="103">
        <f t="shared" si="4"/>
        <v>11</v>
      </c>
      <c r="M21" s="44">
        <v>6</v>
      </c>
      <c r="N21" s="44">
        <v>13</v>
      </c>
      <c r="O21" s="44">
        <f t="shared" si="5"/>
        <v>19</v>
      </c>
      <c r="P21" s="44">
        <f t="shared" si="6"/>
        <v>357</v>
      </c>
      <c r="Q21" s="44">
        <f t="shared" si="7"/>
        <v>284</v>
      </c>
    </row>
    <row r="22" spans="1:17" ht="12.75" hidden="1">
      <c r="A22" s="173">
        <v>43924</v>
      </c>
      <c r="G22" s="44">
        <v>14</v>
      </c>
      <c r="H22" s="103">
        <f t="shared" si="4"/>
        <v>14</v>
      </c>
      <c r="J22" s="44">
        <v>6</v>
      </c>
      <c r="M22" s="44">
        <v>8</v>
      </c>
      <c r="O22" s="44">
        <f t="shared" si="5"/>
        <v>14</v>
      </c>
      <c r="P22" s="44">
        <f t="shared" si="6"/>
        <v>371</v>
      </c>
      <c r="Q22" s="44">
        <f t="shared" si="7"/>
        <v>284</v>
      </c>
    </row>
    <row r="23" spans="1:17" ht="12.75" hidden="1">
      <c r="A23" s="173">
        <v>43927</v>
      </c>
      <c r="H23" s="103">
        <f t="shared" si="4"/>
        <v>0</v>
      </c>
      <c r="I23" s="44">
        <v>11</v>
      </c>
      <c r="K23" s="44">
        <v>16</v>
      </c>
      <c r="L23" s="44">
        <v>11</v>
      </c>
      <c r="M23" s="44">
        <v>18</v>
      </c>
      <c r="N23" s="44">
        <v>4</v>
      </c>
      <c r="O23" s="44">
        <f t="shared" si="5"/>
        <v>60</v>
      </c>
      <c r="P23" s="44">
        <f t="shared" si="6"/>
        <v>371</v>
      </c>
      <c r="Q23" s="44">
        <f t="shared" si="7"/>
        <v>224</v>
      </c>
    </row>
    <row r="24" spans="1:17" ht="12.75" hidden="1">
      <c r="A24" s="173">
        <v>43930</v>
      </c>
      <c r="H24" s="103">
        <f t="shared" si="4"/>
        <v>0</v>
      </c>
      <c r="I24" s="44">
        <v>1</v>
      </c>
      <c r="J24" s="44">
        <v>6</v>
      </c>
      <c r="K24" s="44">
        <v>2</v>
      </c>
      <c r="L24" s="44">
        <v>11</v>
      </c>
      <c r="M24" s="44">
        <v>4</v>
      </c>
      <c r="N24" s="44">
        <v>16</v>
      </c>
      <c r="O24" s="44">
        <f t="shared" si="5"/>
        <v>40</v>
      </c>
      <c r="P24" s="44">
        <f t="shared" si="6"/>
        <v>371</v>
      </c>
      <c r="Q24" s="44">
        <f t="shared" si="7"/>
        <v>184</v>
      </c>
    </row>
    <row r="25" spans="1:17" ht="12.75" hidden="1">
      <c r="A25" s="173">
        <v>43931</v>
      </c>
      <c r="H25" s="103">
        <f t="shared" si="4"/>
        <v>0</v>
      </c>
      <c r="N25" s="44">
        <v>12</v>
      </c>
      <c r="O25" s="44">
        <f t="shared" si="5"/>
        <v>12</v>
      </c>
      <c r="P25" s="44">
        <f t="shared" si="6"/>
        <v>371</v>
      </c>
      <c r="Q25" s="44">
        <f t="shared" si="7"/>
        <v>172</v>
      </c>
    </row>
    <row r="26" spans="1:17" ht="12.75" hidden="1">
      <c r="A26" s="173">
        <v>43934</v>
      </c>
      <c r="H26" s="103">
        <f t="shared" si="4"/>
        <v>0</v>
      </c>
      <c r="I26" s="44">
        <v>26</v>
      </c>
      <c r="M26" s="44">
        <v>17</v>
      </c>
      <c r="O26" s="44">
        <f t="shared" si="5"/>
        <v>43</v>
      </c>
      <c r="P26" s="44">
        <f t="shared" si="6"/>
        <v>371</v>
      </c>
      <c r="Q26" s="44">
        <f t="shared" si="7"/>
        <v>129</v>
      </c>
    </row>
    <row r="27" spans="1:17" ht="12.75" hidden="1">
      <c r="A27" s="173">
        <v>43935</v>
      </c>
      <c r="H27" s="103">
        <f t="shared" si="4"/>
        <v>0</v>
      </c>
      <c r="K27" s="44">
        <v>4</v>
      </c>
      <c r="L27" s="44">
        <v>17</v>
      </c>
      <c r="N27" s="44">
        <v>19</v>
      </c>
      <c r="O27" s="44">
        <f t="shared" si="5"/>
        <v>40</v>
      </c>
      <c r="P27" s="44">
        <f t="shared" si="6"/>
        <v>371</v>
      </c>
      <c r="Q27" s="44">
        <f t="shared" si="7"/>
        <v>89</v>
      </c>
    </row>
    <row r="28" spans="1:17" ht="12.75" hidden="1">
      <c r="A28" s="173">
        <v>43936</v>
      </c>
      <c r="H28" s="103">
        <f t="shared" si="4"/>
        <v>0</v>
      </c>
      <c r="J28" s="44">
        <v>12</v>
      </c>
      <c r="O28" s="44">
        <f t="shared" si="5"/>
        <v>12</v>
      </c>
      <c r="P28" s="44">
        <f t="shared" si="6"/>
        <v>371</v>
      </c>
      <c r="Q28" s="44">
        <f t="shared" si="7"/>
        <v>77</v>
      </c>
    </row>
    <row r="29" spans="1:17" ht="12.75" hidden="1">
      <c r="A29" s="173">
        <v>43941</v>
      </c>
      <c r="H29" s="103">
        <f t="shared" si="4"/>
        <v>0</v>
      </c>
      <c r="L29" s="44">
        <v>13</v>
      </c>
      <c r="O29" s="44">
        <f t="shared" si="5"/>
        <v>13</v>
      </c>
      <c r="P29" s="44">
        <f t="shared" si="6"/>
        <v>371</v>
      </c>
      <c r="Q29" s="44">
        <f t="shared" si="7"/>
        <v>64</v>
      </c>
    </row>
    <row r="30" spans="1:17" ht="12.75" hidden="1">
      <c r="A30" s="173">
        <v>43942</v>
      </c>
      <c r="H30" s="103">
        <f t="shared" si="4"/>
        <v>0</v>
      </c>
      <c r="I30" s="44">
        <v>8</v>
      </c>
      <c r="L30" s="44">
        <v>10</v>
      </c>
      <c r="M30" s="44">
        <v>2</v>
      </c>
      <c r="N30" s="44">
        <v>13</v>
      </c>
      <c r="O30" s="44">
        <f t="shared" si="5"/>
        <v>33</v>
      </c>
      <c r="P30" s="44">
        <f t="shared" si="6"/>
        <v>371</v>
      </c>
      <c r="Q30" s="44">
        <f t="shared" si="7"/>
        <v>31</v>
      </c>
    </row>
    <row r="31" spans="1:17" ht="12.75" hidden="1">
      <c r="A31" s="173">
        <v>43944</v>
      </c>
      <c r="B31" s="44">
        <v>1</v>
      </c>
      <c r="C31" s="44">
        <v>6</v>
      </c>
      <c r="D31" s="44">
        <v>1</v>
      </c>
      <c r="E31" s="44">
        <v>3</v>
      </c>
      <c r="F31" s="44">
        <v>1</v>
      </c>
      <c r="G31" s="44">
        <v>1</v>
      </c>
      <c r="H31" s="103">
        <f t="shared" si="4"/>
        <v>13</v>
      </c>
      <c r="O31" s="44">
        <f t="shared" si="5"/>
        <v>0</v>
      </c>
      <c r="P31" s="44">
        <f t="shared" si="6"/>
        <v>384</v>
      </c>
      <c r="Q31" s="44">
        <f t="shared" si="7"/>
        <v>44</v>
      </c>
    </row>
    <row r="32" spans="1:17" ht="12.75" hidden="1">
      <c r="A32" s="173">
        <v>43948</v>
      </c>
      <c r="H32" s="103">
        <f t="shared" si="4"/>
        <v>0</v>
      </c>
      <c r="J32" s="44">
        <v>7</v>
      </c>
      <c r="L32" s="44">
        <v>11</v>
      </c>
      <c r="N32" s="44">
        <v>14</v>
      </c>
      <c r="O32" s="44">
        <f t="shared" si="5"/>
        <v>32</v>
      </c>
      <c r="P32" s="44">
        <f t="shared" si="6"/>
        <v>384</v>
      </c>
      <c r="Q32" s="44">
        <f t="shared" si="7"/>
        <v>12</v>
      </c>
    </row>
    <row r="33" spans="1:17" ht="12.75" hidden="1">
      <c r="A33" s="173">
        <v>43949</v>
      </c>
      <c r="B33" s="44">
        <v>5</v>
      </c>
      <c r="D33" s="44">
        <v>2</v>
      </c>
      <c r="F33" s="44">
        <v>3</v>
      </c>
      <c r="H33" s="103">
        <f t="shared" si="4"/>
        <v>10</v>
      </c>
      <c r="O33" s="44">
        <f t="shared" si="5"/>
        <v>0</v>
      </c>
      <c r="P33" s="44">
        <f t="shared" si="6"/>
        <v>394</v>
      </c>
      <c r="Q33" s="44">
        <f t="shared" si="7"/>
        <v>22</v>
      </c>
    </row>
    <row r="34" spans="1:17" ht="12.75" hidden="1">
      <c r="A34" s="173">
        <v>43950</v>
      </c>
      <c r="C34" s="44">
        <v>6</v>
      </c>
      <c r="E34" s="44">
        <v>1</v>
      </c>
      <c r="F34" s="44">
        <v>4</v>
      </c>
      <c r="H34" s="103">
        <f t="shared" si="4"/>
        <v>11</v>
      </c>
      <c r="O34" s="44">
        <f t="shared" si="5"/>
        <v>0</v>
      </c>
      <c r="P34" s="44">
        <f t="shared" si="6"/>
        <v>405</v>
      </c>
      <c r="Q34" s="44">
        <f t="shared" si="7"/>
        <v>33</v>
      </c>
    </row>
    <row r="35" spans="1:17" ht="12.75" hidden="1">
      <c r="A35" s="173">
        <v>43952</v>
      </c>
      <c r="C35" s="44">
        <v>4</v>
      </c>
      <c r="D35" s="44">
        <v>2</v>
      </c>
      <c r="H35" s="103">
        <f t="shared" si="4"/>
        <v>6</v>
      </c>
      <c r="O35" s="44">
        <f t="shared" si="5"/>
        <v>0</v>
      </c>
      <c r="P35" s="44">
        <f t="shared" si="6"/>
        <v>411</v>
      </c>
      <c r="Q35" s="44">
        <f t="shared" si="7"/>
        <v>39</v>
      </c>
    </row>
    <row r="36" spans="1:17" ht="12.75" hidden="1">
      <c r="A36" s="173">
        <v>43956</v>
      </c>
      <c r="B36" s="44">
        <v>5</v>
      </c>
      <c r="D36" s="44">
        <v>4</v>
      </c>
      <c r="H36" s="103">
        <f t="shared" si="4"/>
        <v>9</v>
      </c>
      <c r="J36" s="44">
        <v>1</v>
      </c>
      <c r="O36" s="44">
        <f t="shared" si="5"/>
        <v>1</v>
      </c>
      <c r="P36" s="44">
        <f t="shared" si="6"/>
        <v>420</v>
      </c>
      <c r="Q36" s="44">
        <f t="shared" si="7"/>
        <v>47</v>
      </c>
    </row>
    <row r="37" spans="1:17" ht="12.75" hidden="1">
      <c r="A37" s="173">
        <v>43958</v>
      </c>
      <c r="G37" s="44">
        <v>4</v>
      </c>
      <c r="H37" s="103">
        <f t="shared" si="4"/>
        <v>4</v>
      </c>
      <c r="O37" s="44">
        <f t="shared" si="5"/>
        <v>0</v>
      </c>
      <c r="P37" s="44">
        <f t="shared" si="6"/>
        <v>424</v>
      </c>
      <c r="Q37" s="44">
        <f t="shared" si="7"/>
        <v>51</v>
      </c>
    </row>
    <row r="38" spans="1:17" ht="12.75" hidden="1">
      <c r="A38" s="173">
        <v>43959</v>
      </c>
      <c r="E38" s="44">
        <v>1</v>
      </c>
      <c r="H38" s="103">
        <f t="shared" si="4"/>
        <v>1</v>
      </c>
      <c r="O38" s="44">
        <f t="shared" si="5"/>
        <v>0</v>
      </c>
      <c r="P38" s="44">
        <f t="shared" si="6"/>
        <v>425</v>
      </c>
      <c r="Q38" s="44">
        <f t="shared" si="7"/>
        <v>52</v>
      </c>
    </row>
    <row r="39" spans="1:17" ht="12.75" hidden="1">
      <c r="A39" s="173">
        <v>43962</v>
      </c>
      <c r="B39" s="44">
        <v>4</v>
      </c>
      <c r="E39" s="44">
        <v>1</v>
      </c>
      <c r="H39" s="103">
        <f t="shared" si="4"/>
        <v>5</v>
      </c>
      <c r="O39" s="44">
        <f t="shared" si="5"/>
        <v>0</v>
      </c>
      <c r="P39" s="44">
        <f t="shared" si="6"/>
        <v>430</v>
      </c>
      <c r="Q39" s="44">
        <f t="shared" si="7"/>
        <v>57</v>
      </c>
    </row>
    <row r="40" spans="1:17" ht="12.75" hidden="1">
      <c r="A40" s="173">
        <v>43963</v>
      </c>
      <c r="D40" s="44">
        <v>6</v>
      </c>
      <c r="E40" s="44">
        <v>2</v>
      </c>
      <c r="F40" s="44">
        <v>7</v>
      </c>
      <c r="H40" s="103">
        <f t="shared" si="4"/>
        <v>15</v>
      </c>
      <c r="K40" s="44">
        <v>2</v>
      </c>
      <c r="O40" s="44">
        <f t="shared" si="5"/>
        <v>2</v>
      </c>
      <c r="P40" s="44">
        <f t="shared" si="6"/>
        <v>445</v>
      </c>
      <c r="Q40" s="44">
        <f t="shared" si="7"/>
        <v>70</v>
      </c>
    </row>
    <row r="41" spans="1:17" ht="12.75" hidden="1">
      <c r="A41" s="173">
        <v>43964</v>
      </c>
      <c r="H41" s="103">
        <f t="shared" si="4"/>
        <v>0</v>
      </c>
      <c r="J41" s="44">
        <v>1</v>
      </c>
      <c r="K41" s="44">
        <v>1</v>
      </c>
      <c r="N41" s="44">
        <v>1</v>
      </c>
      <c r="O41" s="44">
        <f t="shared" si="5"/>
        <v>3</v>
      </c>
      <c r="P41" s="44">
        <f t="shared" si="6"/>
        <v>445</v>
      </c>
      <c r="Q41" s="44">
        <f t="shared" si="7"/>
        <v>67</v>
      </c>
    </row>
    <row r="42" spans="1:17" ht="12.75" hidden="1">
      <c r="A42" s="173">
        <v>43965</v>
      </c>
      <c r="H42" s="103">
        <f t="shared" si="4"/>
        <v>0</v>
      </c>
      <c r="I42" s="44">
        <v>1</v>
      </c>
      <c r="J42" s="44">
        <v>4</v>
      </c>
      <c r="L42" s="44">
        <v>2</v>
      </c>
      <c r="O42" s="44">
        <f t="shared" si="5"/>
        <v>7</v>
      </c>
      <c r="P42" s="44">
        <f t="shared" si="6"/>
        <v>445</v>
      </c>
      <c r="Q42" s="44">
        <f t="shared" si="7"/>
        <v>60</v>
      </c>
    </row>
    <row r="43" spans="1:17" ht="12.75" hidden="1">
      <c r="A43" s="173">
        <v>43966</v>
      </c>
      <c r="C43" s="44">
        <v>7</v>
      </c>
      <c r="E43" s="44">
        <v>1</v>
      </c>
      <c r="G43" s="44">
        <v>5</v>
      </c>
      <c r="H43" s="103">
        <f t="shared" si="4"/>
        <v>13</v>
      </c>
      <c r="J43" s="44">
        <v>1</v>
      </c>
      <c r="O43" s="44">
        <f t="shared" si="5"/>
        <v>1</v>
      </c>
      <c r="P43" s="44">
        <f t="shared" si="6"/>
        <v>458</v>
      </c>
      <c r="Q43" s="44">
        <f t="shared" si="7"/>
        <v>72</v>
      </c>
    </row>
    <row r="44" spans="1:17" ht="12.75" hidden="1">
      <c r="A44" s="173">
        <v>43969</v>
      </c>
      <c r="B44" s="44">
        <v>4</v>
      </c>
      <c r="C44" s="44">
        <v>3</v>
      </c>
      <c r="D44" s="44">
        <v>3</v>
      </c>
      <c r="H44" s="103">
        <f t="shared" si="4"/>
        <v>10</v>
      </c>
      <c r="O44" s="44">
        <f t="shared" si="5"/>
        <v>0</v>
      </c>
      <c r="P44" s="44">
        <f t="shared" si="6"/>
        <v>468</v>
      </c>
      <c r="Q44" s="44">
        <f t="shared" si="7"/>
        <v>82</v>
      </c>
    </row>
    <row r="45" spans="1:17" ht="12.75" hidden="1">
      <c r="A45" s="173">
        <v>43971</v>
      </c>
      <c r="H45" s="103">
        <f t="shared" si="4"/>
        <v>0</v>
      </c>
      <c r="I45" s="44">
        <v>2</v>
      </c>
      <c r="N45" s="44">
        <v>2</v>
      </c>
      <c r="O45" s="44">
        <f t="shared" si="5"/>
        <v>4</v>
      </c>
      <c r="P45" s="44">
        <f t="shared" si="6"/>
        <v>468</v>
      </c>
      <c r="Q45" s="44">
        <f t="shared" si="7"/>
        <v>78</v>
      </c>
    </row>
    <row r="46" spans="1:17" ht="12.75" hidden="1">
      <c r="A46" s="173">
        <v>43972</v>
      </c>
      <c r="B46" s="44">
        <v>6</v>
      </c>
      <c r="C46" s="44">
        <v>1</v>
      </c>
      <c r="D46" s="44">
        <v>7</v>
      </c>
      <c r="E46" s="44">
        <v>5</v>
      </c>
      <c r="H46" s="103">
        <f t="shared" si="4"/>
        <v>19</v>
      </c>
      <c r="O46" s="44">
        <f t="shared" si="5"/>
        <v>0</v>
      </c>
      <c r="P46" s="44">
        <f t="shared" si="6"/>
        <v>487</v>
      </c>
      <c r="Q46" s="44">
        <f t="shared" si="7"/>
        <v>97</v>
      </c>
    </row>
    <row r="47" spans="1:17" ht="12.75" hidden="1">
      <c r="A47" s="173">
        <v>43973</v>
      </c>
      <c r="H47" s="103">
        <f t="shared" si="4"/>
        <v>0</v>
      </c>
      <c r="I47" s="44">
        <v>2</v>
      </c>
      <c r="K47" s="44">
        <v>2</v>
      </c>
      <c r="L47" s="44">
        <v>1</v>
      </c>
      <c r="N47" s="44">
        <v>2</v>
      </c>
      <c r="O47" s="44">
        <f t="shared" si="5"/>
        <v>7</v>
      </c>
      <c r="P47" s="44">
        <f t="shared" si="6"/>
        <v>487</v>
      </c>
      <c r="Q47" s="44">
        <f t="shared" si="7"/>
        <v>90</v>
      </c>
    </row>
    <row r="48" spans="1:17" ht="12.75" hidden="1">
      <c r="A48" s="173">
        <v>43976</v>
      </c>
      <c r="H48" s="103">
        <f t="shared" si="4"/>
        <v>0</v>
      </c>
      <c r="M48" s="44">
        <v>7</v>
      </c>
      <c r="O48" s="44">
        <f t="shared" si="5"/>
        <v>7</v>
      </c>
      <c r="P48" s="44">
        <f t="shared" si="6"/>
        <v>487</v>
      </c>
      <c r="Q48" s="44">
        <f t="shared" si="7"/>
        <v>83</v>
      </c>
    </row>
    <row r="49" spans="1:17" ht="12.75" hidden="1">
      <c r="A49" s="173">
        <v>43977</v>
      </c>
      <c r="B49" s="44">
        <v>2</v>
      </c>
      <c r="C49" s="44">
        <v>2</v>
      </c>
      <c r="D49" s="44">
        <v>2</v>
      </c>
      <c r="E49" s="44">
        <v>1</v>
      </c>
      <c r="H49" s="103">
        <f t="shared" si="4"/>
        <v>7</v>
      </c>
      <c r="I49" s="44">
        <v>1</v>
      </c>
      <c r="K49" s="44">
        <v>3</v>
      </c>
      <c r="N49" s="44">
        <v>3</v>
      </c>
      <c r="O49" s="44">
        <f t="shared" si="5"/>
        <v>7</v>
      </c>
      <c r="P49" s="44">
        <f t="shared" si="6"/>
        <v>494</v>
      </c>
      <c r="Q49" s="44">
        <f t="shared" si="7"/>
        <v>83</v>
      </c>
    </row>
    <row r="50" spans="1:17" ht="12.75" hidden="1">
      <c r="A50" s="173">
        <v>43979</v>
      </c>
      <c r="H50" s="103">
        <f t="shared" si="4"/>
        <v>0</v>
      </c>
      <c r="I50" s="44">
        <v>3</v>
      </c>
      <c r="O50" s="44">
        <f t="shared" si="5"/>
        <v>3</v>
      </c>
      <c r="P50" s="44">
        <f t="shared" si="6"/>
        <v>494</v>
      </c>
      <c r="Q50" s="44">
        <f t="shared" si="7"/>
        <v>80</v>
      </c>
    </row>
    <row r="51" spans="1:17" ht="12.75" hidden="1">
      <c r="A51" s="173">
        <v>43980</v>
      </c>
      <c r="H51" s="103">
        <f t="shared" si="4"/>
        <v>0</v>
      </c>
      <c r="K51" s="44">
        <v>4</v>
      </c>
      <c r="M51" s="44">
        <v>7</v>
      </c>
      <c r="O51" s="44">
        <f t="shared" si="5"/>
        <v>11</v>
      </c>
      <c r="P51" s="44">
        <f t="shared" si="6"/>
        <v>494</v>
      </c>
      <c r="Q51" s="44">
        <f t="shared" si="7"/>
        <v>69</v>
      </c>
    </row>
    <row r="52" spans="1:17" ht="12.75" hidden="1">
      <c r="A52" s="173">
        <v>43983</v>
      </c>
      <c r="E52" s="44">
        <v>6</v>
      </c>
      <c r="G52" s="44">
        <v>2</v>
      </c>
      <c r="H52" s="103">
        <f t="shared" si="4"/>
        <v>8</v>
      </c>
      <c r="L52" s="44">
        <v>1</v>
      </c>
      <c r="N52" s="44">
        <v>2</v>
      </c>
      <c r="O52" s="44">
        <f t="shared" si="5"/>
        <v>3</v>
      </c>
      <c r="P52" s="44">
        <f t="shared" si="6"/>
        <v>502</v>
      </c>
      <c r="Q52" s="44">
        <f t="shared" si="7"/>
        <v>74</v>
      </c>
    </row>
    <row r="53" spans="1:17" ht="12.75" hidden="1">
      <c r="A53" s="173">
        <v>43984</v>
      </c>
      <c r="H53" s="103">
        <f t="shared" si="4"/>
        <v>0</v>
      </c>
      <c r="I53" s="44">
        <v>3</v>
      </c>
      <c r="J53" s="44">
        <v>13</v>
      </c>
      <c r="L53" s="44">
        <v>5</v>
      </c>
      <c r="O53" s="44">
        <f t="shared" si="5"/>
        <v>21</v>
      </c>
      <c r="P53" s="44">
        <f t="shared" si="6"/>
        <v>502</v>
      </c>
      <c r="Q53" s="44">
        <f t="shared" si="7"/>
        <v>53</v>
      </c>
    </row>
    <row r="54" spans="1:17" ht="12.75" hidden="1">
      <c r="A54" s="173">
        <v>43987</v>
      </c>
      <c r="C54" s="44">
        <v>1</v>
      </c>
      <c r="D54" s="44">
        <v>10</v>
      </c>
      <c r="E54" s="44">
        <v>7</v>
      </c>
      <c r="F54" s="44">
        <v>5</v>
      </c>
      <c r="H54" s="103">
        <f t="shared" si="4"/>
        <v>23</v>
      </c>
      <c r="L54" s="44">
        <v>2</v>
      </c>
      <c r="O54" s="44">
        <f t="shared" si="5"/>
        <v>2</v>
      </c>
      <c r="P54" s="44">
        <f t="shared" si="6"/>
        <v>525</v>
      </c>
      <c r="Q54" s="44">
        <f t="shared" si="7"/>
        <v>74</v>
      </c>
    </row>
    <row r="55" spans="1:17" ht="12.75" hidden="1">
      <c r="A55" s="173">
        <v>43990</v>
      </c>
      <c r="D55" s="44">
        <v>3</v>
      </c>
      <c r="H55" s="103">
        <f t="shared" si="4"/>
        <v>3</v>
      </c>
      <c r="I55" s="44">
        <v>9</v>
      </c>
      <c r="J55" s="44">
        <v>1</v>
      </c>
      <c r="L55" s="44">
        <v>1</v>
      </c>
      <c r="O55" s="44">
        <f t="shared" si="5"/>
        <v>11</v>
      </c>
      <c r="P55" s="44">
        <f t="shared" si="6"/>
        <v>528</v>
      </c>
      <c r="Q55" s="44">
        <f t="shared" si="7"/>
        <v>66</v>
      </c>
    </row>
    <row r="56" spans="1:17" ht="12.75" hidden="1">
      <c r="A56" s="173">
        <v>43993</v>
      </c>
      <c r="B56" s="44">
        <v>2</v>
      </c>
      <c r="C56" s="44">
        <v>3</v>
      </c>
      <c r="F56" s="44">
        <v>11</v>
      </c>
      <c r="H56" s="103">
        <f t="shared" si="4"/>
        <v>16</v>
      </c>
      <c r="O56" s="44">
        <f t="shared" si="5"/>
        <v>0</v>
      </c>
      <c r="P56" s="44">
        <f t="shared" si="6"/>
        <v>544</v>
      </c>
      <c r="Q56" s="44">
        <f t="shared" si="7"/>
        <v>82</v>
      </c>
    </row>
    <row r="57" spans="1:17" ht="12.75" hidden="1">
      <c r="A57" s="173">
        <v>43994</v>
      </c>
      <c r="G57" s="44">
        <v>1</v>
      </c>
      <c r="H57" s="103">
        <f t="shared" si="4"/>
        <v>1</v>
      </c>
      <c r="J57" s="44">
        <v>7</v>
      </c>
      <c r="K57" s="44">
        <v>1</v>
      </c>
      <c r="L57" s="44">
        <v>2</v>
      </c>
      <c r="N57" s="44">
        <v>2</v>
      </c>
      <c r="O57" s="44">
        <f t="shared" si="5"/>
        <v>12</v>
      </c>
      <c r="P57" s="44">
        <f t="shared" si="6"/>
        <v>545</v>
      </c>
      <c r="Q57" s="44">
        <f t="shared" si="7"/>
        <v>71</v>
      </c>
    </row>
    <row r="58" spans="1:17" ht="12.75" hidden="1">
      <c r="A58" s="173">
        <v>43997</v>
      </c>
      <c r="H58" s="103">
        <f t="shared" si="4"/>
        <v>0</v>
      </c>
      <c r="I58" s="44">
        <v>5</v>
      </c>
      <c r="J58" s="44">
        <v>1</v>
      </c>
      <c r="O58" s="44">
        <f t="shared" si="5"/>
        <v>6</v>
      </c>
      <c r="P58" s="44">
        <f t="shared" si="6"/>
        <v>545</v>
      </c>
      <c r="Q58" s="44">
        <f t="shared" si="7"/>
        <v>65</v>
      </c>
    </row>
    <row r="59" spans="1:17" ht="12.75" hidden="1">
      <c r="A59" s="173">
        <v>43998</v>
      </c>
      <c r="B59" s="44">
        <v>5</v>
      </c>
      <c r="C59" s="44">
        <v>4</v>
      </c>
      <c r="H59" s="103">
        <f t="shared" si="4"/>
        <v>9</v>
      </c>
      <c r="J59" s="44">
        <v>0</v>
      </c>
      <c r="M59" s="44">
        <v>9</v>
      </c>
      <c r="O59" s="44">
        <f t="shared" si="5"/>
        <v>9</v>
      </c>
      <c r="P59" s="44">
        <f t="shared" si="6"/>
        <v>554</v>
      </c>
      <c r="Q59" s="44">
        <f t="shared" si="7"/>
        <v>65</v>
      </c>
    </row>
    <row r="60" spans="1:17" ht="12.75" hidden="1">
      <c r="A60" s="173">
        <v>43999</v>
      </c>
      <c r="F60" s="44">
        <v>6</v>
      </c>
      <c r="H60" s="103">
        <f t="shared" si="4"/>
        <v>6</v>
      </c>
      <c r="O60" s="44">
        <f t="shared" si="5"/>
        <v>0</v>
      </c>
      <c r="P60" s="44">
        <f t="shared" si="6"/>
        <v>560</v>
      </c>
      <c r="Q60" s="44">
        <f t="shared" si="7"/>
        <v>71</v>
      </c>
    </row>
    <row r="61" spans="1:17" ht="12.75" hidden="1">
      <c r="A61" s="173">
        <v>44000</v>
      </c>
      <c r="H61" s="103">
        <f t="shared" si="4"/>
        <v>0</v>
      </c>
      <c r="I61" s="44">
        <v>1</v>
      </c>
      <c r="J61" s="44">
        <v>1</v>
      </c>
      <c r="K61" s="44">
        <v>2</v>
      </c>
      <c r="L61" s="44">
        <v>1</v>
      </c>
      <c r="O61" s="44">
        <f t="shared" si="5"/>
        <v>5</v>
      </c>
      <c r="P61" s="44">
        <f t="shared" si="6"/>
        <v>560</v>
      </c>
      <c r="Q61" s="44">
        <f t="shared" si="7"/>
        <v>66</v>
      </c>
    </row>
    <row r="62" spans="1:17" ht="12.75" hidden="1">
      <c r="A62" s="173">
        <v>44001</v>
      </c>
      <c r="B62" s="44">
        <v>5</v>
      </c>
      <c r="H62" s="103">
        <f t="shared" si="4"/>
        <v>5</v>
      </c>
      <c r="K62" s="44">
        <v>1</v>
      </c>
      <c r="O62" s="44">
        <f t="shared" si="5"/>
        <v>1</v>
      </c>
      <c r="P62" s="44">
        <f t="shared" si="6"/>
        <v>565</v>
      </c>
      <c r="Q62" s="44">
        <f t="shared" si="7"/>
        <v>70</v>
      </c>
    </row>
    <row r="63" spans="1:17" ht="12.75" hidden="1">
      <c r="A63" s="173">
        <v>44004</v>
      </c>
      <c r="B63" s="44">
        <v>4</v>
      </c>
      <c r="C63" s="44">
        <v>2</v>
      </c>
      <c r="H63" s="103">
        <f t="shared" si="4"/>
        <v>6</v>
      </c>
      <c r="O63" s="44">
        <f t="shared" si="5"/>
        <v>0</v>
      </c>
      <c r="P63" s="44">
        <f t="shared" si="6"/>
        <v>571</v>
      </c>
      <c r="Q63" s="44">
        <f t="shared" si="7"/>
        <v>76</v>
      </c>
    </row>
    <row r="64" spans="1:17" ht="12.75" hidden="1">
      <c r="A64" s="173">
        <v>44005</v>
      </c>
      <c r="D64" s="44">
        <v>3</v>
      </c>
      <c r="E64" s="44">
        <v>5</v>
      </c>
      <c r="H64" s="103">
        <f t="shared" si="4"/>
        <v>8</v>
      </c>
      <c r="O64" s="44">
        <f t="shared" si="5"/>
        <v>0</v>
      </c>
      <c r="P64" s="44">
        <f t="shared" si="6"/>
        <v>579</v>
      </c>
      <c r="Q64" s="44">
        <f t="shared" si="7"/>
        <v>84</v>
      </c>
    </row>
    <row r="65" spans="1:17" ht="12.75" hidden="1">
      <c r="A65" s="173">
        <v>44006</v>
      </c>
      <c r="H65" s="103">
        <f t="shared" si="4"/>
        <v>0</v>
      </c>
      <c r="K65" s="44">
        <v>4</v>
      </c>
      <c r="O65" s="44">
        <f t="shared" si="5"/>
        <v>4</v>
      </c>
      <c r="P65" s="44">
        <f t="shared" si="6"/>
        <v>579</v>
      </c>
      <c r="Q65" s="44">
        <f t="shared" si="7"/>
        <v>80</v>
      </c>
    </row>
    <row r="66" spans="1:17" ht="12.75" hidden="1">
      <c r="A66" s="173">
        <v>44007</v>
      </c>
      <c r="H66" s="103">
        <f t="shared" si="4"/>
        <v>0</v>
      </c>
      <c r="M66" s="44">
        <v>2</v>
      </c>
      <c r="N66" s="44">
        <v>1</v>
      </c>
      <c r="O66" s="44">
        <f t="shared" si="5"/>
        <v>3</v>
      </c>
      <c r="P66" s="44">
        <f t="shared" si="6"/>
        <v>579</v>
      </c>
      <c r="Q66" s="44">
        <f t="shared" si="7"/>
        <v>77</v>
      </c>
    </row>
    <row r="67" spans="1:17" ht="12.75" hidden="1">
      <c r="A67" s="173">
        <v>44008</v>
      </c>
      <c r="C67" s="44">
        <v>1</v>
      </c>
      <c r="E67" s="44">
        <v>6</v>
      </c>
      <c r="F67" s="44">
        <v>2</v>
      </c>
      <c r="H67" s="103">
        <f t="shared" si="4"/>
        <v>9</v>
      </c>
      <c r="J67" s="44">
        <v>3</v>
      </c>
      <c r="K67" s="44">
        <v>3</v>
      </c>
      <c r="O67" s="44">
        <f t="shared" si="5"/>
        <v>6</v>
      </c>
      <c r="P67" s="44">
        <f t="shared" si="6"/>
        <v>588</v>
      </c>
      <c r="Q67" s="44">
        <f t="shared" si="7"/>
        <v>80</v>
      </c>
    </row>
    <row r="68" spans="1:17" ht="12.75" hidden="1">
      <c r="A68" s="173">
        <v>44011</v>
      </c>
      <c r="B68" s="44">
        <v>1</v>
      </c>
      <c r="D68" s="44">
        <v>2</v>
      </c>
      <c r="E68" s="44">
        <v>3</v>
      </c>
      <c r="H68" s="103">
        <f t="shared" si="4"/>
        <v>6</v>
      </c>
      <c r="K68" s="44">
        <v>3</v>
      </c>
      <c r="L68" s="44">
        <v>6</v>
      </c>
      <c r="O68" s="44">
        <f t="shared" si="5"/>
        <v>9</v>
      </c>
      <c r="P68" s="44">
        <f t="shared" si="6"/>
        <v>594</v>
      </c>
      <c r="Q68" s="44">
        <f t="shared" si="7"/>
        <v>77</v>
      </c>
    </row>
    <row r="69" spans="1:17" ht="12.75" hidden="1">
      <c r="A69" s="173">
        <v>44012</v>
      </c>
      <c r="H69" s="103">
        <f t="shared" si="4"/>
        <v>0</v>
      </c>
      <c r="J69" s="44">
        <v>2</v>
      </c>
      <c r="K69" s="44">
        <v>4</v>
      </c>
      <c r="M69" s="44">
        <v>7</v>
      </c>
      <c r="O69" s="44">
        <f t="shared" si="5"/>
        <v>13</v>
      </c>
      <c r="P69" s="44">
        <f t="shared" si="6"/>
        <v>594</v>
      </c>
      <c r="Q69" s="44">
        <f t="shared" si="7"/>
        <v>64</v>
      </c>
    </row>
    <row r="70" spans="1:17" ht="12.75" hidden="1">
      <c r="A70" s="173">
        <v>44013</v>
      </c>
      <c r="C70" s="44">
        <v>1</v>
      </c>
      <c r="H70" s="103">
        <f t="shared" si="4"/>
        <v>1</v>
      </c>
      <c r="K70" s="44">
        <v>2</v>
      </c>
      <c r="O70" s="44">
        <f t="shared" si="5"/>
        <v>2</v>
      </c>
      <c r="P70" s="44">
        <f t="shared" si="6"/>
        <v>595</v>
      </c>
      <c r="Q70" s="44">
        <f t="shared" si="7"/>
        <v>63</v>
      </c>
    </row>
    <row r="71" spans="1:17" ht="12.75" hidden="1">
      <c r="A71" s="173">
        <v>44014</v>
      </c>
      <c r="E71" s="44">
        <v>4</v>
      </c>
      <c r="H71" s="103">
        <f t="shared" si="4"/>
        <v>4</v>
      </c>
      <c r="K71" s="44">
        <v>2</v>
      </c>
      <c r="O71" s="44">
        <f t="shared" si="5"/>
        <v>2</v>
      </c>
      <c r="P71" s="44">
        <f t="shared" si="6"/>
        <v>599</v>
      </c>
      <c r="Q71" s="44">
        <f t="shared" si="7"/>
        <v>65</v>
      </c>
    </row>
    <row r="72" spans="1:17" ht="12.75" hidden="1">
      <c r="A72" s="173">
        <v>44018</v>
      </c>
      <c r="H72" s="103">
        <f t="shared" si="4"/>
        <v>0</v>
      </c>
      <c r="L72" s="44">
        <v>7</v>
      </c>
      <c r="O72" s="44">
        <f t="shared" si="5"/>
        <v>7</v>
      </c>
      <c r="P72" s="44">
        <f t="shared" si="6"/>
        <v>599</v>
      </c>
      <c r="Q72" s="44">
        <f t="shared" si="7"/>
        <v>58</v>
      </c>
    </row>
    <row r="73" spans="1:17" ht="12.75" hidden="1">
      <c r="A73" s="173">
        <v>44019</v>
      </c>
      <c r="H73" s="103">
        <f t="shared" si="4"/>
        <v>0</v>
      </c>
      <c r="L73" s="44">
        <v>6</v>
      </c>
      <c r="M73" s="44">
        <v>2</v>
      </c>
      <c r="O73" s="44">
        <f t="shared" si="5"/>
        <v>8</v>
      </c>
      <c r="P73" s="44">
        <f t="shared" si="6"/>
        <v>599</v>
      </c>
      <c r="Q73" s="44">
        <f t="shared" si="7"/>
        <v>50</v>
      </c>
    </row>
    <row r="74" spans="1:17" ht="12.75" hidden="1">
      <c r="A74" s="173">
        <v>44025</v>
      </c>
      <c r="E74" s="44">
        <v>13</v>
      </c>
      <c r="H74" s="103">
        <f t="shared" si="4"/>
        <v>13</v>
      </c>
      <c r="I74" s="44">
        <v>1</v>
      </c>
      <c r="O74" s="44">
        <f t="shared" si="5"/>
        <v>1</v>
      </c>
      <c r="P74" s="44">
        <f t="shared" si="6"/>
        <v>612</v>
      </c>
      <c r="Q74" s="44">
        <f t="shared" si="7"/>
        <v>62</v>
      </c>
    </row>
    <row r="75" spans="1:17" ht="12.75" hidden="1">
      <c r="A75" s="173">
        <v>44026</v>
      </c>
      <c r="H75" s="103">
        <f t="shared" si="4"/>
        <v>0</v>
      </c>
      <c r="I75" s="44">
        <v>6</v>
      </c>
      <c r="J75" s="44">
        <v>3</v>
      </c>
      <c r="K75" s="44">
        <v>1</v>
      </c>
      <c r="L75" s="44">
        <v>5</v>
      </c>
      <c r="M75" s="44">
        <v>2</v>
      </c>
      <c r="O75" s="44">
        <f t="shared" si="5"/>
        <v>17</v>
      </c>
      <c r="P75" s="44">
        <f t="shared" si="6"/>
        <v>612</v>
      </c>
      <c r="Q75" s="44">
        <f t="shared" si="7"/>
        <v>45</v>
      </c>
    </row>
    <row r="76" spans="1:17" ht="12.75" hidden="1">
      <c r="A76" s="173">
        <v>44027</v>
      </c>
      <c r="D76" s="44">
        <v>6</v>
      </c>
      <c r="E76" s="44">
        <v>17</v>
      </c>
      <c r="H76" s="103">
        <f t="shared" si="4"/>
        <v>23</v>
      </c>
      <c r="O76" s="44">
        <f t="shared" si="5"/>
        <v>0</v>
      </c>
      <c r="P76" s="44">
        <f t="shared" si="6"/>
        <v>635</v>
      </c>
      <c r="Q76" s="44">
        <f t="shared" si="7"/>
        <v>68</v>
      </c>
    </row>
    <row r="77" spans="1:17" ht="12.75" hidden="1">
      <c r="A77" s="173">
        <v>44029</v>
      </c>
      <c r="D77" s="44">
        <v>8</v>
      </c>
      <c r="F77" s="44">
        <v>25</v>
      </c>
      <c r="H77" s="103">
        <f t="shared" si="4"/>
        <v>33</v>
      </c>
      <c r="I77" s="44">
        <v>1</v>
      </c>
      <c r="O77" s="44">
        <f t="shared" si="5"/>
        <v>1</v>
      </c>
      <c r="P77" s="44">
        <f t="shared" si="6"/>
        <v>668</v>
      </c>
      <c r="Q77" s="44">
        <f t="shared" si="7"/>
        <v>100</v>
      </c>
    </row>
    <row r="78" spans="1:17" ht="12.75" hidden="1">
      <c r="A78" s="173">
        <v>44032</v>
      </c>
      <c r="C78" s="44">
        <v>1</v>
      </c>
      <c r="E78" s="44">
        <v>4</v>
      </c>
      <c r="H78" s="103">
        <f t="shared" si="4"/>
        <v>5</v>
      </c>
      <c r="O78" s="44">
        <f t="shared" si="5"/>
        <v>0</v>
      </c>
      <c r="P78" s="44">
        <f t="shared" si="6"/>
        <v>673</v>
      </c>
      <c r="Q78" s="44">
        <f t="shared" si="7"/>
        <v>105</v>
      </c>
    </row>
    <row r="79" spans="1:17" ht="12.75" hidden="1">
      <c r="A79" s="173">
        <v>44033</v>
      </c>
      <c r="H79" s="103">
        <f t="shared" si="4"/>
        <v>0</v>
      </c>
      <c r="J79" s="44">
        <v>2</v>
      </c>
      <c r="O79" s="44">
        <f t="shared" si="5"/>
        <v>2</v>
      </c>
      <c r="P79" s="44">
        <f t="shared" si="6"/>
        <v>673</v>
      </c>
      <c r="Q79" s="44">
        <f t="shared" si="7"/>
        <v>103</v>
      </c>
    </row>
    <row r="80" spans="1:17" ht="12.75" hidden="1">
      <c r="A80" s="173">
        <v>44034</v>
      </c>
      <c r="D80" s="44">
        <v>3</v>
      </c>
      <c r="E80" s="44">
        <v>8</v>
      </c>
      <c r="F80" s="44">
        <v>16</v>
      </c>
      <c r="H80" s="103">
        <f t="shared" si="4"/>
        <v>27</v>
      </c>
      <c r="O80" s="44">
        <f t="shared" si="5"/>
        <v>0</v>
      </c>
      <c r="P80" s="44">
        <f t="shared" si="6"/>
        <v>700</v>
      </c>
      <c r="Q80" s="44">
        <f t="shared" si="7"/>
        <v>130</v>
      </c>
    </row>
    <row r="81" spans="1:17" ht="12.75" hidden="1">
      <c r="A81" s="173">
        <v>44036</v>
      </c>
      <c r="D81" s="44">
        <v>3</v>
      </c>
      <c r="E81" s="44">
        <v>18</v>
      </c>
      <c r="F81" s="44">
        <v>7</v>
      </c>
      <c r="H81" s="103">
        <f t="shared" si="4"/>
        <v>28</v>
      </c>
      <c r="I81" s="44">
        <v>9</v>
      </c>
      <c r="O81" s="44">
        <f t="shared" si="5"/>
        <v>9</v>
      </c>
      <c r="P81" s="44">
        <f t="shared" si="6"/>
        <v>728</v>
      </c>
      <c r="Q81" s="44">
        <f t="shared" si="7"/>
        <v>149</v>
      </c>
    </row>
    <row r="82" spans="1:17" ht="12.75" hidden="1">
      <c r="A82" s="173">
        <v>44039</v>
      </c>
      <c r="D82" s="44">
        <v>4</v>
      </c>
      <c r="E82" s="44">
        <v>8</v>
      </c>
      <c r="F82" s="44">
        <v>5</v>
      </c>
      <c r="H82" s="103">
        <f t="shared" si="4"/>
        <v>17</v>
      </c>
      <c r="K82" s="44">
        <v>1</v>
      </c>
      <c r="L82" s="44">
        <v>1</v>
      </c>
      <c r="O82" s="44">
        <f t="shared" si="5"/>
        <v>2</v>
      </c>
      <c r="P82" s="44">
        <f t="shared" si="6"/>
        <v>745</v>
      </c>
      <c r="Q82" s="44">
        <f t="shared" si="7"/>
        <v>164</v>
      </c>
    </row>
    <row r="83" spans="1:17" ht="12.75" hidden="1">
      <c r="A83" s="154">
        <v>44041</v>
      </c>
      <c r="D83" s="53">
        <v>10</v>
      </c>
      <c r="E83" s="53">
        <v>11</v>
      </c>
      <c r="H83" s="103">
        <f t="shared" si="4"/>
        <v>21</v>
      </c>
      <c r="J83" s="53">
        <v>2</v>
      </c>
      <c r="L83" s="53">
        <v>16</v>
      </c>
      <c r="O83" s="44">
        <f t="shared" si="5"/>
        <v>18</v>
      </c>
      <c r="P83" s="44">
        <f t="shared" si="6"/>
        <v>766</v>
      </c>
      <c r="Q83" s="44">
        <f t="shared" si="7"/>
        <v>167</v>
      </c>
    </row>
    <row r="84" spans="1:17" ht="12.75" hidden="1">
      <c r="A84" s="154">
        <v>44042</v>
      </c>
      <c r="H84" s="103">
        <f t="shared" si="4"/>
        <v>0</v>
      </c>
      <c r="M84" s="53">
        <v>1</v>
      </c>
      <c r="O84" s="44">
        <f t="shared" si="5"/>
        <v>1</v>
      </c>
      <c r="P84" s="44">
        <f t="shared" si="6"/>
        <v>766</v>
      </c>
      <c r="Q84" s="44">
        <f t="shared" si="7"/>
        <v>166</v>
      </c>
    </row>
    <row r="85" spans="1:17" ht="12.75" hidden="1">
      <c r="A85" s="154">
        <v>44046</v>
      </c>
      <c r="H85" s="103">
        <f t="shared" si="4"/>
        <v>0</v>
      </c>
      <c r="L85" s="53">
        <v>4</v>
      </c>
      <c r="O85" s="44">
        <f t="shared" si="5"/>
        <v>4</v>
      </c>
      <c r="P85" s="44">
        <f t="shared" si="6"/>
        <v>766</v>
      </c>
      <c r="Q85" s="44">
        <f t="shared" si="7"/>
        <v>162</v>
      </c>
    </row>
    <row r="86" spans="1:17" ht="12.75" hidden="1">
      <c r="A86" s="154">
        <v>44047</v>
      </c>
      <c r="B86" s="53">
        <v>9</v>
      </c>
      <c r="D86" s="53">
        <v>13</v>
      </c>
      <c r="E86" s="53">
        <v>11</v>
      </c>
      <c r="F86" s="53">
        <v>3</v>
      </c>
      <c r="H86" s="103">
        <f t="shared" si="4"/>
        <v>36</v>
      </c>
      <c r="O86" s="44">
        <f t="shared" si="5"/>
        <v>0</v>
      </c>
      <c r="P86" s="44">
        <f t="shared" si="6"/>
        <v>802</v>
      </c>
      <c r="Q86" s="44">
        <f t="shared" si="7"/>
        <v>198</v>
      </c>
    </row>
    <row r="87" spans="1:17" ht="12.75" hidden="1">
      <c r="A87" s="154">
        <v>44048</v>
      </c>
      <c r="H87" s="103">
        <f t="shared" si="4"/>
        <v>0</v>
      </c>
      <c r="M87" s="53">
        <v>20</v>
      </c>
      <c r="O87" s="44">
        <f t="shared" si="5"/>
        <v>20</v>
      </c>
      <c r="P87" s="44">
        <f t="shared" si="6"/>
        <v>802</v>
      </c>
      <c r="Q87" s="44">
        <f t="shared" si="7"/>
        <v>178</v>
      </c>
    </row>
    <row r="88" spans="1:17" ht="12.75" hidden="1">
      <c r="A88" s="154">
        <v>44050</v>
      </c>
      <c r="B88" s="53">
        <v>9</v>
      </c>
      <c r="D88" s="53">
        <v>8</v>
      </c>
      <c r="E88" s="53">
        <v>10</v>
      </c>
      <c r="G88" s="53">
        <v>3</v>
      </c>
      <c r="H88" s="103">
        <f t="shared" si="4"/>
        <v>30</v>
      </c>
      <c r="M88" s="53">
        <v>5</v>
      </c>
      <c r="O88" s="44">
        <f t="shared" si="5"/>
        <v>5</v>
      </c>
      <c r="P88" s="44">
        <f t="shared" si="6"/>
        <v>832</v>
      </c>
      <c r="Q88" s="44">
        <f t="shared" si="7"/>
        <v>203</v>
      </c>
    </row>
    <row r="89" spans="1:17" ht="12.75" hidden="1">
      <c r="A89" s="154">
        <v>44054</v>
      </c>
      <c r="H89" s="103">
        <f t="shared" si="4"/>
        <v>0</v>
      </c>
      <c r="K89" s="53">
        <v>6</v>
      </c>
      <c r="L89" s="53">
        <v>17</v>
      </c>
      <c r="O89" s="44">
        <f t="shared" si="5"/>
        <v>23</v>
      </c>
      <c r="P89" s="44">
        <f t="shared" si="6"/>
        <v>832</v>
      </c>
      <c r="Q89" s="44">
        <f t="shared" si="7"/>
        <v>180</v>
      </c>
    </row>
    <row r="90" spans="1:17" ht="12.75" hidden="1">
      <c r="A90" s="154">
        <v>44056</v>
      </c>
      <c r="H90" s="103">
        <f t="shared" si="4"/>
        <v>0</v>
      </c>
      <c r="K90" s="53">
        <v>2</v>
      </c>
      <c r="L90" s="53">
        <v>8</v>
      </c>
      <c r="M90" s="53">
        <v>14</v>
      </c>
      <c r="O90" s="44">
        <f t="shared" si="5"/>
        <v>24</v>
      </c>
      <c r="P90" s="44">
        <f t="shared" si="6"/>
        <v>832</v>
      </c>
      <c r="Q90" s="44">
        <f t="shared" si="7"/>
        <v>156</v>
      </c>
    </row>
    <row r="91" spans="1:17" ht="12.75" hidden="1">
      <c r="A91" s="154">
        <v>44057</v>
      </c>
      <c r="B91" s="53">
        <v>1</v>
      </c>
      <c r="C91" s="53">
        <v>4</v>
      </c>
      <c r="H91" s="103">
        <f t="shared" si="4"/>
        <v>5</v>
      </c>
      <c r="O91" s="44">
        <f t="shared" si="5"/>
        <v>0</v>
      </c>
      <c r="P91" s="44">
        <f t="shared" si="6"/>
        <v>837</v>
      </c>
      <c r="Q91" s="44">
        <f t="shared" si="7"/>
        <v>161</v>
      </c>
    </row>
    <row r="92" spans="1:17" ht="12.75" hidden="1">
      <c r="A92" s="154">
        <v>44060</v>
      </c>
      <c r="H92" s="103">
        <f t="shared" si="4"/>
        <v>0</v>
      </c>
      <c r="K92" s="53">
        <v>4</v>
      </c>
      <c r="M92" s="53">
        <v>3</v>
      </c>
      <c r="O92" s="44">
        <f t="shared" si="5"/>
        <v>7</v>
      </c>
      <c r="P92" s="44">
        <f t="shared" si="6"/>
        <v>837</v>
      </c>
      <c r="Q92" s="44">
        <f t="shared" si="7"/>
        <v>154</v>
      </c>
    </row>
    <row r="93" spans="1:17" ht="12.75" hidden="1">
      <c r="A93" s="154">
        <v>44061</v>
      </c>
      <c r="C93" s="53">
        <v>6</v>
      </c>
      <c r="D93" s="53">
        <v>2</v>
      </c>
      <c r="E93" s="53">
        <v>2</v>
      </c>
      <c r="H93" s="103">
        <f t="shared" si="4"/>
        <v>10</v>
      </c>
      <c r="O93" s="44">
        <f t="shared" si="5"/>
        <v>0</v>
      </c>
      <c r="P93" s="44">
        <f t="shared" si="6"/>
        <v>847</v>
      </c>
      <c r="Q93" s="44">
        <f t="shared" si="7"/>
        <v>164</v>
      </c>
    </row>
    <row r="94" spans="1:17" ht="12.75" hidden="1">
      <c r="A94" s="154">
        <v>44062</v>
      </c>
      <c r="H94" s="103">
        <f t="shared" si="4"/>
        <v>0</v>
      </c>
      <c r="L94" s="53">
        <v>4</v>
      </c>
      <c r="M94" s="53">
        <v>3</v>
      </c>
      <c r="O94" s="44">
        <f t="shared" si="5"/>
        <v>7</v>
      </c>
      <c r="P94" s="44">
        <f t="shared" si="6"/>
        <v>847</v>
      </c>
      <c r="Q94" s="44">
        <f t="shared" si="7"/>
        <v>157</v>
      </c>
    </row>
    <row r="95" spans="1:17" ht="12.75" hidden="1">
      <c r="A95" s="154">
        <v>44063</v>
      </c>
      <c r="H95" s="103">
        <f t="shared" si="4"/>
        <v>0</v>
      </c>
      <c r="K95" s="53">
        <v>5</v>
      </c>
      <c r="O95" s="44">
        <f t="shared" si="5"/>
        <v>5</v>
      </c>
      <c r="P95" s="44">
        <f t="shared" si="6"/>
        <v>847</v>
      </c>
      <c r="Q95" s="44">
        <f t="shared" si="7"/>
        <v>152</v>
      </c>
    </row>
    <row r="96" spans="1:17" s="91" customFormat="1" ht="12.75" hidden="1">
      <c r="A96" s="154">
        <v>44064</v>
      </c>
      <c r="B96" s="53"/>
      <c r="C96" s="53">
        <v>6</v>
      </c>
      <c r="D96" s="53">
        <v>6</v>
      </c>
      <c r="E96" s="53">
        <v>2</v>
      </c>
      <c r="F96" s="53"/>
      <c r="G96" s="53"/>
      <c r="H96" s="103">
        <f t="shared" si="4"/>
        <v>14</v>
      </c>
      <c r="I96" s="53"/>
      <c r="J96" s="53"/>
      <c r="K96" s="53"/>
      <c r="L96" s="53"/>
      <c r="M96" s="53"/>
      <c r="N96" s="53"/>
      <c r="O96" s="44">
        <f t="shared" si="5"/>
        <v>0</v>
      </c>
      <c r="P96" s="44">
        <f t="shared" si="6"/>
        <v>861</v>
      </c>
      <c r="Q96" s="44">
        <f t="shared" si="7"/>
        <v>166</v>
      </c>
    </row>
    <row r="97" spans="1:20" ht="12.75" hidden="1">
      <c r="A97" s="154">
        <v>44068</v>
      </c>
      <c r="H97" s="103">
        <f t="shared" si="4"/>
        <v>0</v>
      </c>
      <c r="K97" s="53">
        <v>1</v>
      </c>
      <c r="L97" s="53">
        <v>15</v>
      </c>
      <c r="M97" s="53">
        <v>3</v>
      </c>
      <c r="O97" s="44">
        <f t="shared" si="5"/>
        <v>19</v>
      </c>
      <c r="P97" s="44">
        <f t="shared" si="6"/>
        <v>861</v>
      </c>
      <c r="Q97" s="44">
        <f t="shared" si="7"/>
        <v>147</v>
      </c>
      <c r="R97" s="273"/>
      <c r="S97" s="273"/>
      <c r="T97" s="273"/>
    </row>
    <row r="98" spans="1:20" ht="12.75" hidden="1">
      <c r="A98" s="154">
        <v>44070</v>
      </c>
      <c r="D98" s="53">
        <v>4</v>
      </c>
      <c r="E98" s="53">
        <v>7</v>
      </c>
      <c r="H98" s="103">
        <f t="shared" si="4"/>
        <v>11</v>
      </c>
      <c r="K98" s="53">
        <v>2</v>
      </c>
      <c r="L98" s="53">
        <v>6</v>
      </c>
      <c r="M98" s="53">
        <v>2</v>
      </c>
      <c r="O98" s="44">
        <f t="shared" si="5"/>
        <v>10</v>
      </c>
      <c r="P98" s="44">
        <f t="shared" si="6"/>
        <v>872</v>
      </c>
      <c r="Q98" s="44">
        <f t="shared" si="7"/>
        <v>148</v>
      </c>
      <c r="R98" s="273"/>
      <c r="S98" s="273"/>
      <c r="T98" s="273"/>
    </row>
    <row r="99" spans="1:20" ht="12.75" hidden="1">
      <c r="A99" s="154">
        <v>44071</v>
      </c>
      <c r="H99" s="103">
        <f t="shared" si="4"/>
        <v>0</v>
      </c>
      <c r="K99" s="53">
        <v>3</v>
      </c>
      <c r="L99" s="53">
        <v>3</v>
      </c>
      <c r="M99" s="53">
        <v>2</v>
      </c>
      <c r="O99" s="44">
        <f t="shared" si="5"/>
        <v>8</v>
      </c>
      <c r="P99" s="44">
        <f t="shared" si="6"/>
        <v>872</v>
      </c>
      <c r="Q99" s="44">
        <f t="shared" si="7"/>
        <v>140</v>
      </c>
      <c r="R99" s="273"/>
      <c r="S99" s="273"/>
      <c r="T99" s="273"/>
    </row>
    <row r="100" spans="1:20" ht="12.75" hidden="1">
      <c r="A100" s="154">
        <v>44074</v>
      </c>
      <c r="D100" s="53">
        <v>6</v>
      </c>
      <c r="E100" s="53">
        <v>6</v>
      </c>
      <c r="H100" s="103">
        <f t="shared" si="4"/>
        <v>12</v>
      </c>
      <c r="K100" s="53">
        <v>2</v>
      </c>
      <c r="O100" s="44">
        <f t="shared" si="5"/>
        <v>2</v>
      </c>
      <c r="P100" s="44">
        <f t="shared" si="6"/>
        <v>884</v>
      </c>
      <c r="Q100" s="44">
        <f t="shared" si="7"/>
        <v>150</v>
      </c>
      <c r="R100" s="273"/>
      <c r="S100" s="273"/>
      <c r="T100" s="273"/>
    </row>
    <row r="101" spans="1:20" ht="12.75" hidden="1">
      <c r="A101" s="154">
        <v>44075</v>
      </c>
      <c r="H101" s="103">
        <f t="shared" si="4"/>
        <v>0</v>
      </c>
      <c r="K101" s="53">
        <v>3</v>
      </c>
      <c r="L101" s="53">
        <v>8</v>
      </c>
      <c r="O101" s="44">
        <f t="shared" si="5"/>
        <v>11</v>
      </c>
      <c r="P101" s="44">
        <f t="shared" si="6"/>
        <v>884</v>
      </c>
      <c r="Q101" s="44">
        <f t="shared" si="7"/>
        <v>139</v>
      </c>
      <c r="R101" s="273"/>
      <c r="S101" s="273"/>
      <c r="T101" s="273"/>
    </row>
    <row r="102" spans="1:20" ht="12.75" hidden="1">
      <c r="A102" s="154">
        <v>44076</v>
      </c>
      <c r="H102" s="103">
        <f t="shared" ref="H102:H165" si="8">SUM(B102:G102)</f>
        <v>0</v>
      </c>
      <c r="K102" s="53">
        <v>6</v>
      </c>
      <c r="O102" s="44">
        <f t="shared" ref="O102:O165" si="9">SUM(I102:N102)</f>
        <v>6</v>
      </c>
      <c r="P102" s="44">
        <f>SUM(H$6:H102)</f>
        <v>884</v>
      </c>
      <c r="Q102" s="44">
        <f t="shared" ref="Q102" si="10">Q101-O102+H102</f>
        <v>133</v>
      </c>
      <c r="R102" s="273"/>
      <c r="S102" s="273"/>
      <c r="T102" s="273"/>
    </row>
    <row r="103" spans="1:20" ht="12.75" hidden="1">
      <c r="A103" s="154">
        <v>44077</v>
      </c>
      <c r="D103" s="53">
        <v>5</v>
      </c>
      <c r="E103" s="53">
        <v>12</v>
      </c>
      <c r="H103" s="103">
        <f t="shared" si="8"/>
        <v>17</v>
      </c>
      <c r="J103" s="53">
        <v>4</v>
      </c>
      <c r="K103" s="53">
        <v>3</v>
      </c>
      <c r="L103" s="53">
        <v>4</v>
      </c>
      <c r="O103" s="44">
        <f t="shared" si="9"/>
        <v>11</v>
      </c>
      <c r="P103" s="44">
        <f>SUM(H$6:H103)</f>
        <v>901</v>
      </c>
      <c r="Q103" s="44">
        <f t="shared" ref="Q103:Q166" si="11">Q102-O103+H103</f>
        <v>139</v>
      </c>
      <c r="R103" s="273"/>
      <c r="S103" s="273"/>
      <c r="T103" s="273"/>
    </row>
    <row r="104" spans="1:20" ht="12.75" hidden="1">
      <c r="A104" s="154">
        <v>44078</v>
      </c>
      <c r="H104" s="103">
        <f t="shared" si="8"/>
        <v>0</v>
      </c>
      <c r="I104" s="53">
        <v>9</v>
      </c>
      <c r="K104" s="53">
        <v>9</v>
      </c>
      <c r="M104" s="53">
        <v>3</v>
      </c>
      <c r="O104" s="44">
        <f t="shared" si="9"/>
        <v>21</v>
      </c>
      <c r="P104" s="44">
        <f>SUM(H$6:H104)</f>
        <v>901</v>
      </c>
      <c r="Q104" s="44">
        <f t="shared" si="11"/>
        <v>118</v>
      </c>
      <c r="R104" s="273"/>
      <c r="S104" s="273"/>
      <c r="T104" s="273"/>
    </row>
    <row r="105" spans="1:20" ht="12.75" hidden="1">
      <c r="A105" s="154">
        <v>44079</v>
      </c>
      <c r="H105" s="103">
        <f t="shared" si="8"/>
        <v>0</v>
      </c>
      <c r="O105" s="44">
        <f t="shared" si="9"/>
        <v>0</v>
      </c>
      <c r="P105" s="44">
        <f>SUM(H$6:H105)</f>
        <v>901</v>
      </c>
      <c r="Q105" s="44">
        <f t="shared" si="11"/>
        <v>118</v>
      </c>
      <c r="R105" s="273"/>
      <c r="S105" s="273"/>
      <c r="T105" s="273"/>
    </row>
    <row r="106" spans="1:20" ht="12.75" hidden="1">
      <c r="A106" s="154">
        <v>44080</v>
      </c>
      <c r="H106" s="103">
        <f t="shared" si="8"/>
        <v>0</v>
      </c>
      <c r="O106" s="44">
        <f t="shared" si="9"/>
        <v>0</v>
      </c>
      <c r="P106" s="44">
        <f>SUM(H$6:H106)</f>
        <v>901</v>
      </c>
      <c r="Q106" s="44">
        <f t="shared" si="11"/>
        <v>118</v>
      </c>
      <c r="R106" s="273"/>
      <c r="S106" s="273"/>
      <c r="T106" s="273"/>
    </row>
    <row r="107" spans="1:20" ht="12.75" hidden="1">
      <c r="A107" s="154">
        <v>44081</v>
      </c>
      <c r="H107" s="103">
        <f t="shared" si="8"/>
        <v>0</v>
      </c>
      <c r="I107" s="53">
        <v>10</v>
      </c>
      <c r="K107" s="53">
        <v>10</v>
      </c>
      <c r="M107" s="53">
        <v>2</v>
      </c>
      <c r="O107" s="44">
        <f t="shared" si="9"/>
        <v>22</v>
      </c>
      <c r="P107" s="44">
        <f>SUM(H$6:H107)</f>
        <v>901</v>
      </c>
      <c r="Q107" s="44">
        <f t="shared" si="11"/>
        <v>96</v>
      </c>
      <c r="R107" s="273"/>
      <c r="S107" s="273"/>
      <c r="T107" s="273"/>
    </row>
    <row r="108" spans="1:20" ht="12.75" hidden="1">
      <c r="A108" s="154">
        <v>44082</v>
      </c>
      <c r="H108" s="103">
        <f t="shared" si="8"/>
        <v>0</v>
      </c>
      <c r="K108" s="53">
        <v>6</v>
      </c>
      <c r="L108" s="53">
        <v>21</v>
      </c>
      <c r="O108" s="44">
        <f t="shared" si="9"/>
        <v>27</v>
      </c>
      <c r="P108" s="44">
        <f>SUM(H$6:H108)</f>
        <v>901</v>
      </c>
      <c r="Q108" s="44">
        <f t="shared" si="11"/>
        <v>69</v>
      </c>
      <c r="R108" s="273"/>
      <c r="S108" s="273"/>
      <c r="T108" s="273"/>
    </row>
    <row r="109" spans="1:20" ht="12.75" hidden="1">
      <c r="A109" s="154">
        <v>44083</v>
      </c>
      <c r="D109" s="53">
        <v>3</v>
      </c>
      <c r="E109" s="53">
        <v>16</v>
      </c>
      <c r="H109" s="103">
        <f t="shared" si="8"/>
        <v>19</v>
      </c>
      <c r="O109" s="44">
        <f t="shared" si="9"/>
        <v>0</v>
      </c>
      <c r="P109" s="44">
        <f>SUM(H$6:H109)</f>
        <v>920</v>
      </c>
      <c r="Q109" s="44">
        <f t="shared" si="11"/>
        <v>88</v>
      </c>
      <c r="R109" s="273"/>
      <c r="S109" s="273"/>
      <c r="T109" s="77"/>
    </row>
    <row r="110" spans="1:20" ht="12.75" hidden="1">
      <c r="A110" s="154">
        <v>44084</v>
      </c>
      <c r="H110" s="103">
        <f t="shared" si="8"/>
        <v>0</v>
      </c>
      <c r="O110" s="44">
        <f t="shared" si="9"/>
        <v>0</v>
      </c>
      <c r="P110" s="44">
        <f>SUM(H$6:H110)</f>
        <v>920</v>
      </c>
      <c r="Q110" s="44">
        <f t="shared" si="11"/>
        <v>88</v>
      </c>
      <c r="R110" s="273"/>
      <c r="S110" s="273"/>
      <c r="T110" s="273"/>
    </row>
    <row r="111" spans="1:20" ht="12.75" hidden="1">
      <c r="A111" s="154">
        <v>44085</v>
      </c>
      <c r="D111" s="53">
        <v>5</v>
      </c>
      <c r="E111" s="53">
        <v>9</v>
      </c>
      <c r="H111" s="103">
        <f t="shared" si="8"/>
        <v>14</v>
      </c>
      <c r="O111" s="44">
        <f t="shared" si="9"/>
        <v>0</v>
      </c>
      <c r="P111" s="44">
        <f>SUM(H$6:H111)</f>
        <v>934</v>
      </c>
      <c r="Q111" s="44">
        <f t="shared" si="11"/>
        <v>102</v>
      </c>
      <c r="R111" s="273"/>
      <c r="S111" s="273"/>
      <c r="T111" s="273"/>
    </row>
    <row r="112" spans="1:20" ht="12.75" hidden="1">
      <c r="A112" s="154">
        <v>44086</v>
      </c>
      <c r="H112" s="103">
        <f t="shared" si="8"/>
        <v>0</v>
      </c>
      <c r="O112" s="44">
        <f t="shared" si="9"/>
        <v>0</v>
      </c>
      <c r="P112" s="44">
        <f>SUM(H$6:H112)</f>
        <v>934</v>
      </c>
      <c r="Q112" s="44">
        <f t="shared" si="11"/>
        <v>102</v>
      </c>
      <c r="R112" s="273"/>
      <c r="S112" s="273"/>
      <c r="T112" s="273"/>
    </row>
    <row r="113" spans="1:17" ht="12.75" hidden="1">
      <c r="A113" s="154">
        <v>44087</v>
      </c>
      <c r="H113" s="103">
        <f t="shared" si="8"/>
        <v>0</v>
      </c>
      <c r="O113" s="44">
        <f t="shared" si="9"/>
        <v>0</v>
      </c>
      <c r="P113" s="44">
        <f>SUM(H$6:H113)</f>
        <v>934</v>
      </c>
      <c r="Q113" s="44">
        <f t="shared" si="11"/>
        <v>102</v>
      </c>
    </row>
    <row r="114" spans="1:17" ht="12.75" hidden="1">
      <c r="A114" s="154">
        <v>44088</v>
      </c>
      <c r="D114" s="53">
        <v>8</v>
      </c>
      <c r="E114" s="53">
        <v>3</v>
      </c>
      <c r="H114" s="103">
        <f t="shared" si="8"/>
        <v>11</v>
      </c>
      <c r="J114" s="53">
        <v>2</v>
      </c>
      <c r="K114" s="53">
        <v>1</v>
      </c>
      <c r="L114" s="53">
        <v>4</v>
      </c>
      <c r="O114" s="44">
        <f t="shared" si="9"/>
        <v>7</v>
      </c>
      <c r="P114" s="44">
        <f>SUM(H$6:H114)</f>
        <v>945</v>
      </c>
      <c r="Q114" s="44">
        <f t="shared" si="11"/>
        <v>106</v>
      </c>
    </row>
    <row r="115" spans="1:17" ht="12.75" hidden="1">
      <c r="A115" s="154">
        <v>44089</v>
      </c>
      <c r="H115" s="103">
        <f t="shared" si="8"/>
        <v>0</v>
      </c>
      <c r="N115" s="53">
        <v>3</v>
      </c>
      <c r="O115" s="44">
        <f t="shared" si="9"/>
        <v>3</v>
      </c>
      <c r="P115" s="44">
        <f>SUM(H$6:H115)</f>
        <v>945</v>
      </c>
      <c r="Q115" s="44">
        <f t="shared" si="11"/>
        <v>103</v>
      </c>
    </row>
    <row r="116" spans="1:17" ht="12.75" hidden="1">
      <c r="A116" s="154">
        <v>44090</v>
      </c>
      <c r="H116" s="103">
        <f t="shared" si="8"/>
        <v>0</v>
      </c>
      <c r="O116" s="44">
        <f t="shared" si="9"/>
        <v>0</v>
      </c>
      <c r="P116" s="44">
        <f>SUM(H$6:H116)</f>
        <v>945</v>
      </c>
      <c r="Q116" s="44">
        <f t="shared" si="11"/>
        <v>103</v>
      </c>
    </row>
    <row r="117" spans="1:17" ht="12.75" hidden="1">
      <c r="A117" s="154">
        <v>44091</v>
      </c>
      <c r="D117" s="53">
        <v>3</v>
      </c>
      <c r="E117" s="53">
        <v>11</v>
      </c>
      <c r="H117" s="103">
        <f t="shared" si="8"/>
        <v>14</v>
      </c>
      <c r="O117" s="44">
        <f t="shared" si="9"/>
        <v>0</v>
      </c>
      <c r="P117" s="44">
        <f>SUM(H$6:H117)</f>
        <v>959</v>
      </c>
      <c r="Q117" s="44">
        <f t="shared" si="11"/>
        <v>117</v>
      </c>
    </row>
    <row r="118" spans="1:17" ht="12.75" hidden="1">
      <c r="A118" s="154">
        <v>44092</v>
      </c>
      <c r="H118" s="103">
        <f t="shared" si="8"/>
        <v>0</v>
      </c>
      <c r="L118" s="53">
        <v>1</v>
      </c>
      <c r="O118" s="44">
        <f t="shared" si="9"/>
        <v>1</v>
      </c>
      <c r="P118" s="44">
        <f>SUM(H$6:H118)</f>
        <v>959</v>
      </c>
      <c r="Q118" s="44">
        <f t="shared" si="11"/>
        <v>116</v>
      </c>
    </row>
    <row r="119" spans="1:17" ht="12.75" hidden="1">
      <c r="A119" s="154">
        <v>44093</v>
      </c>
      <c r="H119" s="103">
        <f t="shared" si="8"/>
        <v>0</v>
      </c>
      <c r="O119" s="44">
        <f t="shared" si="9"/>
        <v>0</v>
      </c>
      <c r="P119" s="44">
        <f>SUM(H$6:H119)</f>
        <v>959</v>
      </c>
      <c r="Q119" s="44">
        <f t="shared" si="11"/>
        <v>116</v>
      </c>
    </row>
    <row r="120" spans="1:17" ht="12.75" hidden="1">
      <c r="A120" s="154">
        <v>44094</v>
      </c>
      <c r="H120" s="103">
        <f t="shared" si="8"/>
        <v>0</v>
      </c>
      <c r="O120" s="44">
        <f t="shared" si="9"/>
        <v>0</v>
      </c>
      <c r="P120" s="44">
        <f>SUM(H$6:H120)</f>
        <v>959</v>
      </c>
      <c r="Q120" s="44">
        <f t="shared" si="11"/>
        <v>116</v>
      </c>
    </row>
    <row r="121" spans="1:17" ht="12.75" hidden="1">
      <c r="A121" s="154">
        <v>44095</v>
      </c>
      <c r="C121" s="53">
        <v>4</v>
      </c>
      <c r="D121" s="53">
        <v>13</v>
      </c>
      <c r="E121" s="53">
        <v>5</v>
      </c>
      <c r="H121" s="103">
        <f t="shared" si="8"/>
        <v>22</v>
      </c>
      <c r="J121" s="53">
        <v>9</v>
      </c>
      <c r="K121" s="53">
        <v>2</v>
      </c>
      <c r="L121" s="53">
        <v>3</v>
      </c>
      <c r="O121" s="44">
        <f t="shared" si="9"/>
        <v>14</v>
      </c>
      <c r="P121" s="44">
        <f>SUM(H$6:H121)</f>
        <v>981</v>
      </c>
      <c r="Q121" s="44">
        <f t="shared" si="11"/>
        <v>124</v>
      </c>
    </row>
    <row r="122" spans="1:17" ht="12.75" hidden="1">
      <c r="A122" s="154">
        <v>44096</v>
      </c>
      <c r="H122" s="103">
        <f t="shared" si="8"/>
        <v>0</v>
      </c>
      <c r="K122" s="53">
        <v>2</v>
      </c>
      <c r="L122" s="53">
        <v>3</v>
      </c>
      <c r="O122" s="44">
        <f t="shared" si="9"/>
        <v>5</v>
      </c>
      <c r="P122" s="44">
        <f>SUM(H$6:H122)</f>
        <v>981</v>
      </c>
      <c r="Q122" s="44">
        <f t="shared" si="11"/>
        <v>119</v>
      </c>
    </row>
    <row r="123" spans="1:17" ht="12.75" hidden="1">
      <c r="A123" s="154">
        <v>44097</v>
      </c>
      <c r="H123" s="103">
        <f t="shared" si="8"/>
        <v>0</v>
      </c>
      <c r="O123" s="44">
        <f t="shared" si="9"/>
        <v>0</v>
      </c>
      <c r="P123" s="44">
        <f>SUM(H$6:H123)</f>
        <v>981</v>
      </c>
      <c r="Q123" s="44">
        <f t="shared" si="11"/>
        <v>119</v>
      </c>
    </row>
    <row r="124" spans="1:17" ht="12.75" hidden="1">
      <c r="A124" s="154">
        <v>44098</v>
      </c>
      <c r="B124" s="53">
        <v>7</v>
      </c>
      <c r="D124" s="53">
        <v>3</v>
      </c>
      <c r="E124" s="53">
        <v>10</v>
      </c>
      <c r="F124" s="53">
        <v>5</v>
      </c>
      <c r="H124" s="103">
        <f t="shared" si="8"/>
        <v>25</v>
      </c>
      <c r="O124" s="44">
        <f t="shared" si="9"/>
        <v>0</v>
      </c>
      <c r="P124" s="44">
        <f>SUM(H$6:H124)</f>
        <v>1006</v>
      </c>
      <c r="Q124" s="44">
        <f t="shared" si="11"/>
        <v>144</v>
      </c>
    </row>
    <row r="125" spans="1:17" ht="12.75" hidden="1">
      <c r="A125" s="154">
        <v>44099</v>
      </c>
      <c r="H125" s="103">
        <f t="shared" si="8"/>
        <v>0</v>
      </c>
      <c r="O125" s="44">
        <f t="shared" si="9"/>
        <v>0</v>
      </c>
      <c r="P125" s="44">
        <f>SUM(H$6:H125)</f>
        <v>1006</v>
      </c>
      <c r="Q125" s="44">
        <f t="shared" si="11"/>
        <v>144</v>
      </c>
    </row>
    <row r="126" spans="1:17" ht="12.75" hidden="1">
      <c r="A126" s="154">
        <v>44100</v>
      </c>
      <c r="H126" s="103">
        <f t="shared" si="8"/>
        <v>0</v>
      </c>
      <c r="O126" s="44">
        <f t="shared" si="9"/>
        <v>0</v>
      </c>
      <c r="P126" s="44">
        <f>SUM(H$6:H126)</f>
        <v>1006</v>
      </c>
      <c r="Q126" s="44">
        <f t="shared" si="11"/>
        <v>144</v>
      </c>
    </row>
    <row r="127" spans="1:17" ht="12.75" hidden="1">
      <c r="A127" s="154">
        <v>44101</v>
      </c>
      <c r="H127" s="103">
        <f t="shared" si="8"/>
        <v>0</v>
      </c>
      <c r="O127" s="44">
        <f t="shared" si="9"/>
        <v>0</v>
      </c>
      <c r="P127" s="44">
        <f>SUM(H$6:H127)</f>
        <v>1006</v>
      </c>
      <c r="Q127" s="44">
        <f t="shared" si="11"/>
        <v>144</v>
      </c>
    </row>
    <row r="128" spans="1:17" ht="12.75" hidden="1">
      <c r="A128" s="154">
        <v>44102</v>
      </c>
      <c r="H128" s="103">
        <f t="shared" si="8"/>
        <v>0</v>
      </c>
      <c r="O128" s="44">
        <f t="shared" si="9"/>
        <v>0</v>
      </c>
      <c r="P128" s="44">
        <f>SUM(H$6:H128)</f>
        <v>1006</v>
      </c>
      <c r="Q128" s="44">
        <f t="shared" si="11"/>
        <v>144</v>
      </c>
    </row>
    <row r="129" spans="1:17" ht="12.75" hidden="1">
      <c r="A129" s="154">
        <v>44103</v>
      </c>
      <c r="H129" s="103">
        <f t="shared" si="8"/>
        <v>0</v>
      </c>
      <c r="K129" s="53">
        <v>2</v>
      </c>
      <c r="L129" s="53">
        <v>2</v>
      </c>
      <c r="O129" s="44">
        <f t="shared" si="9"/>
        <v>4</v>
      </c>
      <c r="P129" s="44">
        <f>SUM(H$6:H129)</f>
        <v>1006</v>
      </c>
      <c r="Q129" s="44">
        <f t="shared" si="11"/>
        <v>140</v>
      </c>
    </row>
    <row r="130" spans="1:17" ht="12.75" hidden="1">
      <c r="A130" s="154">
        <v>44104</v>
      </c>
      <c r="B130" s="53">
        <v>4</v>
      </c>
      <c r="E130" s="53">
        <v>3</v>
      </c>
      <c r="F130" s="53">
        <v>4</v>
      </c>
      <c r="H130" s="103">
        <f t="shared" si="8"/>
        <v>11</v>
      </c>
      <c r="O130" s="44">
        <f t="shared" si="9"/>
        <v>0</v>
      </c>
      <c r="P130" s="44">
        <f>SUM(H$6:H130)</f>
        <v>1017</v>
      </c>
      <c r="Q130" s="44">
        <f t="shared" si="11"/>
        <v>151</v>
      </c>
    </row>
    <row r="131" spans="1:17" ht="12.75" hidden="1">
      <c r="A131" s="154">
        <v>44105</v>
      </c>
      <c r="B131" s="53">
        <v>7</v>
      </c>
      <c r="C131" s="53">
        <v>1</v>
      </c>
      <c r="E131" s="53">
        <v>4</v>
      </c>
      <c r="H131" s="103">
        <f t="shared" si="8"/>
        <v>12</v>
      </c>
      <c r="K131" s="53">
        <v>9</v>
      </c>
      <c r="L131" s="53">
        <v>3</v>
      </c>
      <c r="O131" s="44">
        <f t="shared" si="9"/>
        <v>12</v>
      </c>
      <c r="P131" s="44">
        <f>SUM(H$6:H131)</f>
        <v>1029</v>
      </c>
      <c r="Q131" s="44">
        <f t="shared" si="11"/>
        <v>151</v>
      </c>
    </row>
    <row r="132" spans="1:17" ht="12.75" hidden="1">
      <c r="A132" s="154">
        <v>44106</v>
      </c>
      <c r="B132" s="53">
        <v>8</v>
      </c>
      <c r="D132" s="53">
        <v>8</v>
      </c>
      <c r="E132" s="53">
        <v>7</v>
      </c>
      <c r="F132" s="53">
        <v>5</v>
      </c>
      <c r="H132" s="103">
        <f t="shared" si="8"/>
        <v>28</v>
      </c>
      <c r="L132" s="53">
        <v>3</v>
      </c>
      <c r="O132" s="44">
        <f t="shared" si="9"/>
        <v>3</v>
      </c>
      <c r="P132" s="44">
        <f>SUM(H$6:H132)</f>
        <v>1057</v>
      </c>
      <c r="Q132" s="44">
        <f t="shared" si="11"/>
        <v>176</v>
      </c>
    </row>
    <row r="133" spans="1:17" ht="12.75" hidden="1">
      <c r="A133" s="154">
        <v>44107</v>
      </c>
      <c r="H133" s="103">
        <f t="shared" si="8"/>
        <v>0</v>
      </c>
      <c r="O133" s="44">
        <f t="shared" si="9"/>
        <v>0</v>
      </c>
      <c r="P133" s="44">
        <f>SUM(H$6:H133)</f>
        <v>1057</v>
      </c>
      <c r="Q133" s="44">
        <f t="shared" si="11"/>
        <v>176</v>
      </c>
    </row>
    <row r="134" spans="1:17" ht="12.75" hidden="1">
      <c r="A134" s="154">
        <v>44108</v>
      </c>
      <c r="H134" s="103">
        <f t="shared" si="8"/>
        <v>0</v>
      </c>
      <c r="O134" s="44">
        <f t="shared" si="9"/>
        <v>0</v>
      </c>
      <c r="P134" s="44">
        <f>SUM(H$6:H134)</f>
        <v>1057</v>
      </c>
      <c r="Q134" s="44">
        <f t="shared" si="11"/>
        <v>176</v>
      </c>
    </row>
    <row r="135" spans="1:17" ht="12.75" hidden="1">
      <c r="A135" s="154">
        <v>44109</v>
      </c>
      <c r="H135" s="103">
        <f t="shared" si="8"/>
        <v>0</v>
      </c>
      <c r="K135" s="53">
        <v>7</v>
      </c>
      <c r="L135" s="53">
        <v>1</v>
      </c>
      <c r="O135" s="44">
        <f t="shared" si="9"/>
        <v>8</v>
      </c>
      <c r="P135" s="44">
        <f>SUM(H$6:H135)</f>
        <v>1057</v>
      </c>
      <c r="Q135" s="44">
        <f t="shared" si="11"/>
        <v>168</v>
      </c>
    </row>
    <row r="136" spans="1:17" ht="12.75" hidden="1">
      <c r="A136" s="154">
        <v>44110</v>
      </c>
      <c r="C136" s="53">
        <v>1</v>
      </c>
      <c r="F136" s="53">
        <v>8</v>
      </c>
      <c r="H136" s="103">
        <f t="shared" si="8"/>
        <v>9</v>
      </c>
      <c r="O136" s="44">
        <f t="shared" si="9"/>
        <v>0</v>
      </c>
      <c r="P136" s="44">
        <f>SUM(H$6:H136)</f>
        <v>1066</v>
      </c>
      <c r="Q136" s="44">
        <f t="shared" si="11"/>
        <v>177</v>
      </c>
    </row>
    <row r="137" spans="1:17" ht="12.75" hidden="1">
      <c r="A137" s="154">
        <v>44111</v>
      </c>
      <c r="H137" s="103">
        <f t="shared" si="8"/>
        <v>0</v>
      </c>
      <c r="K137" s="53">
        <v>5</v>
      </c>
      <c r="L137" s="53">
        <v>9</v>
      </c>
      <c r="O137" s="44">
        <f t="shared" si="9"/>
        <v>14</v>
      </c>
      <c r="P137" s="44">
        <f>SUM(H$6:H137)</f>
        <v>1066</v>
      </c>
      <c r="Q137" s="44">
        <f t="shared" si="11"/>
        <v>163</v>
      </c>
    </row>
    <row r="138" spans="1:17" ht="12.75" hidden="1">
      <c r="A138" s="154">
        <v>44112</v>
      </c>
      <c r="H138" s="103">
        <f t="shared" si="8"/>
        <v>0</v>
      </c>
      <c r="O138" s="44">
        <f t="shared" si="9"/>
        <v>0</v>
      </c>
      <c r="P138" s="44">
        <f>SUM(H$6:H138)</f>
        <v>1066</v>
      </c>
      <c r="Q138" s="44">
        <f t="shared" si="11"/>
        <v>163</v>
      </c>
    </row>
    <row r="139" spans="1:17" ht="12.75" hidden="1">
      <c r="A139" s="154">
        <v>44113</v>
      </c>
      <c r="B139" s="53">
        <v>11</v>
      </c>
      <c r="C139" s="53">
        <v>10</v>
      </c>
      <c r="D139" s="53">
        <v>5</v>
      </c>
      <c r="F139" s="53">
        <v>5</v>
      </c>
      <c r="H139" s="103">
        <f t="shared" si="8"/>
        <v>31</v>
      </c>
      <c r="K139" s="53">
        <v>4</v>
      </c>
      <c r="L139" s="53">
        <v>9</v>
      </c>
      <c r="O139" s="44">
        <f t="shared" si="9"/>
        <v>13</v>
      </c>
      <c r="P139" s="44">
        <f>SUM(H$6:H139)</f>
        <v>1097</v>
      </c>
      <c r="Q139" s="44">
        <f t="shared" si="11"/>
        <v>181</v>
      </c>
    </row>
    <row r="140" spans="1:17" ht="12.75" hidden="1">
      <c r="A140" s="154">
        <v>44114</v>
      </c>
      <c r="H140" s="103">
        <f t="shared" si="8"/>
        <v>0</v>
      </c>
      <c r="O140" s="44">
        <f t="shared" si="9"/>
        <v>0</v>
      </c>
      <c r="P140" s="44">
        <f>SUM(H$6:H140)</f>
        <v>1097</v>
      </c>
      <c r="Q140" s="44">
        <f t="shared" si="11"/>
        <v>181</v>
      </c>
    </row>
    <row r="141" spans="1:17" ht="12.75" hidden="1">
      <c r="A141" s="154">
        <v>44115</v>
      </c>
      <c r="H141" s="103">
        <f t="shared" si="8"/>
        <v>0</v>
      </c>
      <c r="O141" s="44">
        <f t="shared" si="9"/>
        <v>0</v>
      </c>
      <c r="P141" s="44">
        <f>SUM(H$6:H141)</f>
        <v>1097</v>
      </c>
      <c r="Q141" s="44">
        <f t="shared" si="11"/>
        <v>181</v>
      </c>
    </row>
    <row r="142" spans="1:17" ht="12.75" hidden="1">
      <c r="A142" s="154">
        <v>44116</v>
      </c>
      <c r="D142" s="53">
        <v>1</v>
      </c>
      <c r="E142" s="53">
        <v>9</v>
      </c>
      <c r="F142" s="53">
        <v>1</v>
      </c>
      <c r="H142" s="103">
        <f t="shared" si="8"/>
        <v>11</v>
      </c>
      <c r="O142" s="44">
        <f t="shared" si="9"/>
        <v>0</v>
      </c>
      <c r="P142" s="44">
        <f>SUM(H$6:H142)</f>
        <v>1108</v>
      </c>
      <c r="Q142" s="44">
        <f t="shared" si="11"/>
        <v>192</v>
      </c>
    </row>
    <row r="143" spans="1:17" ht="12.75" hidden="1">
      <c r="A143" s="154">
        <v>44117</v>
      </c>
      <c r="C143" s="53">
        <v>17</v>
      </c>
      <c r="H143" s="103">
        <f t="shared" si="8"/>
        <v>17</v>
      </c>
      <c r="O143" s="44">
        <f t="shared" si="9"/>
        <v>0</v>
      </c>
      <c r="P143" s="44">
        <f>SUM(H$6:H143)</f>
        <v>1125</v>
      </c>
      <c r="Q143" s="44">
        <f t="shared" si="11"/>
        <v>209</v>
      </c>
    </row>
    <row r="144" spans="1:17" ht="12.75" hidden="1">
      <c r="A144" s="154">
        <v>44118</v>
      </c>
      <c r="H144" s="103">
        <f t="shared" si="8"/>
        <v>0</v>
      </c>
      <c r="K144" s="53">
        <v>23</v>
      </c>
      <c r="O144" s="44">
        <f t="shared" si="9"/>
        <v>23</v>
      </c>
      <c r="P144" s="44">
        <f>SUM(H$6:H144)</f>
        <v>1125</v>
      </c>
      <c r="Q144" s="44">
        <f t="shared" si="11"/>
        <v>186</v>
      </c>
    </row>
    <row r="145" spans="1:18" ht="12.75" hidden="1">
      <c r="A145" s="154">
        <v>44119</v>
      </c>
      <c r="H145" s="103">
        <f t="shared" si="8"/>
        <v>0</v>
      </c>
      <c r="I145" s="53">
        <v>7</v>
      </c>
      <c r="J145" s="53">
        <v>10</v>
      </c>
      <c r="M145" s="53">
        <v>9</v>
      </c>
      <c r="O145" s="44">
        <f t="shared" si="9"/>
        <v>26</v>
      </c>
      <c r="P145" s="44">
        <f>SUM(H$6:H145)</f>
        <v>1125</v>
      </c>
      <c r="Q145" s="44">
        <f t="shared" si="11"/>
        <v>160</v>
      </c>
      <c r="R145" s="273"/>
    </row>
    <row r="146" spans="1:18" ht="12.75" hidden="1">
      <c r="A146" s="154">
        <v>44120</v>
      </c>
      <c r="H146" s="103">
        <f t="shared" si="8"/>
        <v>0</v>
      </c>
      <c r="I146" s="53">
        <v>1</v>
      </c>
      <c r="K146" s="53">
        <v>5</v>
      </c>
      <c r="O146" s="44">
        <f t="shared" si="9"/>
        <v>6</v>
      </c>
      <c r="P146" s="44">
        <f>SUM(H$6:H146)</f>
        <v>1125</v>
      </c>
      <c r="Q146" s="44">
        <f t="shared" si="11"/>
        <v>154</v>
      </c>
      <c r="R146" s="273"/>
    </row>
    <row r="147" spans="1:18" ht="12.75" hidden="1">
      <c r="A147" s="154">
        <v>44121</v>
      </c>
      <c r="B147" s="53">
        <v>10</v>
      </c>
      <c r="H147" s="103">
        <f t="shared" si="8"/>
        <v>10</v>
      </c>
      <c r="J147" s="53">
        <v>1</v>
      </c>
      <c r="L147" s="53">
        <v>16</v>
      </c>
      <c r="M147" s="53">
        <v>1</v>
      </c>
      <c r="O147" s="44">
        <f t="shared" si="9"/>
        <v>18</v>
      </c>
      <c r="P147" s="44">
        <f>SUM(H$6:H147)</f>
        <v>1135</v>
      </c>
      <c r="Q147" s="44">
        <f t="shared" si="11"/>
        <v>146</v>
      </c>
      <c r="R147" s="273" t="s">
        <v>1620</v>
      </c>
    </row>
    <row r="148" spans="1:18" ht="12.75" hidden="1">
      <c r="A148" s="154">
        <v>44122</v>
      </c>
      <c r="H148" s="103">
        <f t="shared" si="8"/>
        <v>0</v>
      </c>
      <c r="O148" s="44">
        <f t="shared" si="9"/>
        <v>0</v>
      </c>
      <c r="P148" s="44">
        <f>SUM(H$6:H148)</f>
        <v>1135</v>
      </c>
      <c r="Q148" s="44">
        <f t="shared" si="11"/>
        <v>146</v>
      </c>
      <c r="R148" s="273"/>
    </row>
    <row r="149" spans="1:18" ht="12.75" hidden="1">
      <c r="A149" s="154">
        <v>44123</v>
      </c>
      <c r="B149" s="53">
        <v>5</v>
      </c>
      <c r="C149" s="53">
        <v>11</v>
      </c>
      <c r="H149" s="103">
        <f t="shared" si="8"/>
        <v>16</v>
      </c>
      <c r="I149" s="53">
        <v>9</v>
      </c>
      <c r="K149" s="53">
        <v>3</v>
      </c>
      <c r="L149" s="53">
        <v>12</v>
      </c>
      <c r="M149" s="53">
        <v>12</v>
      </c>
      <c r="O149" s="44">
        <f t="shared" si="9"/>
        <v>36</v>
      </c>
      <c r="P149" s="44">
        <f>SUM(H$6:H149)</f>
        <v>1151</v>
      </c>
      <c r="Q149" s="44">
        <f t="shared" si="11"/>
        <v>126</v>
      </c>
      <c r="R149" s="273"/>
    </row>
    <row r="150" spans="1:18" ht="12.75" hidden="1">
      <c r="A150" s="154">
        <v>44124</v>
      </c>
      <c r="D150" s="53">
        <v>15</v>
      </c>
      <c r="H150" s="103">
        <f t="shared" si="8"/>
        <v>15</v>
      </c>
      <c r="O150" s="44">
        <f t="shared" si="9"/>
        <v>0</v>
      </c>
      <c r="P150" s="44">
        <f>SUM(H$6:H150)</f>
        <v>1166</v>
      </c>
      <c r="Q150" s="44">
        <f t="shared" si="11"/>
        <v>141</v>
      </c>
      <c r="R150" s="273"/>
    </row>
    <row r="151" spans="1:18" ht="12.75" hidden="1">
      <c r="A151" s="154">
        <v>44125</v>
      </c>
      <c r="H151" s="103">
        <f t="shared" si="8"/>
        <v>0</v>
      </c>
      <c r="O151" s="44">
        <f t="shared" si="9"/>
        <v>0</v>
      </c>
      <c r="P151" s="44">
        <f>SUM(H$6:H151)</f>
        <v>1166</v>
      </c>
      <c r="Q151" s="44">
        <f t="shared" si="11"/>
        <v>141</v>
      </c>
      <c r="R151" s="273"/>
    </row>
    <row r="152" spans="1:18" ht="12.75" hidden="1">
      <c r="A152" s="154">
        <v>44126</v>
      </c>
      <c r="H152" s="103">
        <f t="shared" si="8"/>
        <v>0</v>
      </c>
      <c r="L152" s="53">
        <v>9</v>
      </c>
      <c r="O152" s="44">
        <f t="shared" si="9"/>
        <v>9</v>
      </c>
      <c r="P152" s="44">
        <f>SUM(H$6:H152)</f>
        <v>1166</v>
      </c>
      <c r="Q152" s="44">
        <f t="shared" si="11"/>
        <v>132</v>
      </c>
      <c r="R152" s="273"/>
    </row>
    <row r="153" spans="1:18" ht="12.75" hidden="1">
      <c r="A153" s="154">
        <v>44127</v>
      </c>
      <c r="C153" s="53">
        <v>5</v>
      </c>
      <c r="E153" s="53">
        <v>11</v>
      </c>
      <c r="H153" s="103">
        <f t="shared" si="8"/>
        <v>16</v>
      </c>
      <c r="O153" s="44">
        <f t="shared" si="9"/>
        <v>0</v>
      </c>
      <c r="P153" s="44">
        <f>SUM(H$6:H153)</f>
        <v>1182</v>
      </c>
      <c r="Q153" s="44">
        <f t="shared" si="11"/>
        <v>148</v>
      </c>
      <c r="R153" s="273"/>
    </row>
    <row r="154" spans="1:18" ht="12.75" hidden="1">
      <c r="A154" s="154">
        <v>44128</v>
      </c>
      <c r="H154" s="103">
        <f t="shared" si="8"/>
        <v>0</v>
      </c>
      <c r="O154" s="44">
        <f t="shared" si="9"/>
        <v>0</v>
      </c>
      <c r="P154" s="44">
        <f>SUM(H$6:H154)</f>
        <v>1182</v>
      </c>
      <c r="Q154" s="44">
        <f t="shared" si="11"/>
        <v>148</v>
      </c>
      <c r="R154" s="273"/>
    </row>
    <row r="155" spans="1:18" ht="12.75" hidden="1">
      <c r="A155" s="154">
        <v>44129</v>
      </c>
      <c r="H155" s="103">
        <f t="shared" si="8"/>
        <v>0</v>
      </c>
      <c r="O155" s="44">
        <f t="shared" si="9"/>
        <v>0</v>
      </c>
      <c r="P155" s="44">
        <f>SUM(H$6:H155)</f>
        <v>1182</v>
      </c>
      <c r="Q155" s="44">
        <f t="shared" si="11"/>
        <v>148</v>
      </c>
      <c r="R155" s="273"/>
    </row>
    <row r="156" spans="1:18" ht="12.75" hidden="1">
      <c r="A156" s="154">
        <v>44130</v>
      </c>
      <c r="H156" s="103">
        <f t="shared" si="8"/>
        <v>0</v>
      </c>
      <c r="O156" s="44">
        <f t="shared" si="9"/>
        <v>0</v>
      </c>
      <c r="P156" s="44">
        <f>SUM(H$6:H156)</f>
        <v>1182</v>
      </c>
      <c r="Q156" s="44">
        <f t="shared" si="11"/>
        <v>148</v>
      </c>
      <c r="R156" s="273"/>
    </row>
    <row r="157" spans="1:18" ht="12.75" hidden="1">
      <c r="A157" s="154">
        <v>44131</v>
      </c>
      <c r="H157" s="103">
        <f t="shared" si="8"/>
        <v>0</v>
      </c>
      <c r="I157" s="53">
        <v>11</v>
      </c>
      <c r="J157" s="53">
        <v>3</v>
      </c>
      <c r="K157" s="53">
        <v>3</v>
      </c>
      <c r="L157" s="53">
        <v>4</v>
      </c>
      <c r="O157" s="44">
        <f t="shared" si="9"/>
        <v>21</v>
      </c>
      <c r="P157" s="44">
        <f>SUM(H$6:H157)</f>
        <v>1182</v>
      </c>
      <c r="Q157" s="44">
        <f t="shared" si="11"/>
        <v>127</v>
      </c>
      <c r="R157" s="273"/>
    </row>
    <row r="158" spans="1:18" ht="12.75" hidden="1">
      <c r="A158" s="154">
        <v>44132</v>
      </c>
      <c r="D158" s="53">
        <v>20</v>
      </c>
      <c r="E158" s="53">
        <v>11</v>
      </c>
      <c r="H158" s="103">
        <f t="shared" si="8"/>
        <v>31</v>
      </c>
      <c r="I158" s="53">
        <v>1</v>
      </c>
      <c r="J158" s="53">
        <v>1</v>
      </c>
      <c r="K158" s="53">
        <v>1</v>
      </c>
      <c r="O158" s="44">
        <f t="shared" si="9"/>
        <v>3</v>
      </c>
      <c r="P158" s="44">
        <f>SUM(H$6:H158)</f>
        <v>1213</v>
      </c>
      <c r="Q158" s="44">
        <f t="shared" si="11"/>
        <v>155</v>
      </c>
      <c r="R158" s="273"/>
    </row>
    <row r="159" spans="1:18" ht="12.75" hidden="1">
      <c r="A159" s="154">
        <v>44133</v>
      </c>
      <c r="C159" s="53">
        <v>1</v>
      </c>
      <c r="H159" s="103">
        <f t="shared" si="8"/>
        <v>1</v>
      </c>
      <c r="O159" s="44">
        <f t="shared" si="9"/>
        <v>0</v>
      </c>
      <c r="P159" s="44">
        <f>SUM(H$6:H159)</f>
        <v>1214</v>
      </c>
      <c r="Q159" s="44">
        <f t="shared" si="11"/>
        <v>156</v>
      </c>
      <c r="R159" s="273"/>
    </row>
    <row r="160" spans="1:18" ht="12.75" hidden="1">
      <c r="A160" s="154">
        <v>44134</v>
      </c>
      <c r="D160" s="53">
        <v>5</v>
      </c>
      <c r="E160" s="53">
        <v>8</v>
      </c>
      <c r="H160" s="103">
        <f t="shared" si="8"/>
        <v>13</v>
      </c>
      <c r="I160" s="53">
        <v>8</v>
      </c>
      <c r="O160" s="44">
        <f t="shared" si="9"/>
        <v>8</v>
      </c>
      <c r="P160" s="44">
        <f>SUM(H$6:H160)</f>
        <v>1227</v>
      </c>
      <c r="Q160" s="44">
        <f t="shared" si="11"/>
        <v>161</v>
      </c>
      <c r="R160" s="273"/>
    </row>
    <row r="161" spans="1:17" ht="12.75" hidden="1">
      <c r="A161" s="154">
        <v>44135</v>
      </c>
      <c r="H161" s="103">
        <f t="shared" si="8"/>
        <v>0</v>
      </c>
      <c r="O161" s="44">
        <f t="shared" si="9"/>
        <v>0</v>
      </c>
      <c r="P161" s="44">
        <f>SUM(H$6:H161)</f>
        <v>1227</v>
      </c>
      <c r="Q161" s="44">
        <f t="shared" si="11"/>
        <v>161</v>
      </c>
    </row>
    <row r="162" spans="1:17" ht="12.75" hidden="1">
      <c r="A162" s="154">
        <v>44136</v>
      </c>
      <c r="H162" s="103">
        <f t="shared" si="8"/>
        <v>0</v>
      </c>
      <c r="O162" s="44">
        <f t="shared" si="9"/>
        <v>0</v>
      </c>
      <c r="P162" s="44">
        <f>SUM(H$6:H162)</f>
        <v>1227</v>
      </c>
      <c r="Q162" s="44">
        <f t="shared" si="11"/>
        <v>161</v>
      </c>
    </row>
    <row r="163" spans="1:17" ht="12.75" hidden="1">
      <c r="A163" s="154">
        <v>44137</v>
      </c>
      <c r="H163" s="103">
        <f t="shared" si="8"/>
        <v>0</v>
      </c>
      <c r="M163" s="53">
        <v>5</v>
      </c>
      <c r="O163" s="44">
        <f t="shared" si="9"/>
        <v>5</v>
      </c>
      <c r="P163" s="44">
        <f>SUM(H$6:H163)</f>
        <v>1227</v>
      </c>
      <c r="Q163" s="44">
        <f t="shared" si="11"/>
        <v>156</v>
      </c>
    </row>
    <row r="164" spans="1:17" ht="12.75" hidden="1">
      <c r="A164" s="154">
        <v>44138</v>
      </c>
      <c r="H164" s="103">
        <f t="shared" si="8"/>
        <v>0</v>
      </c>
      <c r="O164" s="44">
        <f t="shared" si="9"/>
        <v>0</v>
      </c>
      <c r="P164" s="44">
        <f>SUM(H$6:H164)</f>
        <v>1227</v>
      </c>
      <c r="Q164" s="44">
        <f t="shared" si="11"/>
        <v>156</v>
      </c>
    </row>
    <row r="165" spans="1:17" ht="12.75" hidden="1">
      <c r="A165" s="154">
        <v>44139</v>
      </c>
      <c r="B165" s="53">
        <v>10</v>
      </c>
      <c r="D165" s="53">
        <v>6</v>
      </c>
      <c r="E165" s="53">
        <v>11</v>
      </c>
      <c r="F165" s="53">
        <v>14</v>
      </c>
      <c r="H165" s="103">
        <f t="shared" si="8"/>
        <v>41</v>
      </c>
      <c r="O165" s="44">
        <f t="shared" si="9"/>
        <v>0</v>
      </c>
      <c r="P165" s="44">
        <f>SUM(H$6:H165)</f>
        <v>1268</v>
      </c>
      <c r="Q165" s="44">
        <f t="shared" si="11"/>
        <v>197</v>
      </c>
    </row>
    <row r="166" spans="1:17" ht="12.75" hidden="1">
      <c r="A166" s="154">
        <v>44140</v>
      </c>
      <c r="H166" s="103">
        <f t="shared" ref="H166:H222" si="12">SUM(B166:G166)</f>
        <v>0</v>
      </c>
      <c r="I166" s="53">
        <v>11</v>
      </c>
      <c r="L166" s="53">
        <v>4</v>
      </c>
      <c r="O166" s="44">
        <f t="shared" ref="O166:O222" si="13">SUM(I166:N166)</f>
        <v>15</v>
      </c>
      <c r="P166" s="44">
        <f>SUM(H$6:H166)</f>
        <v>1268</v>
      </c>
      <c r="Q166" s="44">
        <f t="shared" si="11"/>
        <v>182</v>
      </c>
    </row>
    <row r="167" spans="1:17" ht="12.75" hidden="1">
      <c r="A167" s="154">
        <v>44141</v>
      </c>
      <c r="H167" s="103">
        <f t="shared" si="12"/>
        <v>0</v>
      </c>
      <c r="J167" s="53">
        <v>2</v>
      </c>
      <c r="K167" s="53">
        <v>7</v>
      </c>
      <c r="L167" s="53">
        <v>1</v>
      </c>
      <c r="O167" s="44">
        <f t="shared" si="13"/>
        <v>10</v>
      </c>
      <c r="P167" s="44">
        <f>SUM(H$6:H167)</f>
        <v>1268</v>
      </c>
      <c r="Q167" s="44">
        <f t="shared" ref="Q167:Q222" si="14">Q166-O167+H167</f>
        <v>172</v>
      </c>
    </row>
    <row r="168" spans="1:17" ht="12.75" hidden="1">
      <c r="A168" s="154">
        <v>44142</v>
      </c>
      <c r="H168" s="103">
        <f t="shared" si="12"/>
        <v>0</v>
      </c>
      <c r="O168" s="44">
        <f t="shared" si="13"/>
        <v>0</v>
      </c>
      <c r="P168" s="44">
        <f>SUM(H$6:H168)</f>
        <v>1268</v>
      </c>
      <c r="Q168" s="44">
        <f t="shared" si="14"/>
        <v>172</v>
      </c>
    </row>
    <row r="169" spans="1:17" ht="12.75" hidden="1">
      <c r="A169" s="154">
        <v>44143</v>
      </c>
      <c r="H169" s="103">
        <f t="shared" si="12"/>
        <v>0</v>
      </c>
      <c r="O169" s="44">
        <f t="shared" si="13"/>
        <v>0</v>
      </c>
      <c r="P169" s="44">
        <f>SUM(H$6:H169)</f>
        <v>1268</v>
      </c>
      <c r="Q169" s="44">
        <f t="shared" si="14"/>
        <v>172</v>
      </c>
    </row>
    <row r="170" spans="1:17" ht="12.75" hidden="1">
      <c r="A170" s="154">
        <v>44144</v>
      </c>
      <c r="H170" s="103">
        <f t="shared" si="12"/>
        <v>0</v>
      </c>
      <c r="J170" s="53">
        <v>1</v>
      </c>
      <c r="K170" s="53">
        <v>3</v>
      </c>
      <c r="L170" s="53">
        <v>10</v>
      </c>
      <c r="O170" s="44">
        <f t="shared" si="13"/>
        <v>14</v>
      </c>
      <c r="P170" s="44">
        <f>SUM(H$6:H170)</f>
        <v>1268</v>
      </c>
      <c r="Q170" s="44">
        <f t="shared" si="14"/>
        <v>158</v>
      </c>
    </row>
    <row r="171" spans="1:17" ht="12.75" hidden="1">
      <c r="A171" s="154">
        <v>44145</v>
      </c>
      <c r="H171" s="103">
        <f t="shared" si="12"/>
        <v>0</v>
      </c>
      <c r="O171" s="44">
        <f t="shared" si="13"/>
        <v>0</v>
      </c>
      <c r="P171" s="44">
        <f>SUM(H$6:H171)</f>
        <v>1268</v>
      </c>
      <c r="Q171" s="44">
        <f t="shared" si="14"/>
        <v>158</v>
      </c>
    </row>
    <row r="172" spans="1:17" ht="12.75" hidden="1">
      <c r="A172" s="154">
        <v>44146</v>
      </c>
      <c r="B172" s="53">
        <v>14</v>
      </c>
      <c r="E172" s="53">
        <v>9</v>
      </c>
      <c r="F172" s="53">
        <v>11</v>
      </c>
      <c r="H172" s="103">
        <f t="shared" si="12"/>
        <v>34</v>
      </c>
      <c r="O172" s="44">
        <f t="shared" si="13"/>
        <v>0</v>
      </c>
      <c r="P172" s="44">
        <f>SUM(H$6:H172)</f>
        <v>1302</v>
      </c>
      <c r="Q172" s="44">
        <f t="shared" si="14"/>
        <v>192</v>
      </c>
    </row>
    <row r="173" spans="1:17" ht="12.75" hidden="1">
      <c r="A173" s="154">
        <v>44147</v>
      </c>
      <c r="H173" s="103">
        <f t="shared" si="12"/>
        <v>0</v>
      </c>
      <c r="J173" s="53">
        <v>12</v>
      </c>
      <c r="K173" s="53">
        <v>21</v>
      </c>
      <c r="L173" s="53">
        <v>8</v>
      </c>
      <c r="M173" s="53">
        <v>5</v>
      </c>
      <c r="O173" s="44">
        <f t="shared" si="13"/>
        <v>46</v>
      </c>
      <c r="P173" s="44">
        <f>SUM(H$6:H173)</f>
        <v>1302</v>
      </c>
      <c r="Q173" s="44">
        <f t="shared" si="14"/>
        <v>146</v>
      </c>
    </row>
    <row r="174" spans="1:17" ht="12.75" hidden="1">
      <c r="A174" s="154">
        <v>44148</v>
      </c>
      <c r="D174" s="53">
        <v>3</v>
      </c>
      <c r="E174" s="53">
        <v>11</v>
      </c>
      <c r="F174" s="53">
        <v>9</v>
      </c>
      <c r="H174" s="103">
        <f t="shared" si="12"/>
        <v>23</v>
      </c>
      <c r="L174" s="53">
        <v>6</v>
      </c>
      <c r="O174" s="44">
        <f t="shared" si="13"/>
        <v>6</v>
      </c>
      <c r="P174" s="44">
        <f>SUM(H$6:H174)</f>
        <v>1325</v>
      </c>
      <c r="Q174" s="44">
        <f t="shared" si="14"/>
        <v>163</v>
      </c>
    </row>
    <row r="175" spans="1:17" ht="12.75" hidden="1">
      <c r="A175" s="154">
        <v>44149</v>
      </c>
      <c r="H175" s="103">
        <f t="shared" si="12"/>
        <v>0</v>
      </c>
      <c r="O175" s="44">
        <f t="shared" si="13"/>
        <v>0</v>
      </c>
      <c r="P175" s="44">
        <f>SUM(H$6:H175)</f>
        <v>1325</v>
      </c>
      <c r="Q175" s="44">
        <f t="shared" si="14"/>
        <v>163</v>
      </c>
    </row>
    <row r="176" spans="1:17" ht="12.75" hidden="1">
      <c r="A176" s="154">
        <v>44150</v>
      </c>
      <c r="H176" s="103">
        <f t="shared" si="12"/>
        <v>0</v>
      </c>
      <c r="O176" s="44">
        <f t="shared" si="13"/>
        <v>0</v>
      </c>
      <c r="P176" s="44">
        <f>SUM(H$6:H176)</f>
        <v>1325</v>
      </c>
      <c r="Q176" s="44">
        <f t="shared" si="14"/>
        <v>163</v>
      </c>
    </row>
    <row r="177" spans="1:17" ht="12.75" hidden="1">
      <c r="A177" s="154">
        <v>44151</v>
      </c>
      <c r="H177" s="103">
        <f t="shared" si="12"/>
        <v>0</v>
      </c>
      <c r="I177" s="53">
        <v>1</v>
      </c>
      <c r="J177" s="53">
        <v>8</v>
      </c>
      <c r="O177" s="44">
        <f t="shared" si="13"/>
        <v>9</v>
      </c>
      <c r="P177" s="44">
        <f>SUM(H$6:H177)</f>
        <v>1325</v>
      </c>
      <c r="Q177" s="44">
        <f t="shared" si="14"/>
        <v>154</v>
      </c>
    </row>
    <row r="178" spans="1:17" ht="12.75" hidden="1">
      <c r="A178" s="154">
        <v>44152</v>
      </c>
      <c r="H178" s="103">
        <f t="shared" si="12"/>
        <v>0</v>
      </c>
      <c r="L178" s="53">
        <v>5</v>
      </c>
      <c r="O178" s="44">
        <f t="shared" si="13"/>
        <v>5</v>
      </c>
      <c r="P178" s="44">
        <f>SUM(H$6:H178)</f>
        <v>1325</v>
      </c>
      <c r="Q178" s="44">
        <f t="shared" si="14"/>
        <v>149</v>
      </c>
    </row>
    <row r="179" spans="1:17" ht="12.75" hidden="1">
      <c r="A179" s="154">
        <v>44153</v>
      </c>
      <c r="B179" s="53">
        <v>10</v>
      </c>
      <c r="D179" s="53">
        <v>1</v>
      </c>
      <c r="E179" s="53">
        <v>5</v>
      </c>
      <c r="F179" s="53">
        <v>5</v>
      </c>
      <c r="H179" s="103">
        <f t="shared" si="12"/>
        <v>21</v>
      </c>
      <c r="J179" s="53">
        <v>10</v>
      </c>
      <c r="K179" s="53">
        <v>2</v>
      </c>
      <c r="L179" s="53">
        <v>6</v>
      </c>
      <c r="M179" s="53">
        <v>4</v>
      </c>
      <c r="O179" s="44">
        <f t="shared" si="13"/>
        <v>22</v>
      </c>
      <c r="P179" s="44">
        <f>SUM(H$6:H179)</f>
        <v>1346</v>
      </c>
      <c r="Q179" s="44">
        <f t="shared" si="14"/>
        <v>148</v>
      </c>
    </row>
    <row r="180" spans="1:17" ht="12.75" hidden="1">
      <c r="A180" s="154">
        <v>44154</v>
      </c>
      <c r="B180" s="53">
        <v>3</v>
      </c>
      <c r="C180" s="53">
        <v>1</v>
      </c>
      <c r="H180" s="103">
        <f t="shared" si="12"/>
        <v>4</v>
      </c>
      <c r="O180" s="44">
        <f t="shared" si="13"/>
        <v>0</v>
      </c>
      <c r="P180" s="44">
        <f>SUM(H$6:H180)</f>
        <v>1350</v>
      </c>
      <c r="Q180" s="44">
        <f t="shared" si="14"/>
        <v>152</v>
      </c>
    </row>
    <row r="181" spans="1:17" ht="12.75" hidden="1">
      <c r="A181" s="154">
        <v>44155</v>
      </c>
      <c r="H181" s="103">
        <f t="shared" si="12"/>
        <v>0</v>
      </c>
      <c r="I181" s="53">
        <v>7</v>
      </c>
      <c r="J181" s="53">
        <v>1</v>
      </c>
      <c r="M181" s="53">
        <v>6</v>
      </c>
      <c r="O181" s="44">
        <f t="shared" si="13"/>
        <v>14</v>
      </c>
      <c r="P181" s="44">
        <f>SUM(H$6:H181)</f>
        <v>1350</v>
      </c>
      <c r="Q181" s="44">
        <f t="shared" si="14"/>
        <v>138</v>
      </c>
    </row>
    <row r="182" spans="1:17" ht="12.75" hidden="1">
      <c r="A182" s="154">
        <v>44156</v>
      </c>
      <c r="H182" s="103">
        <f t="shared" si="12"/>
        <v>0</v>
      </c>
      <c r="O182" s="44">
        <f t="shared" si="13"/>
        <v>0</v>
      </c>
      <c r="P182" s="44">
        <f>SUM(H$6:H182)</f>
        <v>1350</v>
      </c>
      <c r="Q182" s="44">
        <f t="shared" si="14"/>
        <v>138</v>
      </c>
    </row>
    <row r="183" spans="1:17" ht="12.75" hidden="1">
      <c r="A183" s="154">
        <v>44157</v>
      </c>
      <c r="H183" s="103">
        <f t="shared" si="12"/>
        <v>0</v>
      </c>
      <c r="O183" s="44">
        <f t="shared" si="13"/>
        <v>0</v>
      </c>
      <c r="P183" s="44">
        <f>SUM(H$6:H183)</f>
        <v>1350</v>
      </c>
      <c r="Q183" s="44">
        <f t="shared" si="14"/>
        <v>138</v>
      </c>
    </row>
    <row r="184" spans="1:17" ht="12.75" hidden="1">
      <c r="A184" s="154">
        <v>44158</v>
      </c>
      <c r="H184" s="103">
        <f t="shared" si="12"/>
        <v>0</v>
      </c>
      <c r="K184" s="53">
        <v>15</v>
      </c>
      <c r="O184" s="44">
        <f t="shared" si="13"/>
        <v>15</v>
      </c>
      <c r="P184" s="44">
        <f>SUM(H$6:H184)</f>
        <v>1350</v>
      </c>
      <c r="Q184" s="44">
        <f t="shared" si="14"/>
        <v>123</v>
      </c>
    </row>
    <row r="185" spans="1:17" ht="12.75" hidden="1">
      <c r="A185" s="154">
        <v>44159</v>
      </c>
      <c r="H185" s="103">
        <f t="shared" si="12"/>
        <v>0</v>
      </c>
      <c r="O185" s="44">
        <f t="shared" si="13"/>
        <v>0</v>
      </c>
      <c r="P185" s="44">
        <f>SUM(H$6:H185)</f>
        <v>1350</v>
      </c>
      <c r="Q185" s="44">
        <f t="shared" si="14"/>
        <v>123</v>
      </c>
    </row>
    <row r="186" spans="1:17" ht="12.75" hidden="1">
      <c r="A186" s="154">
        <v>44160</v>
      </c>
      <c r="B186" s="53">
        <v>4</v>
      </c>
      <c r="D186" s="53">
        <v>3</v>
      </c>
      <c r="E186" s="53">
        <v>2</v>
      </c>
      <c r="H186" s="103">
        <f t="shared" si="12"/>
        <v>9</v>
      </c>
      <c r="O186" s="44">
        <f t="shared" si="13"/>
        <v>0</v>
      </c>
      <c r="P186" s="44">
        <f>SUM(H$6:H186)</f>
        <v>1359</v>
      </c>
      <c r="Q186" s="44">
        <f t="shared" si="14"/>
        <v>132</v>
      </c>
    </row>
    <row r="187" spans="1:17" ht="12.75" hidden="1">
      <c r="A187" s="154">
        <v>44161</v>
      </c>
      <c r="H187" s="103">
        <f t="shared" si="12"/>
        <v>0</v>
      </c>
      <c r="O187" s="44">
        <f t="shared" si="13"/>
        <v>0</v>
      </c>
      <c r="P187" s="44">
        <f>SUM(H$6:H187)</f>
        <v>1359</v>
      </c>
      <c r="Q187" s="44">
        <f t="shared" si="14"/>
        <v>132</v>
      </c>
    </row>
    <row r="188" spans="1:17" ht="12.75" hidden="1">
      <c r="A188" s="154">
        <v>44162</v>
      </c>
      <c r="H188" s="103">
        <f t="shared" si="12"/>
        <v>0</v>
      </c>
      <c r="K188" s="53">
        <v>5</v>
      </c>
      <c r="L188" s="53">
        <v>14</v>
      </c>
      <c r="O188" s="44">
        <f t="shared" si="13"/>
        <v>19</v>
      </c>
      <c r="P188" s="44">
        <f>SUM(H$6:H188)</f>
        <v>1359</v>
      </c>
      <c r="Q188" s="44">
        <f t="shared" si="14"/>
        <v>113</v>
      </c>
    </row>
    <row r="189" spans="1:17" ht="12.75" hidden="1">
      <c r="A189" s="154">
        <v>44163</v>
      </c>
      <c r="H189" s="103">
        <f t="shared" si="12"/>
        <v>0</v>
      </c>
      <c r="O189" s="44">
        <f t="shared" si="13"/>
        <v>0</v>
      </c>
      <c r="P189" s="44">
        <f>SUM(H$6:H189)</f>
        <v>1359</v>
      </c>
      <c r="Q189" s="44">
        <f t="shared" si="14"/>
        <v>113</v>
      </c>
    </row>
    <row r="190" spans="1:17" ht="12.75" hidden="1">
      <c r="A190" s="154">
        <v>44164</v>
      </c>
      <c r="H190" s="103">
        <f t="shared" si="12"/>
        <v>0</v>
      </c>
      <c r="O190" s="44">
        <f t="shared" si="13"/>
        <v>0</v>
      </c>
      <c r="P190" s="44">
        <f>SUM(H$6:H190)</f>
        <v>1359</v>
      </c>
      <c r="Q190" s="44">
        <f t="shared" si="14"/>
        <v>113</v>
      </c>
    </row>
    <row r="191" spans="1:17" ht="12.75" hidden="1">
      <c r="A191" s="154">
        <v>44165</v>
      </c>
      <c r="H191" s="103">
        <f t="shared" si="12"/>
        <v>0</v>
      </c>
      <c r="O191" s="44">
        <f t="shared" si="13"/>
        <v>0</v>
      </c>
      <c r="P191" s="44">
        <f>SUM(H$6:H191)</f>
        <v>1359</v>
      </c>
      <c r="Q191" s="44">
        <f t="shared" si="14"/>
        <v>113</v>
      </c>
    </row>
    <row r="192" spans="1:17" ht="12.75">
      <c r="A192" s="154">
        <v>44166</v>
      </c>
      <c r="E192" s="53">
        <v>8</v>
      </c>
      <c r="H192" s="103">
        <f t="shared" si="12"/>
        <v>8</v>
      </c>
      <c r="I192" s="53">
        <v>10</v>
      </c>
      <c r="O192" s="44">
        <f t="shared" si="13"/>
        <v>10</v>
      </c>
      <c r="P192" s="44">
        <f>SUM(H$6:H192)</f>
        <v>1367</v>
      </c>
      <c r="Q192" s="44">
        <f t="shared" si="14"/>
        <v>111</v>
      </c>
    </row>
    <row r="193" spans="1:17" ht="12.75">
      <c r="A193" s="154">
        <v>44167</v>
      </c>
      <c r="H193" s="103">
        <f t="shared" si="12"/>
        <v>0</v>
      </c>
      <c r="O193" s="44">
        <f t="shared" si="13"/>
        <v>0</v>
      </c>
      <c r="P193" s="44">
        <f>SUM(H$6:H193)</f>
        <v>1367</v>
      </c>
      <c r="Q193" s="44">
        <f t="shared" si="14"/>
        <v>111</v>
      </c>
    </row>
    <row r="194" spans="1:17" ht="12.75">
      <c r="A194" s="154">
        <v>44168</v>
      </c>
      <c r="H194" s="103">
        <f t="shared" si="12"/>
        <v>0</v>
      </c>
      <c r="O194" s="44">
        <f t="shared" si="13"/>
        <v>0</v>
      </c>
      <c r="P194" s="44">
        <f>SUM(H$6:H194)</f>
        <v>1367</v>
      </c>
      <c r="Q194" s="44">
        <f t="shared" si="14"/>
        <v>111</v>
      </c>
    </row>
    <row r="195" spans="1:17" ht="12.75">
      <c r="A195" s="154">
        <v>44169</v>
      </c>
      <c r="B195" s="53">
        <v>2</v>
      </c>
      <c r="C195" s="53">
        <v>10</v>
      </c>
      <c r="D195" s="53">
        <v>3</v>
      </c>
      <c r="H195" s="103">
        <f t="shared" si="12"/>
        <v>15</v>
      </c>
      <c r="K195" s="53">
        <v>6</v>
      </c>
      <c r="L195" s="53">
        <v>2</v>
      </c>
      <c r="M195" s="53">
        <v>1</v>
      </c>
      <c r="O195" s="44">
        <f t="shared" si="13"/>
        <v>9</v>
      </c>
      <c r="P195" s="44">
        <f>SUM(H$6:H195)</f>
        <v>1382</v>
      </c>
      <c r="Q195" s="44">
        <f t="shared" si="14"/>
        <v>117</v>
      </c>
    </row>
    <row r="196" spans="1:17" ht="12.75">
      <c r="A196" s="154">
        <v>44170</v>
      </c>
      <c r="H196" s="103">
        <f t="shared" si="12"/>
        <v>0</v>
      </c>
      <c r="O196" s="44">
        <f t="shared" si="13"/>
        <v>0</v>
      </c>
      <c r="P196" s="44">
        <f>SUM(H$6:H196)</f>
        <v>1382</v>
      </c>
      <c r="Q196" s="44">
        <f t="shared" si="14"/>
        <v>117</v>
      </c>
    </row>
    <row r="197" spans="1:17" ht="12.75">
      <c r="A197" s="154">
        <v>44171</v>
      </c>
      <c r="H197" s="103">
        <f t="shared" si="12"/>
        <v>0</v>
      </c>
      <c r="O197" s="44">
        <f t="shared" si="13"/>
        <v>0</v>
      </c>
      <c r="P197" s="44">
        <f>SUM(H$6:H197)</f>
        <v>1382</v>
      </c>
      <c r="Q197" s="44">
        <f t="shared" si="14"/>
        <v>117</v>
      </c>
    </row>
    <row r="198" spans="1:17" ht="12.75">
      <c r="A198" s="154">
        <v>44172</v>
      </c>
      <c r="H198" s="103">
        <f t="shared" si="12"/>
        <v>0</v>
      </c>
      <c r="I198" s="53">
        <v>12</v>
      </c>
      <c r="M198" s="53">
        <v>5</v>
      </c>
      <c r="O198" s="44">
        <f t="shared" si="13"/>
        <v>17</v>
      </c>
      <c r="P198" s="44">
        <f>SUM(H$6:H198)</f>
        <v>1382</v>
      </c>
      <c r="Q198" s="44">
        <f t="shared" si="14"/>
        <v>100</v>
      </c>
    </row>
    <row r="199" spans="1:17" ht="12.75">
      <c r="A199" s="154">
        <v>44173</v>
      </c>
      <c r="H199" s="103">
        <f t="shared" si="12"/>
        <v>0</v>
      </c>
      <c r="O199" s="44">
        <f t="shared" si="13"/>
        <v>0</v>
      </c>
      <c r="P199" s="44">
        <f>SUM(H$6:H199)</f>
        <v>1382</v>
      </c>
      <c r="Q199" s="44">
        <f t="shared" si="14"/>
        <v>100</v>
      </c>
    </row>
    <row r="200" spans="1:17" ht="12.75">
      <c r="A200" s="154">
        <v>44174</v>
      </c>
      <c r="C200" s="53">
        <v>13</v>
      </c>
      <c r="D200" s="53">
        <v>2</v>
      </c>
      <c r="E200" s="53">
        <v>4</v>
      </c>
      <c r="F200" s="53">
        <v>3</v>
      </c>
      <c r="H200" s="103">
        <f t="shared" si="12"/>
        <v>22</v>
      </c>
      <c r="M200" s="53">
        <v>10</v>
      </c>
      <c r="O200" s="44">
        <f t="shared" si="13"/>
        <v>10</v>
      </c>
      <c r="P200" s="44">
        <f>SUM(H$6:H200)</f>
        <v>1404</v>
      </c>
      <c r="Q200" s="44">
        <f t="shared" si="14"/>
        <v>112</v>
      </c>
    </row>
    <row r="201" spans="1:17" ht="12.75">
      <c r="A201" s="154">
        <v>44175</v>
      </c>
      <c r="H201" s="103">
        <f>SUM(B201:G201)</f>
        <v>0</v>
      </c>
      <c r="L201" s="53">
        <v>16</v>
      </c>
      <c r="O201" s="44">
        <f t="shared" si="13"/>
        <v>16</v>
      </c>
      <c r="P201" s="44">
        <f>SUM(H$6:H201)</f>
        <v>1404</v>
      </c>
      <c r="Q201" s="44">
        <f t="shared" si="14"/>
        <v>96</v>
      </c>
    </row>
    <row r="202" spans="1:17" ht="12.75">
      <c r="A202" s="154">
        <v>44176</v>
      </c>
      <c r="C202" s="53">
        <v>13</v>
      </c>
      <c r="D202" s="53">
        <v>6</v>
      </c>
      <c r="F202" s="53">
        <v>6</v>
      </c>
      <c r="H202" s="103">
        <f t="shared" si="12"/>
        <v>25</v>
      </c>
      <c r="M202" s="53">
        <v>11</v>
      </c>
      <c r="O202" s="44">
        <f t="shared" si="13"/>
        <v>11</v>
      </c>
      <c r="P202" s="44">
        <f>SUM(H$6:H202)</f>
        <v>1429</v>
      </c>
      <c r="Q202" s="44">
        <f t="shared" si="14"/>
        <v>110</v>
      </c>
    </row>
    <row r="203" spans="1:17" ht="12.75">
      <c r="A203" s="154">
        <v>44177</v>
      </c>
      <c r="H203" s="103">
        <f t="shared" si="12"/>
        <v>0</v>
      </c>
      <c r="O203" s="44">
        <f t="shared" si="13"/>
        <v>0</v>
      </c>
      <c r="P203" s="44">
        <f>SUM(H$6:H203)</f>
        <v>1429</v>
      </c>
      <c r="Q203" s="44">
        <f t="shared" si="14"/>
        <v>110</v>
      </c>
    </row>
    <row r="204" spans="1:17" ht="12.75">
      <c r="A204" s="154">
        <v>44178</v>
      </c>
      <c r="H204" s="103">
        <f t="shared" si="12"/>
        <v>0</v>
      </c>
      <c r="O204" s="44">
        <f t="shared" si="13"/>
        <v>0</v>
      </c>
      <c r="P204" s="44">
        <f>SUM(H$6:H204)</f>
        <v>1429</v>
      </c>
      <c r="Q204" s="44">
        <f t="shared" si="14"/>
        <v>110</v>
      </c>
    </row>
    <row r="205" spans="1:17" ht="12.75">
      <c r="A205" s="154">
        <v>44179</v>
      </c>
      <c r="H205" s="103">
        <f t="shared" si="12"/>
        <v>0</v>
      </c>
      <c r="I205" s="53">
        <v>2</v>
      </c>
      <c r="O205" s="44">
        <f t="shared" si="13"/>
        <v>2</v>
      </c>
      <c r="P205" s="44">
        <f>SUM(H$6:H205)</f>
        <v>1429</v>
      </c>
      <c r="Q205" s="44">
        <f t="shared" si="14"/>
        <v>108</v>
      </c>
    </row>
    <row r="206" spans="1:17" ht="12.75">
      <c r="A206" s="154">
        <v>44180</v>
      </c>
      <c r="C206" s="53">
        <v>4</v>
      </c>
      <c r="D206" s="53">
        <v>17</v>
      </c>
      <c r="E206" s="53">
        <v>15</v>
      </c>
      <c r="H206" s="103">
        <f t="shared" si="12"/>
        <v>36</v>
      </c>
      <c r="O206" s="44">
        <f t="shared" si="13"/>
        <v>0</v>
      </c>
      <c r="P206" s="44">
        <f>SUM(H$6:H206)</f>
        <v>1465</v>
      </c>
      <c r="Q206" s="44">
        <f t="shared" si="14"/>
        <v>144</v>
      </c>
    </row>
    <row r="207" spans="1:17" ht="12.75">
      <c r="A207" s="154">
        <v>44181</v>
      </c>
      <c r="H207" s="103">
        <f t="shared" si="12"/>
        <v>0</v>
      </c>
      <c r="I207" s="53">
        <v>10</v>
      </c>
      <c r="L207" s="53">
        <v>5</v>
      </c>
      <c r="O207" s="44">
        <f t="shared" si="13"/>
        <v>15</v>
      </c>
      <c r="P207" s="44">
        <f>SUM(H$6:H207)</f>
        <v>1465</v>
      </c>
      <c r="Q207" s="44">
        <f t="shared" si="14"/>
        <v>129</v>
      </c>
    </row>
    <row r="208" spans="1:17" ht="12.75">
      <c r="A208" s="154">
        <v>44182</v>
      </c>
      <c r="H208" s="103">
        <f t="shared" si="12"/>
        <v>0</v>
      </c>
      <c r="O208" s="44">
        <f t="shared" si="13"/>
        <v>0</v>
      </c>
      <c r="P208" s="44">
        <f>SUM(H$6:H208)</f>
        <v>1465</v>
      </c>
      <c r="Q208" s="44">
        <f t="shared" si="14"/>
        <v>129</v>
      </c>
    </row>
    <row r="209" spans="1:17" ht="12.75">
      <c r="A209" s="154">
        <v>44183</v>
      </c>
      <c r="D209" s="53">
        <v>8</v>
      </c>
      <c r="E209" s="53">
        <v>10</v>
      </c>
      <c r="H209" s="103">
        <f t="shared" si="12"/>
        <v>18</v>
      </c>
      <c r="I209" s="53">
        <v>1</v>
      </c>
      <c r="K209" s="53">
        <v>4</v>
      </c>
      <c r="O209" s="44">
        <f t="shared" si="13"/>
        <v>5</v>
      </c>
      <c r="P209" s="44">
        <f>SUM(H$6:H209)</f>
        <v>1483</v>
      </c>
      <c r="Q209" s="44">
        <f t="shared" si="14"/>
        <v>142</v>
      </c>
    </row>
    <row r="210" spans="1:17" ht="12.75">
      <c r="A210" s="154">
        <v>44184</v>
      </c>
      <c r="H210" s="103">
        <f t="shared" si="12"/>
        <v>0</v>
      </c>
      <c r="O210" s="44">
        <f t="shared" si="13"/>
        <v>0</v>
      </c>
      <c r="P210" s="44">
        <f>SUM(H$6:H210)</f>
        <v>1483</v>
      </c>
      <c r="Q210" s="44">
        <f t="shared" si="14"/>
        <v>142</v>
      </c>
    </row>
    <row r="211" spans="1:17" ht="12.75">
      <c r="A211" s="154">
        <v>44185</v>
      </c>
      <c r="H211" s="103">
        <f t="shared" si="12"/>
        <v>0</v>
      </c>
      <c r="O211" s="44">
        <f t="shared" si="13"/>
        <v>0</v>
      </c>
      <c r="P211" s="44">
        <f>SUM(H$6:H211)</f>
        <v>1483</v>
      </c>
      <c r="Q211" s="44">
        <f t="shared" si="14"/>
        <v>142</v>
      </c>
    </row>
    <row r="212" spans="1:17" ht="12.75">
      <c r="A212" s="154">
        <v>44186</v>
      </c>
      <c r="B212" s="53">
        <v>7</v>
      </c>
      <c r="D212" s="53">
        <v>8</v>
      </c>
      <c r="H212" s="103">
        <f t="shared" si="12"/>
        <v>15</v>
      </c>
      <c r="O212" s="44">
        <f t="shared" si="13"/>
        <v>0</v>
      </c>
      <c r="P212" s="44">
        <f>SUM(H$6:H212)</f>
        <v>1498</v>
      </c>
      <c r="Q212" s="44">
        <f t="shared" si="14"/>
        <v>157</v>
      </c>
    </row>
    <row r="213" spans="1:17" ht="12.75">
      <c r="A213" s="154">
        <v>44187</v>
      </c>
      <c r="B213" s="53">
        <v>8</v>
      </c>
      <c r="F213" s="53">
        <v>11</v>
      </c>
      <c r="H213" s="103">
        <f t="shared" si="12"/>
        <v>19</v>
      </c>
      <c r="J213" s="53">
        <v>4</v>
      </c>
      <c r="O213" s="44">
        <f t="shared" si="13"/>
        <v>4</v>
      </c>
      <c r="P213" s="44">
        <f>SUM(H$6:H213)</f>
        <v>1517</v>
      </c>
      <c r="Q213" s="44">
        <f t="shared" si="14"/>
        <v>172</v>
      </c>
    </row>
    <row r="214" spans="1:17" ht="12.75">
      <c r="A214" s="154">
        <v>44188</v>
      </c>
      <c r="H214" s="103">
        <f t="shared" si="12"/>
        <v>0</v>
      </c>
      <c r="O214" s="44">
        <f t="shared" si="13"/>
        <v>0</v>
      </c>
      <c r="P214" s="44">
        <f>SUM(H$6:H214)</f>
        <v>1517</v>
      </c>
      <c r="Q214" s="44">
        <f t="shared" si="14"/>
        <v>172</v>
      </c>
    </row>
    <row r="215" spans="1:17" ht="12.75">
      <c r="A215" s="154">
        <v>44189</v>
      </c>
      <c r="H215" s="103">
        <f t="shared" si="12"/>
        <v>0</v>
      </c>
      <c r="O215" s="44">
        <f t="shared" si="13"/>
        <v>0</v>
      </c>
      <c r="P215" s="44">
        <f>SUM(H$6:H215)</f>
        <v>1517</v>
      </c>
      <c r="Q215" s="44">
        <f t="shared" si="14"/>
        <v>172</v>
      </c>
    </row>
    <row r="216" spans="1:17" ht="12.75">
      <c r="A216" s="154">
        <v>44190</v>
      </c>
      <c r="H216" s="103">
        <f t="shared" si="12"/>
        <v>0</v>
      </c>
      <c r="O216" s="44">
        <f t="shared" si="13"/>
        <v>0</v>
      </c>
      <c r="P216" s="44">
        <f>SUM(H$6:H216)</f>
        <v>1517</v>
      </c>
      <c r="Q216" s="44">
        <f t="shared" si="14"/>
        <v>172</v>
      </c>
    </row>
    <row r="217" spans="1:17" ht="12.75">
      <c r="A217" s="154">
        <v>44191</v>
      </c>
      <c r="H217" s="103">
        <f t="shared" si="12"/>
        <v>0</v>
      </c>
      <c r="O217" s="44">
        <f t="shared" si="13"/>
        <v>0</v>
      </c>
      <c r="P217" s="44">
        <f>SUM(H$6:H217)</f>
        <v>1517</v>
      </c>
      <c r="Q217" s="44">
        <f t="shared" si="14"/>
        <v>172</v>
      </c>
    </row>
    <row r="218" spans="1:17" ht="12.75">
      <c r="A218" s="154">
        <v>44192</v>
      </c>
      <c r="H218" s="103">
        <f t="shared" si="12"/>
        <v>0</v>
      </c>
      <c r="O218" s="44">
        <f t="shared" si="13"/>
        <v>0</v>
      </c>
      <c r="P218" s="44">
        <f>SUM(H$6:H218)</f>
        <v>1517</v>
      </c>
      <c r="Q218" s="44">
        <f t="shared" si="14"/>
        <v>172</v>
      </c>
    </row>
    <row r="219" spans="1:17" ht="12.75">
      <c r="A219" s="154">
        <v>44193</v>
      </c>
      <c r="H219" s="103">
        <f t="shared" si="12"/>
        <v>0</v>
      </c>
      <c r="L219" s="53">
        <v>10</v>
      </c>
      <c r="O219" s="44">
        <f t="shared" si="13"/>
        <v>10</v>
      </c>
      <c r="P219" s="44">
        <f>SUM(H$6:H219)</f>
        <v>1517</v>
      </c>
      <c r="Q219" s="44">
        <f t="shared" si="14"/>
        <v>162</v>
      </c>
    </row>
    <row r="220" spans="1:17" ht="12.75">
      <c r="A220" s="154">
        <v>44194</v>
      </c>
      <c r="H220" s="103">
        <f t="shared" si="12"/>
        <v>0</v>
      </c>
      <c r="I220" s="53">
        <v>5</v>
      </c>
      <c r="O220" s="44">
        <f t="shared" si="13"/>
        <v>5</v>
      </c>
      <c r="P220" s="44">
        <f>SUM(H$6:H220)</f>
        <v>1517</v>
      </c>
      <c r="Q220" s="44">
        <f t="shared" si="14"/>
        <v>157</v>
      </c>
    </row>
    <row r="221" spans="1:17" ht="12.75">
      <c r="A221" s="154">
        <v>44195</v>
      </c>
      <c r="B221" s="53">
        <v>16</v>
      </c>
      <c r="D221" s="53">
        <v>10</v>
      </c>
      <c r="F221" s="53">
        <v>18</v>
      </c>
      <c r="H221" s="103">
        <f t="shared" si="12"/>
        <v>44</v>
      </c>
      <c r="O221" s="44">
        <f t="shared" si="13"/>
        <v>0</v>
      </c>
      <c r="P221" s="44">
        <f>SUM(H$6:H221)</f>
        <v>1561</v>
      </c>
      <c r="Q221" s="44">
        <f>Q220-O221+H221</f>
        <v>201</v>
      </c>
    </row>
    <row r="222" spans="1:17" ht="12.75">
      <c r="A222" s="154">
        <v>44196</v>
      </c>
      <c r="H222" s="103">
        <f t="shared" si="12"/>
        <v>0</v>
      </c>
      <c r="O222" s="44">
        <f t="shared" si="13"/>
        <v>0</v>
      </c>
      <c r="P222" s="44">
        <f>SUM(H$6:H222)</f>
        <v>1561</v>
      </c>
      <c r="Q222" s="44">
        <f t="shared" si="14"/>
        <v>201</v>
      </c>
    </row>
    <row r="223" spans="1:17" ht="12.75">
      <c r="A223" s="154">
        <v>44197</v>
      </c>
      <c r="H223" s="103">
        <f>SUM(B223:G223)</f>
        <v>0</v>
      </c>
      <c r="O223" s="44">
        <f>SUM(I223:N223)</f>
        <v>0</v>
      </c>
      <c r="P223" s="44">
        <f>SUM(H$6:H223)</f>
        <v>1561</v>
      </c>
      <c r="Q223" s="44">
        <f>Q222-O223+H223</f>
        <v>201</v>
      </c>
    </row>
    <row r="224" spans="1:17" ht="12.75">
      <c r="A224" s="154">
        <v>44198</v>
      </c>
      <c r="H224" s="103">
        <f>SUM(B224:G224)</f>
        <v>0</v>
      </c>
      <c r="O224" s="44">
        <f>SUM(I224:N224)</f>
        <v>0</v>
      </c>
      <c r="P224" s="44">
        <f>SUM(H$6:H224)</f>
        <v>1561</v>
      </c>
      <c r="Q224" s="44">
        <f>Q223-O224+H224</f>
        <v>201</v>
      </c>
    </row>
    <row r="225" spans="1:17" ht="12.75">
      <c r="A225" s="154">
        <v>44199</v>
      </c>
      <c r="H225" s="103">
        <f>SUM(B225:G225)</f>
        <v>0</v>
      </c>
      <c r="O225" s="44">
        <f>SUM(I225:N225)</f>
        <v>0</v>
      </c>
      <c r="P225" s="44">
        <f>SUM(H$6:H225)</f>
        <v>1561</v>
      </c>
      <c r="Q225" s="44">
        <f>Q224-O225+H225</f>
        <v>201</v>
      </c>
    </row>
    <row r="226" spans="1:17" ht="12.75">
      <c r="A226" s="154">
        <v>44200</v>
      </c>
      <c r="H226" s="103">
        <f>SUM(B226:G226)</f>
        <v>0</v>
      </c>
      <c r="O226" s="44">
        <f>SUM(I226:N226)</f>
        <v>0</v>
      </c>
      <c r="P226" s="44">
        <f>SUM(H$6:H226)</f>
        <v>1561</v>
      </c>
      <c r="Q226" s="44">
        <f>Q225-O226+H226</f>
        <v>201</v>
      </c>
    </row>
    <row r="227" spans="1:17" ht="12.75">
      <c r="A227" s="154">
        <v>44201</v>
      </c>
      <c r="H227" s="103">
        <f>SUM(B227:G227)</f>
        <v>0</v>
      </c>
      <c r="J227" s="53">
        <v>14</v>
      </c>
      <c r="O227" s="44">
        <f>SUM(I227:N227)</f>
        <v>14</v>
      </c>
      <c r="P227" s="44">
        <f>SUM(H$6:H227)</f>
        <v>1561</v>
      </c>
      <c r="Q227" s="44">
        <f>Q226-O227+H227</f>
        <v>187</v>
      </c>
    </row>
    <row r="228" spans="1:17" ht="12.75">
      <c r="A228" s="154">
        <v>44202</v>
      </c>
      <c r="H228" s="103">
        <f>SUM(B228:G228)</f>
        <v>0</v>
      </c>
      <c r="J228" s="53">
        <v>13</v>
      </c>
      <c r="O228" s="44">
        <f>SUM(I228:N228)</f>
        <v>13</v>
      </c>
      <c r="P228" s="44">
        <f>SUM(H$6:H228)</f>
        <v>1561</v>
      </c>
      <c r="Q228" s="44">
        <f>Q227-O228+H228</f>
        <v>174</v>
      </c>
    </row>
    <row r="229" spans="1:17" ht="12.75">
      <c r="A229" s="154">
        <v>44203</v>
      </c>
      <c r="H229" s="103">
        <f>SUM(B229:G229)</f>
        <v>0</v>
      </c>
      <c r="K229" s="53">
        <v>14</v>
      </c>
      <c r="O229" s="44">
        <f>SUM(I229:N229)</f>
        <v>14</v>
      </c>
      <c r="P229" s="44">
        <f>SUM(H$6:H229)</f>
        <v>1561</v>
      </c>
      <c r="Q229" s="44">
        <f>Q228-O229+H229</f>
        <v>160</v>
      </c>
    </row>
    <row r="230" spans="1:17" ht="12.75">
      <c r="A230" s="154">
        <v>44204</v>
      </c>
      <c r="B230" s="53">
        <v>15</v>
      </c>
      <c r="D230" s="53">
        <v>3</v>
      </c>
      <c r="E230" s="53">
        <v>14</v>
      </c>
      <c r="F230" s="53">
        <v>3</v>
      </c>
      <c r="H230" s="103">
        <f>SUM(B230:G230)</f>
        <v>35</v>
      </c>
      <c r="O230" s="44">
        <f>SUM(I230:N230)</f>
        <v>0</v>
      </c>
      <c r="P230" s="44">
        <f>SUM(H$6:H230)</f>
        <v>1596</v>
      </c>
      <c r="Q230" s="44">
        <f>Q229-O230+H230</f>
        <v>195</v>
      </c>
    </row>
    <row r="231" spans="1:17" ht="12.75">
      <c r="A231" s="154">
        <v>44205</v>
      </c>
      <c r="H231" s="103">
        <f>SUM(B231:G231)</f>
        <v>0</v>
      </c>
      <c r="O231" s="44">
        <f>SUM(I231:N231)</f>
        <v>0</v>
      </c>
      <c r="P231" s="44">
        <f>SUM(H$6:H231)</f>
        <v>1596</v>
      </c>
      <c r="Q231" s="44">
        <f>Q230-O231+H231</f>
        <v>195</v>
      </c>
    </row>
    <row r="232" spans="1:17" ht="12.75">
      <c r="A232" s="154">
        <v>44206</v>
      </c>
      <c r="H232" s="103">
        <f>SUM(B232:G232)</f>
        <v>0</v>
      </c>
      <c r="O232" s="44">
        <f>SUM(I232:N232)</f>
        <v>0</v>
      </c>
      <c r="P232" s="44">
        <f>SUM(H$6:H232)</f>
        <v>1596</v>
      </c>
      <c r="Q232" s="44">
        <f>Q231-O232+H232</f>
        <v>195</v>
      </c>
    </row>
    <row r="233" spans="1:17" ht="12.75">
      <c r="A233" s="154">
        <v>44207</v>
      </c>
      <c r="H233" s="103">
        <f>SUM(B233:G233)</f>
        <v>0</v>
      </c>
      <c r="L233" s="53">
        <v>19</v>
      </c>
      <c r="O233" s="44">
        <f>SUM(I233:N233)</f>
        <v>19</v>
      </c>
      <c r="P233" s="44">
        <f>SUM(H$6:H233)</f>
        <v>1596</v>
      </c>
      <c r="Q233" s="44">
        <f>Q232-O233+H233</f>
        <v>176</v>
      </c>
    </row>
    <row r="234" spans="1:17" ht="12.75">
      <c r="A234" s="154">
        <v>44208</v>
      </c>
      <c r="H234" s="103">
        <f>SUM(B234:G234)</f>
        <v>0</v>
      </c>
      <c r="O234" s="44">
        <f>SUM(I234:N234)</f>
        <v>0</v>
      </c>
      <c r="P234" s="44">
        <f>SUM(H$6:H234)</f>
        <v>1596</v>
      </c>
      <c r="Q234" s="44">
        <f>Q233-O234+H234</f>
        <v>176</v>
      </c>
    </row>
    <row r="235" spans="1:17" ht="12.75">
      <c r="A235" s="154">
        <v>44209</v>
      </c>
      <c r="H235" s="103">
        <f>SUM(B235:G235)</f>
        <v>0</v>
      </c>
      <c r="O235" s="44">
        <f>SUM(I235:N235)</f>
        <v>0</v>
      </c>
      <c r="P235" s="44">
        <f>SUM(H$6:H235)</f>
        <v>1596</v>
      </c>
      <c r="Q235" s="44">
        <f>Q234-O235+H235</f>
        <v>176</v>
      </c>
    </row>
    <row r="236" spans="1:17" ht="12.75">
      <c r="A236" s="154">
        <v>44210</v>
      </c>
      <c r="H236" s="103">
        <f>SUM(B236:G236)</f>
        <v>0</v>
      </c>
      <c r="O236" s="44">
        <f>SUM(I236:N236)</f>
        <v>0</v>
      </c>
      <c r="P236" s="44">
        <f>SUM(H$6:H236)</f>
        <v>1596</v>
      </c>
      <c r="Q236" s="44">
        <f>Q235-O236+H236</f>
        <v>176</v>
      </c>
    </row>
    <row r="237" spans="1:17" ht="12.75">
      <c r="A237" s="154">
        <v>44211</v>
      </c>
      <c r="H237" s="103">
        <f>SUM(B237:G237)</f>
        <v>0</v>
      </c>
      <c r="O237" s="44">
        <f>SUM(I237:N237)</f>
        <v>0</v>
      </c>
      <c r="P237" s="44">
        <f>SUM(H$6:H237)</f>
        <v>1596</v>
      </c>
      <c r="Q237" s="44">
        <f>Q236-O237+H237</f>
        <v>176</v>
      </c>
    </row>
    <row r="238" spans="1:17" ht="12.75">
      <c r="A238" s="154">
        <v>44212</v>
      </c>
      <c r="H238" s="103">
        <f>SUM(B238:G238)</f>
        <v>0</v>
      </c>
      <c r="O238" s="44">
        <f>SUM(I238:N238)</f>
        <v>0</v>
      </c>
      <c r="P238" s="44">
        <f>SUM(H$6:H238)</f>
        <v>1596</v>
      </c>
      <c r="Q238" s="44">
        <f>Q237-O238+H238</f>
        <v>176</v>
      </c>
    </row>
    <row r="239" spans="1:17" ht="12.75">
      <c r="A239" s="154">
        <v>44213</v>
      </c>
      <c r="H239" s="103">
        <f>SUM(B239:G239)</f>
        <v>0</v>
      </c>
      <c r="O239" s="44">
        <f>SUM(I239:N239)</f>
        <v>0</v>
      </c>
      <c r="P239" s="44">
        <f>SUM(H$6:H239)</f>
        <v>1596</v>
      </c>
      <c r="Q239" s="44">
        <f>Q238-O239+H239</f>
        <v>176</v>
      </c>
    </row>
    <row r="240" spans="1:17" ht="12.75">
      <c r="A240" s="154">
        <v>44214</v>
      </c>
      <c r="H240" s="103">
        <f>SUM(B240:G240)</f>
        <v>0</v>
      </c>
      <c r="O240" s="44">
        <f>SUM(I240:N240)</f>
        <v>0</v>
      </c>
      <c r="P240" s="44">
        <f>SUM(H$6:H240)</f>
        <v>1596</v>
      </c>
      <c r="Q240" s="44">
        <f>Q239-O240+H240</f>
        <v>176</v>
      </c>
    </row>
    <row r="241" spans="1:17" ht="12.75">
      <c r="A241" s="154">
        <v>44215</v>
      </c>
      <c r="H241" s="103">
        <f>SUM(B241:G241)</f>
        <v>0</v>
      </c>
      <c r="O241" s="44">
        <f>SUM(I241:N241)</f>
        <v>0</v>
      </c>
      <c r="P241" s="44">
        <f>SUM(H$6:H241)</f>
        <v>1596</v>
      </c>
      <c r="Q241" s="44">
        <f>Q240-O241+H241</f>
        <v>176</v>
      </c>
    </row>
    <row r="242" spans="1:17" ht="12.75">
      <c r="A242" s="154">
        <v>44216</v>
      </c>
      <c r="H242" s="103">
        <f>SUM(B242:G242)</f>
        <v>0</v>
      </c>
      <c r="I242" s="53">
        <v>15</v>
      </c>
      <c r="M242" s="53">
        <v>6</v>
      </c>
      <c r="O242" s="44">
        <f>SUM(I242:N242)</f>
        <v>21</v>
      </c>
      <c r="P242" s="44">
        <f>SUM(H$6:H242)</f>
        <v>1596</v>
      </c>
      <c r="Q242" s="44">
        <f>Q241-O242+H242</f>
        <v>155</v>
      </c>
    </row>
    <row r="243" spans="1:17" ht="12.75">
      <c r="A243" s="154">
        <v>44217</v>
      </c>
      <c r="H243" s="103">
        <f>SUM(B243:G243)</f>
        <v>0</v>
      </c>
      <c r="O243" s="44">
        <f>SUM(I243:N243)</f>
        <v>0</v>
      </c>
      <c r="P243" s="44">
        <f>SUM(H$6:H243)</f>
        <v>1596</v>
      </c>
      <c r="Q243" s="44">
        <f>Q242-O243+H243</f>
        <v>155</v>
      </c>
    </row>
    <row r="244" spans="1:17" ht="12.75">
      <c r="A244" s="154">
        <v>44218</v>
      </c>
      <c r="H244" s="103">
        <f>SUM(B244:G244)</f>
        <v>0</v>
      </c>
      <c r="O244" s="44">
        <f>SUM(I244:N244)</f>
        <v>0</v>
      </c>
      <c r="P244" s="44">
        <f>SUM(H$6:H244)</f>
        <v>1596</v>
      </c>
      <c r="Q244" s="44">
        <f>Q243-O244+H244</f>
        <v>155</v>
      </c>
    </row>
    <row r="245" spans="1:17" ht="12.75">
      <c r="A245" s="154">
        <v>44219</v>
      </c>
      <c r="H245" s="103">
        <f>SUM(B245:G245)</f>
        <v>0</v>
      </c>
      <c r="O245" s="44">
        <f>SUM(I245:N245)</f>
        <v>0</v>
      </c>
      <c r="P245" s="44">
        <f>SUM(H$6:H245)</f>
        <v>1596</v>
      </c>
      <c r="Q245" s="44">
        <f>Q244-O245+H245</f>
        <v>155</v>
      </c>
    </row>
    <row r="246" spans="1:17" ht="12.75">
      <c r="A246" s="154">
        <v>44220</v>
      </c>
      <c r="H246" s="103">
        <f>SUM(B246:G246)</f>
        <v>0</v>
      </c>
      <c r="O246" s="44">
        <f>SUM(I246:N246)</f>
        <v>0</v>
      </c>
      <c r="P246" s="44">
        <f>SUM(H$6:H246)</f>
        <v>1596</v>
      </c>
      <c r="Q246" s="44">
        <f>Q245-O246+H246</f>
        <v>155</v>
      </c>
    </row>
    <row r="247" spans="1:17" ht="12.75">
      <c r="A247" s="154">
        <v>44221</v>
      </c>
      <c r="H247" s="103">
        <f>SUM(B247:G247)</f>
        <v>0</v>
      </c>
      <c r="O247" s="44">
        <f>SUM(I247:N247)</f>
        <v>0</v>
      </c>
      <c r="P247" s="44">
        <f>SUM(H$6:H247)</f>
        <v>1596</v>
      </c>
      <c r="Q247" s="44">
        <f>Q246-O247+H247</f>
        <v>155</v>
      </c>
    </row>
    <row r="248" spans="1:17" ht="12.75">
      <c r="A248" s="154">
        <v>44222</v>
      </c>
      <c r="H248" s="103">
        <f>SUM(B248:G248)</f>
        <v>0</v>
      </c>
      <c r="O248" s="44">
        <f>SUM(I248:N248)</f>
        <v>0</v>
      </c>
      <c r="P248" s="44">
        <f>SUM(H$6:H248)</f>
        <v>1596</v>
      </c>
      <c r="Q248" s="44">
        <f>Q247-O248+H248</f>
        <v>155</v>
      </c>
    </row>
    <row r="249" spans="1:17" ht="12.75">
      <c r="A249" s="154">
        <v>44223</v>
      </c>
      <c r="H249" s="103">
        <f>SUM(B249:G249)</f>
        <v>0</v>
      </c>
      <c r="O249" s="44">
        <f>SUM(I249:N249)</f>
        <v>0</v>
      </c>
      <c r="P249" s="44">
        <f>SUM(H$6:H249)</f>
        <v>1596</v>
      </c>
      <c r="Q249" s="44">
        <f>Q248-O249+H249</f>
        <v>155</v>
      </c>
    </row>
    <row r="250" spans="1:17" ht="12.75">
      <c r="A250" s="154">
        <v>44224</v>
      </c>
      <c r="H250" s="103">
        <f>SUM(B250:G250)</f>
        <v>0</v>
      </c>
      <c r="O250" s="44">
        <f>SUM(I250:N250)</f>
        <v>0</v>
      </c>
      <c r="P250" s="44">
        <f>SUM(H$6:H250)</f>
        <v>1596</v>
      </c>
      <c r="Q250" s="44">
        <f>Q249-O250+H250</f>
        <v>155</v>
      </c>
    </row>
    <row r="251" spans="1:17" ht="12.75">
      <c r="A251" s="154">
        <v>44225</v>
      </c>
      <c r="H251" s="103">
        <f>SUM(B251:G251)</f>
        <v>0</v>
      </c>
      <c r="O251" s="44">
        <f>SUM(I251:N251)</f>
        <v>0</v>
      </c>
      <c r="P251" s="44">
        <f>SUM(H$6:H251)</f>
        <v>1596</v>
      </c>
      <c r="Q251" s="44">
        <f>Q250-O251+H251</f>
        <v>155</v>
      </c>
    </row>
    <row r="252" spans="1:17" ht="12.75">
      <c r="A252" s="154">
        <v>44226</v>
      </c>
      <c r="H252" s="103">
        <f>SUM(B252:G252)</f>
        <v>0</v>
      </c>
      <c r="O252" s="44">
        <f>SUM(I252:N252)</f>
        <v>0</v>
      </c>
      <c r="P252" s="44">
        <f>SUM(H$6:H252)</f>
        <v>1596</v>
      </c>
      <c r="Q252" s="44">
        <f>Q251-O252+H252</f>
        <v>155</v>
      </c>
    </row>
    <row r="253" spans="1:17" ht="12.75">
      <c r="A253" s="154">
        <v>44227</v>
      </c>
      <c r="H253" s="103">
        <f>SUM(B253:G253)</f>
        <v>0</v>
      </c>
      <c r="O253" s="44">
        <f>SUM(I253:N253)</f>
        <v>0</v>
      </c>
      <c r="P253" s="44">
        <f>SUM(H$6:H253)</f>
        <v>1596</v>
      </c>
      <c r="Q253" s="44">
        <f>Q252-O253+H253</f>
        <v>155</v>
      </c>
    </row>
    <row r="254" spans="1:17" ht="12.75">
      <c r="A254" s="154">
        <v>44228</v>
      </c>
      <c r="H254" s="103">
        <f>SUM(B254:G254)</f>
        <v>0</v>
      </c>
      <c r="O254" s="44">
        <f>SUM(I254:N254)</f>
        <v>0</v>
      </c>
      <c r="P254" s="44">
        <f>SUM(H$6:H254)</f>
        <v>1596</v>
      </c>
      <c r="Q254" s="44">
        <f>Q253-O254+H254</f>
        <v>155</v>
      </c>
    </row>
    <row r="255" spans="1:17" ht="12.75">
      <c r="A255" s="154">
        <v>44229</v>
      </c>
      <c r="H255" s="103">
        <f>SUM(B255:G255)</f>
        <v>0</v>
      </c>
      <c r="O255" s="44">
        <f>SUM(I255:N255)</f>
        <v>0</v>
      </c>
      <c r="P255" s="44">
        <f>SUM(H$6:H255)</f>
        <v>1596</v>
      </c>
      <c r="Q255" s="44">
        <f>Q254-O255+H255</f>
        <v>155</v>
      </c>
    </row>
    <row r="256" spans="1:17" ht="12.75">
      <c r="A256" s="154">
        <v>44230</v>
      </c>
      <c r="H256" s="103">
        <f>SUM(B256:G256)</f>
        <v>0</v>
      </c>
      <c r="O256" s="44">
        <f>SUM(I256:N256)</f>
        <v>0</v>
      </c>
      <c r="P256" s="44">
        <f>SUM(H$6:H256)</f>
        <v>1596</v>
      </c>
      <c r="Q256" s="44">
        <f>Q255-O256+H256</f>
        <v>155</v>
      </c>
    </row>
    <row r="257" spans="1:17" ht="12.75">
      <c r="A257" s="154">
        <v>44231</v>
      </c>
      <c r="H257" s="103">
        <f>SUM(B257:G257)</f>
        <v>0</v>
      </c>
      <c r="O257" s="44">
        <f>SUM(I257:N257)</f>
        <v>0</v>
      </c>
      <c r="P257" s="44">
        <f>SUM(H$6:H257)</f>
        <v>1596</v>
      </c>
      <c r="Q257" s="44">
        <f>Q256-O257+H257</f>
        <v>155</v>
      </c>
    </row>
    <row r="258" spans="1:17" ht="12.75">
      <c r="A258" s="154">
        <v>44232</v>
      </c>
      <c r="H258" s="103">
        <f>SUM(B258:G258)</f>
        <v>0</v>
      </c>
      <c r="O258" s="44">
        <f>SUM(I258:N258)</f>
        <v>0</v>
      </c>
      <c r="P258" s="44">
        <f>SUM(H$6:H258)</f>
        <v>1596</v>
      </c>
      <c r="Q258" s="44">
        <f>Q257-O258+H258</f>
        <v>155</v>
      </c>
    </row>
    <row r="259" spans="1:17" ht="12.75">
      <c r="A259" s="154">
        <v>44233</v>
      </c>
      <c r="H259" s="103">
        <f>SUM(B259:G259)</f>
        <v>0</v>
      </c>
      <c r="O259" s="44">
        <f>SUM(I259:N259)</f>
        <v>0</v>
      </c>
      <c r="P259" s="44">
        <f>SUM(H$6:H259)</f>
        <v>1596</v>
      </c>
      <c r="Q259" s="44">
        <f>Q258-O259+H259</f>
        <v>155</v>
      </c>
    </row>
    <row r="260" spans="1:17" ht="12.75">
      <c r="A260" s="154">
        <v>44234</v>
      </c>
      <c r="H260" s="103">
        <f>SUM(B260:G260)</f>
        <v>0</v>
      </c>
      <c r="O260" s="44">
        <f>SUM(I260:N260)</f>
        <v>0</v>
      </c>
      <c r="P260" s="44">
        <f>SUM(H$6:H260)</f>
        <v>1596</v>
      </c>
      <c r="Q260" s="44">
        <f>Q259-O260+H260</f>
        <v>155</v>
      </c>
    </row>
    <row r="261" spans="1:17" ht="12.75">
      <c r="A261" s="154">
        <v>44235</v>
      </c>
      <c r="H261" s="103">
        <f>SUM(B261:G261)</f>
        <v>0</v>
      </c>
      <c r="O261" s="44">
        <f>SUM(I261:N261)</f>
        <v>0</v>
      </c>
      <c r="P261" s="44">
        <f>SUM(H$6:H261)</f>
        <v>1596</v>
      </c>
      <c r="Q261" s="44">
        <f>Q260-O261+H261</f>
        <v>155</v>
      </c>
    </row>
    <row r="262" spans="1:17" ht="12.75">
      <c r="A262" s="154">
        <v>44236</v>
      </c>
      <c r="H262" s="103">
        <f>SUM(B262:G262)</f>
        <v>0</v>
      </c>
      <c r="O262" s="44">
        <f>SUM(I262:N262)</f>
        <v>0</v>
      </c>
      <c r="P262" s="44">
        <f>SUM(H$6:H262)</f>
        <v>1596</v>
      </c>
      <c r="Q262" s="44">
        <f>Q261-O262+H262</f>
        <v>155</v>
      </c>
    </row>
    <row r="263" spans="1:17" ht="12.75">
      <c r="A263" s="154">
        <v>44237</v>
      </c>
      <c r="H263" s="103">
        <f>SUM(B263:G263)</f>
        <v>0</v>
      </c>
      <c r="O263" s="44">
        <f>SUM(I263:N263)</f>
        <v>0</v>
      </c>
      <c r="P263" s="44">
        <f>SUM(H$6:H263)</f>
        <v>1596</v>
      </c>
      <c r="Q263" s="44">
        <f>Q262-O263+H263</f>
        <v>155</v>
      </c>
    </row>
    <row r="264" spans="1:17" ht="12.75">
      <c r="A264" s="154">
        <v>44238</v>
      </c>
      <c r="H264" s="103">
        <f>SUM(B264:G264)</f>
        <v>0</v>
      </c>
      <c r="O264" s="44">
        <f>SUM(I264:N264)</f>
        <v>0</v>
      </c>
      <c r="P264" s="44">
        <f>SUM(H$6:H264)</f>
        <v>1596</v>
      </c>
      <c r="Q264" s="44">
        <f>Q263-O264+H264</f>
        <v>155</v>
      </c>
    </row>
    <row r="265" spans="1:17" ht="12.75">
      <c r="A265" s="154">
        <v>44239</v>
      </c>
      <c r="H265" s="103">
        <f>SUM(B265:G265)</f>
        <v>0</v>
      </c>
      <c r="O265" s="44">
        <f>SUM(I265:N265)</f>
        <v>0</v>
      </c>
      <c r="P265" s="44">
        <f>SUM(H$6:H265)</f>
        <v>1596</v>
      </c>
      <c r="Q265" s="44">
        <f>Q264-O265+H265</f>
        <v>155</v>
      </c>
    </row>
    <row r="266" spans="1:17" ht="12.75">
      <c r="A266" s="154">
        <v>44240</v>
      </c>
      <c r="H266" s="103">
        <f>SUM(B266:G266)</f>
        <v>0</v>
      </c>
      <c r="O266" s="44">
        <f>SUM(I266:N266)</f>
        <v>0</v>
      </c>
      <c r="P266" s="44">
        <f>SUM(H$6:H266)</f>
        <v>1596</v>
      </c>
      <c r="Q266" s="44">
        <f>Q265-O266+H266</f>
        <v>155</v>
      </c>
    </row>
    <row r="267" spans="1:17" ht="12.75">
      <c r="A267" s="154">
        <v>44241</v>
      </c>
      <c r="H267" s="103">
        <f>SUM(B267:G267)</f>
        <v>0</v>
      </c>
      <c r="O267" s="44">
        <f>SUM(I267:N267)</f>
        <v>0</v>
      </c>
      <c r="P267" s="44">
        <f>SUM(H$6:H267)</f>
        <v>1596</v>
      </c>
      <c r="Q267" s="44">
        <f>Q266-O267+H267</f>
        <v>155</v>
      </c>
    </row>
    <row r="268" spans="1:17" ht="12.75">
      <c r="A268" s="154">
        <v>44242</v>
      </c>
      <c r="H268" s="103">
        <f>SUM(B268:G268)</f>
        <v>0</v>
      </c>
      <c r="O268" s="44">
        <f>SUM(I268:N268)</f>
        <v>0</v>
      </c>
      <c r="P268" s="44">
        <f>SUM(H$6:H268)</f>
        <v>1596</v>
      </c>
      <c r="Q268" s="44">
        <f>Q267-O268+H268</f>
        <v>155</v>
      </c>
    </row>
    <row r="269" spans="1:17" ht="12.75">
      <c r="A269" s="154">
        <v>44243</v>
      </c>
      <c r="H269" s="103">
        <f>SUM(B269:G269)</f>
        <v>0</v>
      </c>
      <c r="O269" s="44">
        <f>SUM(I269:N269)</f>
        <v>0</v>
      </c>
      <c r="P269" s="44">
        <f>SUM(H$6:H269)</f>
        <v>1596</v>
      </c>
      <c r="Q269" s="44">
        <f>Q268-O269+H269</f>
        <v>155</v>
      </c>
    </row>
    <row r="270" spans="1:17" ht="12.75">
      <c r="A270" s="154">
        <v>44244</v>
      </c>
      <c r="H270" s="103">
        <f>SUM(B270:G270)</f>
        <v>0</v>
      </c>
      <c r="O270" s="44">
        <f>SUM(I270:N270)</f>
        <v>0</v>
      </c>
      <c r="P270" s="44">
        <f>SUM(H$6:H270)</f>
        <v>1596</v>
      </c>
      <c r="Q270" s="44">
        <f>Q269-O270+H270</f>
        <v>155</v>
      </c>
    </row>
    <row r="271" spans="1:17" ht="12.75">
      <c r="A271" s="154">
        <v>44245</v>
      </c>
      <c r="H271" s="103">
        <f>SUM(B271:G271)</f>
        <v>0</v>
      </c>
      <c r="O271" s="44">
        <f>SUM(I271:N271)</f>
        <v>0</v>
      </c>
      <c r="P271" s="44">
        <f>SUM(H$6:H271)</f>
        <v>1596</v>
      </c>
      <c r="Q271" s="44">
        <f>Q270-O271+H271</f>
        <v>155</v>
      </c>
    </row>
    <row r="272" spans="1:17" ht="12.75">
      <c r="H272" s="103">
        <f>SUM(B272:G272)</f>
        <v>0</v>
      </c>
      <c r="O272" s="44">
        <f>SUM(I272:N272)</f>
        <v>0</v>
      </c>
      <c r="P272" s="44">
        <f>SUM(H$6:H272)</f>
        <v>1596</v>
      </c>
      <c r="Q272" s="44">
        <f>Q271-O272+H272</f>
        <v>155</v>
      </c>
    </row>
    <row r="273" spans="8:17" ht="12.75">
      <c r="H273" s="103">
        <f>SUM(B273:G273)</f>
        <v>0</v>
      </c>
      <c r="O273" s="44">
        <f>SUM(I273:N273)</f>
        <v>0</v>
      </c>
      <c r="P273" s="44">
        <f>SUM(H$6:H273)</f>
        <v>1596</v>
      </c>
      <c r="Q273" s="44">
        <f>Q272-O273+H273</f>
        <v>155</v>
      </c>
    </row>
    <row r="274" spans="8:17" ht="12.75">
      <c r="H274" s="103">
        <f>SUM(B274:G274)</f>
        <v>0</v>
      </c>
      <c r="O274" s="44">
        <f>SUM(I274:N274)</f>
        <v>0</v>
      </c>
      <c r="P274" s="44">
        <f>SUM(H$6:H274)</f>
        <v>1596</v>
      </c>
      <c r="Q274" s="44">
        <f>Q273-O274+H274</f>
        <v>155</v>
      </c>
    </row>
    <row r="275" spans="8:17" ht="12.75">
      <c r="H275" s="103">
        <f>SUM(B275:G275)</f>
        <v>0</v>
      </c>
      <c r="O275" s="44">
        <f>SUM(I275:N275)</f>
        <v>0</v>
      </c>
      <c r="P275" s="44">
        <f>SUM(H$6:H275)</f>
        <v>1596</v>
      </c>
      <c r="Q275" s="44">
        <f>Q274-O275+H275</f>
        <v>155</v>
      </c>
    </row>
    <row r="276" spans="8:17" ht="12.75">
      <c r="H276" s="103">
        <f>SUM(B276:G276)</f>
        <v>0</v>
      </c>
      <c r="O276" s="44">
        <f>SUM(I276:N276)</f>
        <v>0</v>
      </c>
      <c r="P276" s="44">
        <f>SUM(H$6:H276)</f>
        <v>1596</v>
      </c>
      <c r="Q276" s="44">
        <f>Q275-O276+H276</f>
        <v>155</v>
      </c>
    </row>
    <row r="277" spans="8:17" ht="12.75">
      <c r="H277" s="103">
        <f>SUM(B277:G277)</f>
        <v>0</v>
      </c>
      <c r="O277" s="44">
        <f>SUM(I277:N277)</f>
        <v>0</v>
      </c>
      <c r="P277" s="44">
        <f>SUM(H$6:H277)</f>
        <v>1596</v>
      </c>
      <c r="Q277" s="44">
        <f>Q276-O277+H277</f>
        <v>155</v>
      </c>
    </row>
    <row r="278" spans="8:17" ht="12.75">
      <c r="H278" s="103">
        <f>SUM(B278:G278)</f>
        <v>0</v>
      </c>
      <c r="O278" s="44">
        <f>SUM(I278:N278)</f>
        <v>0</v>
      </c>
      <c r="P278" s="44">
        <f>SUM(H$6:H278)</f>
        <v>1596</v>
      </c>
      <c r="Q278" s="44">
        <f>Q277-O278+H278</f>
        <v>155</v>
      </c>
    </row>
    <row r="279" spans="8:17" ht="12.75">
      <c r="H279" s="103">
        <f>SUM(B279:G279)</f>
        <v>0</v>
      </c>
      <c r="O279" s="44">
        <f>SUM(I279:N279)</f>
        <v>0</v>
      </c>
      <c r="P279" s="44">
        <f>SUM(H$6:H279)</f>
        <v>1596</v>
      </c>
      <c r="Q279" s="44">
        <f>Q278-O279+H279</f>
        <v>155</v>
      </c>
    </row>
    <row r="280" spans="8:17" ht="12.75">
      <c r="H280" s="103">
        <f>SUM(B280:G280)</f>
        <v>0</v>
      </c>
      <c r="O280" s="44">
        <f>SUM(I280:N280)</f>
        <v>0</v>
      </c>
      <c r="P280" s="44">
        <f>SUM(H$6:H280)</f>
        <v>1596</v>
      </c>
      <c r="Q280" s="44">
        <f>Q279-O280+H280</f>
        <v>155</v>
      </c>
    </row>
    <row r="281" spans="8:17" ht="12.75">
      <c r="H281" s="103">
        <f>SUM(B281:G281)</f>
        <v>0</v>
      </c>
      <c r="O281" s="44">
        <f>SUM(I281:N281)</f>
        <v>0</v>
      </c>
      <c r="P281" s="44">
        <f>SUM(H$6:H281)</f>
        <v>1596</v>
      </c>
      <c r="Q281" s="44">
        <f>Q280-O281+H281</f>
        <v>155</v>
      </c>
    </row>
    <row r="282" spans="8:17" ht="12.75">
      <c r="H282" s="103">
        <f>SUM(B282:G282)</f>
        <v>0</v>
      </c>
      <c r="O282" s="44">
        <f>SUM(I282:N282)</f>
        <v>0</v>
      </c>
      <c r="P282" s="44">
        <f>SUM(H$6:H282)</f>
        <v>1596</v>
      </c>
      <c r="Q282" s="44">
        <f>Q281-O282+H282</f>
        <v>155</v>
      </c>
    </row>
    <row r="283" spans="8:17" ht="12.75">
      <c r="H283" s="103">
        <f>SUM(B283:G283)</f>
        <v>0</v>
      </c>
      <c r="O283" s="44">
        <f>SUM(I283:N283)</f>
        <v>0</v>
      </c>
      <c r="P283" s="44">
        <f>SUM(H$6:H283)</f>
        <v>1596</v>
      </c>
      <c r="Q283" s="44">
        <f>Q282-O283+H283</f>
        <v>155</v>
      </c>
    </row>
    <row r="284" spans="8:17" ht="12.75">
      <c r="H284" s="103">
        <f>SUM(B284:G284)</f>
        <v>0</v>
      </c>
      <c r="O284" s="44">
        <f>SUM(I284:N284)</f>
        <v>0</v>
      </c>
      <c r="P284" s="44">
        <f>SUM(H$6:H284)</f>
        <v>1596</v>
      </c>
      <c r="Q284" s="44">
        <f>Q283-O284+H284</f>
        <v>155</v>
      </c>
    </row>
    <row r="285" spans="8:17" ht="12.75">
      <c r="H285" s="103">
        <f>SUM(B285:G285)</f>
        <v>0</v>
      </c>
      <c r="O285" s="44">
        <f>SUM(I285:N285)</f>
        <v>0</v>
      </c>
      <c r="P285" s="44">
        <f>SUM(H$6:H285)</f>
        <v>1596</v>
      </c>
      <c r="Q285" s="44">
        <f>Q284-O285+H285</f>
        <v>155</v>
      </c>
    </row>
    <row r="286" spans="8:17" ht="12.75">
      <c r="H286" s="103">
        <f>SUM(B286:G286)</f>
        <v>0</v>
      </c>
      <c r="O286" s="44">
        <f>SUM(I286:N286)</f>
        <v>0</v>
      </c>
      <c r="P286" s="44">
        <f>SUM(H$6:H286)</f>
        <v>1596</v>
      </c>
      <c r="Q286" s="44">
        <f>Q285-O286+H286</f>
        <v>155</v>
      </c>
    </row>
    <row r="287" spans="8:17" ht="12.75">
      <c r="H287" s="103">
        <f>SUM(B287:G287)</f>
        <v>0</v>
      </c>
      <c r="O287" s="44">
        <f>SUM(I287:N287)</f>
        <v>0</v>
      </c>
      <c r="P287" s="44">
        <f>SUM(H$6:H287)</f>
        <v>1596</v>
      </c>
      <c r="Q287" s="44">
        <f>Q286-O287+H287</f>
        <v>155</v>
      </c>
    </row>
    <row r="288" spans="8:17" ht="12.75">
      <c r="H288" s="103">
        <f>SUM(B288:G288)</f>
        <v>0</v>
      </c>
      <c r="O288" s="44">
        <f>SUM(I288:N288)</f>
        <v>0</v>
      </c>
      <c r="P288" s="44">
        <f>SUM(H$6:H288)</f>
        <v>1596</v>
      </c>
      <c r="Q288" s="44">
        <f>Q287-O288+H288</f>
        <v>155</v>
      </c>
    </row>
    <row r="289" spans="8:17" ht="12.75">
      <c r="H289" s="103">
        <f>SUM(B289:G289)</f>
        <v>0</v>
      </c>
      <c r="O289" s="44">
        <f>SUM(I289:N289)</f>
        <v>0</v>
      </c>
      <c r="P289" s="44">
        <f>SUM(H$6:H289)</f>
        <v>1596</v>
      </c>
      <c r="Q289" s="44">
        <f>Q288-O289+H289</f>
        <v>155</v>
      </c>
    </row>
    <row r="290" spans="8:17" ht="12.75">
      <c r="H290" s="103">
        <f>SUM(B290:G290)</f>
        <v>0</v>
      </c>
      <c r="O290" s="44">
        <f>SUM(I290:N290)</f>
        <v>0</v>
      </c>
      <c r="P290" s="44">
        <f>SUM(H$6:H290)</f>
        <v>1596</v>
      </c>
      <c r="Q290" s="44">
        <f>Q289-O290+H290</f>
        <v>155</v>
      </c>
    </row>
    <row r="291" spans="8:17" ht="12.75">
      <c r="H291" s="103">
        <f>SUM(B291:G291)</f>
        <v>0</v>
      </c>
      <c r="O291" s="44">
        <f>SUM(I291:N291)</f>
        <v>0</v>
      </c>
      <c r="P291" s="44">
        <f>SUM(H$6:H291)</f>
        <v>1596</v>
      </c>
      <c r="Q291" s="44">
        <f>Q290-O291+H291</f>
        <v>155</v>
      </c>
    </row>
    <row r="292" spans="8:17" ht="12.75">
      <c r="H292" s="103">
        <f>SUM(B292:G292)</f>
        <v>0</v>
      </c>
      <c r="O292" s="44">
        <f>SUM(I292:N292)</f>
        <v>0</v>
      </c>
      <c r="P292" s="44">
        <f>SUM(H$6:H292)</f>
        <v>1596</v>
      </c>
      <c r="Q292" s="44">
        <f>Q291-O292+H292</f>
        <v>155</v>
      </c>
    </row>
    <row r="293" spans="8:17" ht="12.75">
      <c r="H293" s="103">
        <f>SUM(B293:G293)</f>
        <v>0</v>
      </c>
      <c r="O293" s="44">
        <f>SUM(I293:N293)</f>
        <v>0</v>
      </c>
      <c r="P293" s="44">
        <f>SUM(H$6:H293)</f>
        <v>1596</v>
      </c>
      <c r="Q293" s="44">
        <f>Q292-O293+H293</f>
        <v>155</v>
      </c>
    </row>
    <row r="294" spans="8:17" ht="12.75">
      <c r="H294" s="103">
        <f>SUM(B294:G294)</f>
        <v>0</v>
      </c>
      <c r="O294" s="44">
        <f>SUM(I294:N294)</f>
        <v>0</v>
      </c>
      <c r="P294" s="44">
        <f>SUM(H$6:H294)</f>
        <v>1596</v>
      </c>
      <c r="Q294" s="44">
        <f>Q293-O294+H294</f>
        <v>155</v>
      </c>
    </row>
    <row r="295" spans="8:17" ht="12.75">
      <c r="H295" s="103">
        <f>SUM(B295:G295)</f>
        <v>0</v>
      </c>
      <c r="O295" s="44">
        <f>SUM(I295:N295)</f>
        <v>0</v>
      </c>
      <c r="P295" s="44">
        <f>SUM(H$6:H295)</f>
        <v>1596</v>
      </c>
      <c r="Q295" s="44">
        <f>Q294-O295+H295</f>
        <v>155</v>
      </c>
    </row>
    <row r="296" spans="8:17" ht="12.75">
      <c r="H296" s="103">
        <f>SUM(B296:G296)</f>
        <v>0</v>
      </c>
      <c r="O296" s="44">
        <f>SUM(I296:N296)</f>
        <v>0</v>
      </c>
      <c r="P296" s="44">
        <f>SUM(H$6:H296)</f>
        <v>1596</v>
      </c>
      <c r="Q296" s="44">
        <f>Q295-O296+H296</f>
        <v>155</v>
      </c>
    </row>
    <row r="297" spans="8:17" ht="12.75">
      <c r="H297" s="103">
        <f>SUM(B297:G297)</f>
        <v>0</v>
      </c>
      <c r="O297" s="44">
        <f>SUM(I297:N297)</f>
        <v>0</v>
      </c>
      <c r="P297" s="44">
        <f>SUM(H$6:H297)</f>
        <v>1596</v>
      </c>
      <c r="Q297" s="44">
        <f>Q296-O297+H297</f>
        <v>155</v>
      </c>
    </row>
    <row r="298" spans="8:17" ht="12.75">
      <c r="H298" s="103">
        <f>SUM(B298:G298)</f>
        <v>0</v>
      </c>
      <c r="O298" s="44">
        <f>SUM(I298:N298)</f>
        <v>0</v>
      </c>
      <c r="P298" s="44">
        <f>SUM(H$6:H298)</f>
        <v>1596</v>
      </c>
      <c r="Q298" s="44">
        <f>Q297-O298+H298</f>
        <v>155</v>
      </c>
    </row>
    <row r="299" spans="8:17" ht="12.75">
      <c r="H299" s="103">
        <f>SUM(B299:G299)</f>
        <v>0</v>
      </c>
      <c r="O299" s="44">
        <f>SUM(I299:N299)</f>
        <v>0</v>
      </c>
      <c r="P299" s="44">
        <f>SUM(H$6:H299)</f>
        <v>1596</v>
      </c>
    </row>
    <row r="300" spans="8:17" ht="12.75">
      <c r="H300" s="103">
        <f>SUM(B300:G300)</f>
        <v>0</v>
      </c>
      <c r="O300" s="44">
        <f>SUM(I300:N300)</f>
        <v>0</v>
      </c>
      <c r="P300" s="44">
        <f>SUM(H$6:H300)</f>
        <v>1596</v>
      </c>
    </row>
    <row r="301" spans="8:17" ht="12.75">
      <c r="H301" s="103">
        <f>SUM(B301:G301)</f>
        <v>0</v>
      </c>
      <c r="O301" s="44">
        <f>SUM(I301:N301)</f>
        <v>0</v>
      </c>
      <c r="P301" s="44">
        <f>SUM(H$6:H301)</f>
        <v>1596</v>
      </c>
    </row>
    <row r="302" spans="8:17" ht="12.75">
      <c r="H302" s="103">
        <f>SUM(B302:G302)</f>
        <v>0</v>
      </c>
      <c r="O302" s="44">
        <f>SUM(I302:N302)</f>
        <v>0</v>
      </c>
      <c r="P302" s="44">
        <f>SUM(H$6:H302)</f>
        <v>1596</v>
      </c>
    </row>
    <row r="303" spans="8:17" ht="12.75">
      <c r="H303" s="103">
        <f>SUM(B303:G303)</f>
        <v>0</v>
      </c>
      <c r="O303" s="44">
        <f>SUM(I303:N303)</f>
        <v>0</v>
      </c>
      <c r="P303" s="44">
        <f>SUM(H$6:H303)</f>
        <v>1596</v>
      </c>
    </row>
    <row r="304" spans="8:17" ht="12.75">
      <c r="H304" s="103">
        <f>SUM(B304:G304)</f>
        <v>0</v>
      </c>
      <c r="O304" s="44">
        <f>SUM(I304:N304)</f>
        <v>0</v>
      </c>
      <c r="P304" s="44">
        <f>SUM(H$6:H304)</f>
        <v>1596</v>
      </c>
    </row>
    <row r="305" spans="8:16" ht="12.75">
      <c r="H305" s="103">
        <f>SUM(B305:G305)</f>
        <v>0</v>
      </c>
      <c r="O305" s="44">
        <f>SUM(I305:N305)</f>
        <v>0</v>
      </c>
      <c r="P305" s="44">
        <f>SUM(H$6:H305)</f>
        <v>1596</v>
      </c>
    </row>
    <row r="306" spans="8:16" ht="12.75">
      <c r="H306" s="103"/>
      <c r="O306" s="44">
        <f>SUM(I306:N306)</f>
        <v>0</v>
      </c>
      <c r="P306" s="44">
        <f>SUM(H$6:H306)</f>
        <v>1596</v>
      </c>
    </row>
    <row r="307" spans="8:16" ht="12.75">
      <c r="H307" s="103"/>
    </row>
    <row r="308" spans="8:16" ht="12.75">
      <c r="H308" s="103"/>
    </row>
    <row r="309" spans="8:16" ht="12.75">
      <c r="H309" s="103"/>
    </row>
    <row r="310" spans="8:16" ht="12.75">
      <c r="H310" s="103"/>
    </row>
    <row r="311" spans="8:16" ht="12.75">
      <c r="H311" s="103"/>
    </row>
    <row r="312" spans="8:16" ht="12.75">
      <c r="H312" s="103"/>
    </row>
    <row r="313" spans="8:16" ht="12.75">
      <c r="H313" s="103"/>
    </row>
    <row r="314" spans="8:16" ht="12.75">
      <c r="H314" s="103"/>
    </row>
    <row r="315" spans="8:16" ht="12.75">
      <c r="H315" s="103"/>
    </row>
    <row r="316" spans="8:16" ht="12.75">
      <c r="H316" s="103"/>
    </row>
    <row r="317" spans="8:16" ht="12.75">
      <c r="H317" s="103"/>
    </row>
    <row r="318" spans="8:16" ht="12.75">
      <c r="H318" s="103"/>
    </row>
    <row r="319" spans="8:16" ht="12.75">
      <c r="H319" s="103"/>
    </row>
    <row r="320" spans="8:16" ht="12.75">
      <c r="H320" s="103"/>
    </row>
    <row r="321" spans="8:8" ht="12.75">
      <c r="H321" s="103"/>
    </row>
    <row r="322" spans="8:8" ht="12.75">
      <c r="H322" s="103"/>
    </row>
    <row r="323" spans="8:8" ht="12.75">
      <c r="H323" s="103"/>
    </row>
    <row r="324" spans="8:8" ht="12.75">
      <c r="H324" s="103"/>
    </row>
    <row r="325" spans="8:8" ht="12.75">
      <c r="H325" s="103"/>
    </row>
    <row r="326" spans="8:8" ht="12.75">
      <c r="H326" s="103"/>
    </row>
    <row r="327" spans="8:8" ht="12.75">
      <c r="H327" s="103"/>
    </row>
    <row r="328" spans="8:8" ht="12.75">
      <c r="H328" s="103"/>
    </row>
    <row r="329" spans="8:8" ht="12.75">
      <c r="H329" s="103"/>
    </row>
    <row r="330" spans="8:8" ht="12.75">
      <c r="H330" s="103"/>
    </row>
    <row r="331" spans="8:8" ht="12.75">
      <c r="H331" s="103"/>
    </row>
    <row r="332" spans="8:8" ht="12.75">
      <c r="H332" s="103"/>
    </row>
    <row r="333" spans="8:8" ht="12.75">
      <c r="H333" s="103"/>
    </row>
    <row r="334" spans="8:8" ht="12.75">
      <c r="H334" s="103"/>
    </row>
    <row r="335" spans="8:8" ht="12.75">
      <c r="H335" s="103"/>
    </row>
    <row r="336" spans="8:8" ht="12.75">
      <c r="H336" s="103"/>
    </row>
    <row r="337" spans="8:8" ht="12.75">
      <c r="H337" s="103"/>
    </row>
    <row r="338" spans="8:8" ht="12.75">
      <c r="H338" s="103"/>
    </row>
    <row r="339" spans="8:8" ht="12.75">
      <c r="H339" s="103"/>
    </row>
    <row r="340" spans="8:8" ht="12.75">
      <c r="H340" s="103"/>
    </row>
    <row r="341" spans="8:8" ht="12.75">
      <c r="H341" s="103"/>
    </row>
    <row r="342" spans="8:8" ht="12.75">
      <c r="H342" s="103"/>
    </row>
    <row r="343" spans="8:8" ht="12.75">
      <c r="H343" s="103"/>
    </row>
    <row r="344" spans="8:8" ht="12.75">
      <c r="H344" s="103"/>
    </row>
    <row r="345" spans="8:8" ht="12.75">
      <c r="H345" s="103"/>
    </row>
    <row r="346" spans="8:8" ht="12.75">
      <c r="H346" s="103"/>
    </row>
    <row r="347" spans="8:8" ht="12.75">
      <c r="H347" s="103"/>
    </row>
    <row r="348" spans="8:8" ht="12.75">
      <c r="H348" s="103"/>
    </row>
    <row r="349" spans="8:8" ht="12.75">
      <c r="H349" s="103"/>
    </row>
    <row r="350" spans="8:8" ht="12.75">
      <c r="H350" s="103"/>
    </row>
    <row r="351" spans="8:8" ht="12.75">
      <c r="H351" s="103"/>
    </row>
    <row r="352" spans="8:8" ht="12.75">
      <c r="H352" s="103"/>
    </row>
    <row r="353" spans="8:8" ht="12.75">
      <c r="H353" s="103"/>
    </row>
    <row r="354" spans="8:8" ht="12.75">
      <c r="H354" s="103"/>
    </row>
    <row r="355" spans="8:8" ht="12.75">
      <c r="H355" s="103"/>
    </row>
    <row r="356" spans="8:8" ht="12.75">
      <c r="H356" s="103"/>
    </row>
    <row r="357" spans="8:8" ht="12.75">
      <c r="H357" s="103"/>
    </row>
    <row r="358" spans="8:8" ht="12.75">
      <c r="H358" s="103"/>
    </row>
    <row r="359" spans="8:8" ht="12.75">
      <c r="H359" s="103"/>
    </row>
    <row r="360" spans="8:8" ht="12.75">
      <c r="H360" s="103"/>
    </row>
    <row r="361" spans="8:8" ht="12.75">
      <c r="H361" s="103"/>
    </row>
    <row r="362" spans="8:8" ht="12.75">
      <c r="H362" s="103"/>
    </row>
    <row r="363" spans="8:8" ht="12.75">
      <c r="H363" s="103"/>
    </row>
    <row r="364" spans="8:8" ht="12.75">
      <c r="H364" s="103"/>
    </row>
    <row r="365" spans="8:8" ht="12.75">
      <c r="H365" s="103"/>
    </row>
    <row r="366" spans="8:8" ht="12.75">
      <c r="H366" s="103"/>
    </row>
    <row r="367" spans="8:8" ht="12.75">
      <c r="H367" s="103"/>
    </row>
    <row r="368" spans="8:8" ht="12.75">
      <c r="H368" s="103"/>
    </row>
    <row r="369" spans="8:8" ht="12.75">
      <c r="H369" s="103"/>
    </row>
    <row r="370" spans="8:8" ht="12.75">
      <c r="H370" s="103"/>
    </row>
    <row r="371" spans="8:8" ht="12.75">
      <c r="H371" s="103"/>
    </row>
    <row r="372" spans="8:8" ht="12.75">
      <c r="H372" s="103"/>
    </row>
    <row r="373" spans="8:8" ht="12.75">
      <c r="H373" s="103"/>
    </row>
    <row r="374" spans="8:8" ht="12.75">
      <c r="H374" s="103"/>
    </row>
    <row r="375" spans="8:8" ht="12.75">
      <c r="H375" s="103"/>
    </row>
    <row r="376" spans="8:8" ht="12.75">
      <c r="H376" s="103"/>
    </row>
    <row r="377" spans="8:8" ht="12.75">
      <c r="H377" s="103"/>
    </row>
    <row r="378" spans="8:8" ht="12.75">
      <c r="H378" s="103"/>
    </row>
    <row r="379" spans="8:8" ht="12.75">
      <c r="H379" s="103"/>
    </row>
    <row r="380" spans="8:8" ht="12.75">
      <c r="H380" s="103"/>
    </row>
    <row r="381" spans="8:8" ht="12.75">
      <c r="H381" s="103"/>
    </row>
    <row r="382" spans="8:8" ht="12.75">
      <c r="H382" s="103"/>
    </row>
    <row r="383" spans="8:8" ht="12.75">
      <c r="H383" s="103"/>
    </row>
    <row r="384" spans="8:8" ht="12.75">
      <c r="H384" s="103"/>
    </row>
    <row r="385" spans="8:8" ht="12.75">
      <c r="H385" s="103"/>
    </row>
    <row r="386" spans="8:8" ht="12.75">
      <c r="H386" s="103"/>
    </row>
    <row r="387" spans="8:8" ht="12.75">
      <c r="H387" s="103"/>
    </row>
    <row r="388" spans="8:8" ht="12.75">
      <c r="H388" s="103"/>
    </row>
    <row r="389" spans="8:8" ht="12.75">
      <c r="H389" s="103"/>
    </row>
    <row r="390" spans="8:8" ht="12.75">
      <c r="H390" s="103"/>
    </row>
    <row r="391" spans="8:8" ht="12.75">
      <c r="H391" s="103"/>
    </row>
    <row r="392" spans="8:8" ht="12.75">
      <c r="H392" s="103"/>
    </row>
    <row r="393" spans="8:8" ht="12.75">
      <c r="H393" s="103"/>
    </row>
    <row r="394" spans="8:8" ht="12.75">
      <c r="H394" s="103"/>
    </row>
    <row r="395" spans="8:8" ht="12.75">
      <c r="H395" s="103"/>
    </row>
    <row r="396" spans="8:8" ht="12.75">
      <c r="H396" s="103"/>
    </row>
    <row r="397" spans="8:8" ht="12.75">
      <c r="H397" s="103"/>
    </row>
    <row r="398" spans="8:8" ht="12.75">
      <c r="H398" s="103"/>
    </row>
    <row r="399" spans="8:8" ht="12.75">
      <c r="H399" s="103"/>
    </row>
    <row r="400" spans="8:8" ht="12.75">
      <c r="H400" s="103"/>
    </row>
    <row r="401" spans="8:8" ht="12.75">
      <c r="H401" s="103"/>
    </row>
    <row r="402" spans="8:8" ht="12.75">
      <c r="H402" s="103"/>
    </row>
    <row r="403" spans="8:8" ht="12.75">
      <c r="H403" s="103"/>
    </row>
    <row r="404" spans="8:8" ht="12.75">
      <c r="H404" s="103"/>
    </row>
    <row r="405" spans="8:8" ht="12.75">
      <c r="H405" s="103"/>
    </row>
    <row r="406" spans="8:8" ht="12.75">
      <c r="H406" s="103"/>
    </row>
    <row r="407" spans="8:8" ht="12.75">
      <c r="H407" s="103"/>
    </row>
    <row r="408" spans="8:8" ht="12.75">
      <c r="H408" s="103"/>
    </row>
    <row r="409" spans="8:8" ht="12.75">
      <c r="H409" s="103"/>
    </row>
    <row r="410" spans="8:8" ht="12.75">
      <c r="H410" s="103"/>
    </row>
    <row r="411" spans="8:8" ht="12.75">
      <c r="H411" s="103"/>
    </row>
    <row r="412" spans="8:8" ht="12.75">
      <c r="H412" s="103"/>
    </row>
    <row r="413" spans="8:8" ht="12.75">
      <c r="H413" s="103"/>
    </row>
    <row r="414" spans="8:8" ht="12.75">
      <c r="H414" s="103"/>
    </row>
    <row r="415" spans="8:8" ht="12.75">
      <c r="H415" s="103"/>
    </row>
    <row r="416" spans="8:8" ht="12.75">
      <c r="H416" s="103"/>
    </row>
    <row r="417" spans="8:8" ht="12.75">
      <c r="H417" s="103"/>
    </row>
    <row r="418" spans="8:8" ht="12.75">
      <c r="H418" s="103"/>
    </row>
    <row r="419" spans="8:8" ht="12.75">
      <c r="H419" s="103"/>
    </row>
    <row r="420" spans="8:8" ht="12.75">
      <c r="H420" s="103"/>
    </row>
    <row r="421" spans="8:8" ht="12.75">
      <c r="H421" s="103"/>
    </row>
    <row r="422" spans="8:8" ht="12.75">
      <c r="H422" s="103"/>
    </row>
    <row r="423" spans="8:8" ht="12.75">
      <c r="H423" s="103"/>
    </row>
    <row r="424" spans="8:8" ht="12.75">
      <c r="H424" s="103"/>
    </row>
    <row r="425" spans="8:8" ht="12.75">
      <c r="H425" s="103"/>
    </row>
    <row r="426" spans="8:8" ht="12.75">
      <c r="H426" s="103"/>
    </row>
    <row r="427" spans="8:8" ht="12.75">
      <c r="H427" s="103"/>
    </row>
    <row r="428" spans="8:8" ht="12.75">
      <c r="H428" s="103"/>
    </row>
    <row r="429" spans="8:8" ht="12.75">
      <c r="H429" s="103"/>
    </row>
    <row r="430" spans="8:8" ht="12.75">
      <c r="H430" s="103"/>
    </row>
    <row r="431" spans="8:8" ht="12.75">
      <c r="H431" s="103"/>
    </row>
    <row r="432" spans="8:8" ht="12.75">
      <c r="H432" s="103"/>
    </row>
    <row r="433" spans="8:8" ht="12.75">
      <c r="H433" s="103"/>
    </row>
    <row r="434" spans="8:8" ht="12.75">
      <c r="H434" s="103"/>
    </row>
    <row r="435" spans="8:8" ht="12.75">
      <c r="H435" s="103"/>
    </row>
    <row r="436" spans="8:8" ht="12.75">
      <c r="H436" s="103"/>
    </row>
    <row r="437" spans="8:8" ht="12.75">
      <c r="H437" s="103"/>
    </row>
    <row r="438" spans="8:8" ht="12.75">
      <c r="H438" s="103"/>
    </row>
    <row r="439" spans="8:8" ht="12.75">
      <c r="H439" s="103"/>
    </row>
    <row r="440" spans="8:8" ht="12.75">
      <c r="H440" s="103"/>
    </row>
    <row r="441" spans="8:8" ht="12.75">
      <c r="H441" s="103"/>
    </row>
    <row r="442" spans="8:8" ht="12.75">
      <c r="H442" s="103"/>
    </row>
    <row r="443" spans="8:8" ht="12.75">
      <c r="H443" s="103"/>
    </row>
    <row r="444" spans="8:8" ht="12.75">
      <c r="H444" s="103"/>
    </row>
    <row r="445" spans="8:8" ht="12.75">
      <c r="H445" s="103"/>
    </row>
    <row r="446" spans="8:8" ht="12.75">
      <c r="H446" s="103"/>
    </row>
    <row r="447" spans="8:8" ht="12.75">
      <c r="H447" s="103"/>
    </row>
    <row r="448" spans="8:8" ht="12.75">
      <c r="H448" s="103"/>
    </row>
    <row r="449" spans="8:8" ht="12.75">
      <c r="H449" s="103"/>
    </row>
    <row r="450" spans="8:8" ht="12.75">
      <c r="H450" s="103"/>
    </row>
    <row r="451" spans="8:8" ht="12.75">
      <c r="H451" s="103"/>
    </row>
    <row r="452" spans="8:8" ht="12.75">
      <c r="H452" s="103"/>
    </row>
    <row r="453" spans="8:8" ht="12.75">
      <c r="H453" s="103"/>
    </row>
    <row r="454" spans="8:8" ht="12.75">
      <c r="H454" s="103"/>
    </row>
    <row r="455" spans="8:8" ht="12.75">
      <c r="H455" s="103"/>
    </row>
    <row r="456" spans="8:8" ht="12.75">
      <c r="H456" s="103"/>
    </row>
    <row r="457" spans="8:8" ht="12.75">
      <c r="H457" s="103"/>
    </row>
    <row r="458" spans="8:8" ht="12.75">
      <c r="H458" s="103"/>
    </row>
    <row r="459" spans="8:8" ht="12.75">
      <c r="H459" s="103"/>
    </row>
    <row r="460" spans="8:8" ht="12.75">
      <c r="H460" s="103"/>
    </row>
    <row r="461" spans="8:8" ht="12.75">
      <c r="H461" s="103"/>
    </row>
    <row r="462" spans="8:8" ht="12.75">
      <c r="H462" s="103"/>
    </row>
    <row r="463" spans="8:8" ht="12.75">
      <c r="H463" s="103"/>
    </row>
    <row r="464" spans="8:8" ht="12.75">
      <c r="H464" s="103"/>
    </row>
    <row r="465" spans="8:8" ht="12.75">
      <c r="H465" s="103"/>
    </row>
    <row r="466" spans="8:8" ht="12.75">
      <c r="H466" s="103"/>
    </row>
    <row r="467" spans="8:8" ht="12.75">
      <c r="H467" s="103"/>
    </row>
    <row r="468" spans="8:8" ht="12.75">
      <c r="H468" s="103"/>
    </row>
    <row r="469" spans="8:8" ht="12.75">
      <c r="H469" s="103"/>
    </row>
    <row r="470" spans="8:8" ht="12.75">
      <c r="H470" s="103"/>
    </row>
    <row r="471" spans="8:8" ht="12.75">
      <c r="H471" s="103"/>
    </row>
    <row r="472" spans="8:8" ht="12.75">
      <c r="H472" s="103"/>
    </row>
    <row r="473" spans="8:8" ht="12.75">
      <c r="H473" s="103"/>
    </row>
    <row r="474" spans="8:8" ht="12.75">
      <c r="H474" s="103"/>
    </row>
    <row r="475" spans="8:8" ht="12.75">
      <c r="H475" s="103"/>
    </row>
    <row r="476" spans="8:8" ht="12.75">
      <c r="H476" s="103"/>
    </row>
    <row r="477" spans="8:8" ht="12.75">
      <c r="H477" s="103"/>
    </row>
    <row r="478" spans="8:8" ht="12.75">
      <c r="H478" s="103"/>
    </row>
    <row r="479" spans="8:8" ht="12.75">
      <c r="H479" s="103"/>
    </row>
    <row r="480" spans="8:8" ht="12.75">
      <c r="H480" s="103"/>
    </row>
    <row r="481" spans="8:8" ht="12.75">
      <c r="H481" s="103"/>
    </row>
    <row r="482" spans="8:8" ht="12.75">
      <c r="H482" s="103"/>
    </row>
    <row r="483" spans="8:8" ht="12.75">
      <c r="H483" s="103"/>
    </row>
    <row r="484" spans="8:8" ht="12.75">
      <c r="H484" s="103"/>
    </row>
    <row r="485" spans="8:8" ht="12.75">
      <c r="H485" s="103"/>
    </row>
    <row r="486" spans="8:8" ht="12.75">
      <c r="H486" s="103"/>
    </row>
    <row r="487" spans="8:8" ht="12.75">
      <c r="H487" s="103"/>
    </row>
    <row r="488" spans="8:8" ht="12.75">
      <c r="H488" s="103"/>
    </row>
    <row r="489" spans="8:8" ht="12.75">
      <c r="H489" s="103"/>
    </row>
    <row r="490" spans="8:8" ht="12.75">
      <c r="H490" s="103"/>
    </row>
    <row r="491" spans="8:8" ht="12.75">
      <c r="H491" s="103"/>
    </row>
    <row r="492" spans="8:8" ht="12.75">
      <c r="H492" s="103"/>
    </row>
    <row r="493" spans="8:8" ht="12.75">
      <c r="H493" s="103"/>
    </row>
    <row r="494" spans="8:8" ht="12.75">
      <c r="H494" s="103"/>
    </row>
    <row r="495" spans="8:8" ht="12.75">
      <c r="H495" s="103"/>
    </row>
    <row r="496" spans="8:8" ht="12.75">
      <c r="H496" s="103"/>
    </row>
    <row r="497" spans="8:8" ht="12.75">
      <c r="H497" s="103"/>
    </row>
    <row r="498" spans="8:8" ht="12.75">
      <c r="H498" s="103"/>
    </row>
    <row r="499" spans="8:8" ht="12.75">
      <c r="H499" s="103"/>
    </row>
    <row r="500" spans="8:8" ht="12.75">
      <c r="H500" s="103"/>
    </row>
    <row r="501" spans="8:8" ht="12.75">
      <c r="H501" s="103"/>
    </row>
    <row r="502" spans="8:8" ht="12.75">
      <c r="H502" s="103"/>
    </row>
    <row r="503" spans="8:8" ht="12.75">
      <c r="H503" s="103"/>
    </row>
    <row r="504" spans="8:8" ht="12.75">
      <c r="H504" s="103"/>
    </row>
    <row r="505" spans="8:8" ht="12.75">
      <c r="H505" s="103"/>
    </row>
    <row r="506" spans="8:8" ht="12.75">
      <c r="H506" s="103"/>
    </row>
    <row r="507" spans="8:8" ht="12.75">
      <c r="H507" s="103"/>
    </row>
    <row r="508" spans="8:8" ht="12.75">
      <c r="H508" s="103"/>
    </row>
    <row r="509" spans="8:8" ht="12.75">
      <c r="H509" s="103"/>
    </row>
    <row r="510" spans="8:8" ht="12.75">
      <c r="H510" s="103"/>
    </row>
    <row r="511" spans="8:8" ht="12.75">
      <c r="H511" s="103"/>
    </row>
    <row r="512" spans="8:8" ht="12.75">
      <c r="H512" s="103"/>
    </row>
    <row r="513" spans="8:8" ht="12.75">
      <c r="H513" s="103"/>
    </row>
    <row r="514" spans="8:8" ht="12.75">
      <c r="H514" s="103"/>
    </row>
    <row r="515" spans="8:8" ht="12.75">
      <c r="H515" s="103"/>
    </row>
    <row r="516" spans="8:8" ht="12.75">
      <c r="H516" s="103"/>
    </row>
    <row r="517" spans="8:8" ht="12.75">
      <c r="H517" s="103"/>
    </row>
    <row r="518" spans="8:8" ht="12.75">
      <c r="H518" s="103"/>
    </row>
    <row r="519" spans="8:8" ht="12.75">
      <c r="H519" s="103"/>
    </row>
    <row r="520" spans="8:8" ht="12.75">
      <c r="H520" s="103"/>
    </row>
    <row r="521" spans="8:8" ht="12.75">
      <c r="H521" s="103"/>
    </row>
    <row r="522" spans="8:8" ht="12.75">
      <c r="H522" s="103"/>
    </row>
    <row r="523" spans="8:8" ht="12.75">
      <c r="H523" s="103"/>
    </row>
    <row r="524" spans="8:8" ht="12.75">
      <c r="H524" s="103"/>
    </row>
    <row r="525" spans="8:8" ht="12.75">
      <c r="H525" s="103"/>
    </row>
    <row r="526" spans="8:8" ht="12.75">
      <c r="H526" s="103"/>
    </row>
    <row r="527" spans="8:8" ht="12.75">
      <c r="H527" s="103"/>
    </row>
    <row r="528" spans="8:8" ht="12.75">
      <c r="H528" s="103"/>
    </row>
    <row r="529" spans="8:8" ht="12.75">
      <c r="H529" s="103"/>
    </row>
    <row r="530" spans="8:8" ht="12.75">
      <c r="H530" s="103"/>
    </row>
    <row r="531" spans="8:8" ht="12.75">
      <c r="H531" s="103"/>
    </row>
    <row r="532" spans="8:8" ht="12.75">
      <c r="H532" s="103"/>
    </row>
    <row r="533" spans="8:8" ht="12.75">
      <c r="H533" s="103"/>
    </row>
    <row r="534" spans="8:8" ht="12.75">
      <c r="H534" s="103"/>
    </row>
    <row r="535" spans="8:8" ht="12.75">
      <c r="H535" s="103"/>
    </row>
    <row r="536" spans="8:8" ht="12.75">
      <c r="H536" s="103"/>
    </row>
    <row r="537" spans="8:8" ht="12.75">
      <c r="H537" s="103"/>
    </row>
    <row r="538" spans="8:8" ht="12.75">
      <c r="H538" s="103"/>
    </row>
    <row r="539" spans="8:8" ht="12.75">
      <c r="H539" s="103"/>
    </row>
    <row r="540" spans="8:8" ht="12.75">
      <c r="H540" s="103"/>
    </row>
    <row r="541" spans="8:8" ht="12.75">
      <c r="H541" s="103"/>
    </row>
    <row r="542" spans="8:8" ht="12.75">
      <c r="H542" s="103"/>
    </row>
    <row r="543" spans="8:8" ht="12.75">
      <c r="H543" s="103"/>
    </row>
    <row r="544" spans="8:8" ht="12.75">
      <c r="H544" s="103"/>
    </row>
    <row r="545" spans="8:8" ht="12.75">
      <c r="H545" s="103"/>
    </row>
    <row r="546" spans="8:8" ht="12.75">
      <c r="H546" s="103"/>
    </row>
    <row r="547" spans="8:8" ht="12.75">
      <c r="H547" s="103"/>
    </row>
    <row r="548" spans="8:8" ht="12.75">
      <c r="H548" s="103"/>
    </row>
    <row r="549" spans="8:8" ht="12.75">
      <c r="H549" s="103"/>
    </row>
    <row r="550" spans="8:8" ht="12.75">
      <c r="H550" s="103"/>
    </row>
    <row r="551" spans="8:8" ht="12.75">
      <c r="H551" s="103"/>
    </row>
    <row r="552" spans="8:8" ht="12.75">
      <c r="H552" s="103"/>
    </row>
    <row r="553" spans="8:8" ht="12.75">
      <c r="H553" s="103"/>
    </row>
    <row r="554" spans="8:8" ht="12.75">
      <c r="H554" s="103"/>
    </row>
    <row r="555" spans="8:8" ht="12.75">
      <c r="H555" s="103"/>
    </row>
    <row r="556" spans="8:8" ht="12.75">
      <c r="H556" s="103"/>
    </row>
    <row r="557" spans="8:8" ht="12.75">
      <c r="H557" s="103"/>
    </row>
    <row r="558" spans="8:8" ht="12.75">
      <c r="H558" s="103"/>
    </row>
    <row r="559" spans="8:8" ht="12.75">
      <c r="H559" s="103"/>
    </row>
    <row r="560" spans="8:8" ht="12.75">
      <c r="H560" s="103"/>
    </row>
    <row r="561" spans="8:8" ht="12.75">
      <c r="H561" s="103"/>
    </row>
    <row r="562" spans="8:8" ht="12.75">
      <c r="H562" s="103"/>
    </row>
    <row r="563" spans="8:8" ht="12.75">
      <c r="H563" s="103"/>
    </row>
    <row r="564" spans="8:8" ht="12.75">
      <c r="H564" s="103"/>
    </row>
    <row r="565" spans="8:8" ht="12.75">
      <c r="H565" s="103"/>
    </row>
    <row r="566" spans="8:8" ht="12.75">
      <c r="H566" s="103"/>
    </row>
    <row r="567" spans="8:8" ht="12.75">
      <c r="H567" s="103"/>
    </row>
    <row r="568" spans="8:8" ht="12.75">
      <c r="H568" s="103"/>
    </row>
    <row r="569" spans="8:8" ht="12.75">
      <c r="H569" s="103"/>
    </row>
    <row r="570" spans="8:8" ht="12.75">
      <c r="H570" s="103"/>
    </row>
    <row r="571" spans="8:8" ht="12.75">
      <c r="H571" s="103"/>
    </row>
    <row r="572" spans="8:8" ht="12.75">
      <c r="H572" s="103"/>
    </row>
    <row r="573" spans="8:8" ht="12.75">
      <c r="H573" s="103"/>
    </row>
    <row r="574" spans="8:8" ht="12.75">
      <c r="H574" s="103"/>
    </row>
    <row r="575" spans="8:8" ht="12.75">
      <c r="H575" s="103"/>
    </row>
    <row r="576" spans="8:8" ht="12.75">
      <c r="H576" s="103"/>
    </row>
    <row r="577" spans="8:8" ht="12.75">
      <c r="H577" s="103"/>
    </row>
    <row r="578" spans="8:8" ht="12.75">
      <c r="H578" s="103"/>
    </row>
    <row r="579" spans="8:8" ht="12.75">
      <c r="H579" s="103"/>
    </row>
    <row r="580" spans="8:8" ht="12.75">
      <c r="H580" s="103"/>
    </row>
    <row r="581" spans="8:8" ht="12.75">
      <c r="H581" s="103"/>
    </row>
    <row r="582" spans="8:8" ht="12.75">
      <c r="H582" s="103"/>
    </row>
    <row r="583" spans="8:8" ht="12.75">
      <c r="H583" s="103"/>
    </row>
    <row r="584" spans="8:8" ht="12.75">
      <c r="H584" s="103"/>
    </row>
    <row r="585" spans="8:8" ht="12.75">
      <c r="H585" s="103"/>
    </row>
    <row r="586" spans="8:8" ht="12.75">
      <c r="H586" s="103"/>
    </row>
    <row r="587" spans="8:8" ht="12.75">
      <c r="H587" s="103"/>
    </row>
    <row r="588" spans="8:8" ht="12.75">
      <c r="H588" s="103"/>
    </row>
    <row r="589" spans="8:8" ht="12.75">
      <c r="H589" s="103"/>
    </row>
    <row r="590" spans="8:8" ht="12.75">
      <c r="H590" s="103"/>
    </row>
    <row r="591" spans="8:8" ht="12.75">
      <c r="H591" s="103"/>
    </row>
    <row r="592" spans="8:8" ht="12.75">
      <c r="H592" s="103"/>
    </row>
    <row r="593" spans="8:8" ht="12.75">
      <c r="H593" s="103"/>
    </row>
    <row r="594" spans="8:8" ht="12.75">
      <c r="H594" s="103"/>
    </row>
    <row r="595" spans="8:8" ht="12.75">
      <c r="H595" s="103"/>
    </row>
    <row r="596" spans="8:8" ht="12.75">
      <c r="H596" s="103"/>
    </row>
    <row r="597" spans="8:8" ht="12.75">
      <c r="H597" s="103"/>
    </row>
    <row r="598" spans="8:8" ht="12.75">
      <c r="H598" s="103"/>
    </row>
    <row r="599" spans="8:8" ht="12.75">
      <c r="H599" s="103"/>
    </row>
    <row r="600" spans="8:8" ht="12.75">
      <c r="H600" s="103"/>
    </row>
    <row r="601" spans="8:8" ht="12.75">
      <c r="H601" s="103"/>
    </row>
    <row r="602" spans="8:8" ht="12.75">
      <c r="H602" s="103"/>
    </row>
    <row r="603" spans="8:8" ht="12.75">
      <c r="H603" s="103"/>
    </row>
    <row r="604" spans="8:8" ht="12.75">
      <c r="H604" s="103"/>
    </row>
    <row r="605" spans="8:8" ht="12.75">
      <c r="H605" s="103"/>
    </row>
    <row r="606" spans="8:8" ht="12.75">
      <c r="H606" s="103"/>
    </row>
    <row r="607" spans="8:8" ht="12.75">
      <c r="H607" s="103"/>
    </row>
    <row r="608" spans="8:8" ht="12.75">
      <c r="H608" s="103"/>
    </row>
    <row r="609" spans="8:8" ht="12.75">
      <c r="H609" s="103"/>
    </row>
    <row r="610" spans="8:8" ht="12.75">
      <c r="H610" s="103"/>
    </row>
    <row r="611" spans="8:8" ht="12.75">
      <c r="H611" s="103"/>
    </row>
    <row r="612" spans="8:8" ht="12.75">
      <c r="H612" s="103"/>
    </row>
    <row r="613" spans="8:8" ht="12.75">
      <c r="H613" s="103"/>
    </row>
    <row r="614" spans="8:8" ht="12.75">
      <c r="H614" s="103"/>
    </row>
    <row r="615" spans="8:8" ht="12.75">
      <c r="H615" s="103"/>
    </row>
    <row r="616" spans="8:8" ht="12.75">
      <c r="H616" s="103"/>
    </row>
    <row r="617" spans="8:8" ht="12.75">
      <c r="H617" s="103"/>
    </row>
    <row r="618" spans="8:8" ht="12.75">
      <c r="H618" s="103"/>
    </row>
    <row r="619" spans="8:8" ht="12.75">
      <c r="H619" s="103"/>
    </row>
    <row r="620" spans="8:8" ht="12.75">
      <c r="H620" s="103"/>
    </row>
    <row r="621" spans="8:8" ht="12.75">
      <c r="H621" s="103"/>
    </row>
    <row r="622" spans="8:8" ht="12.75">
      <c r="H622" s="103"/>
    </row>
    <row r="623" spans="8:8" ht="12.75">
      <c r="H623" s="103"/>
    </row>
    <row r="624" spans="8:8" ht="12.75">
      <c r="H624" s="103"/>
    </row>
    <row r="625" spans="8:8" ht="12.75">
      <c r="H625" s="103"/>
    </row>
    <row r="626" spans="8:8" ht="12.75">
      <c r="H626" s="103"/>
    </row>
    <row r="627" spans="8:8" ht="12.75">
      <c r="H627" s="103"/>
    </row>
    <row r="628" spans="8:8" ht="12.75">
      <c r="H628" s="103"/>
    </row>
    <row r="629" spans="8:8" ht="12.75">
      <c r="H629" s="103"/>
    </row>
    <row r="630" spans="8:8" ht="12.75">
      <c r="H630" s="103"/>
    </row>
    <row r="631" spans="8:8" ht="12.75">
      <c r="H631" s="103"/>
    </row>
    <row r="632" spans="8:8" ht="12.75">
      <c r="H632" s="103"/>
    </row>
    <row r="633" spans="8:8" ht="12.75">
      <c r="H633" s="103"/>
    </row>
    <row r="634" spans="8:8" ht="12.75">
      <c r="H634" s="103"/>
    </row>
    <row r="635" spans="8:8" ht="12.75">
      <c r="H635" s="103"/>
    </row>
    <row r="636" spans="8:8" ht="12.75">
      <c r="H636" s="103"/>
    </row>
    <row r="637" spans="8:8" ht="12.75">
      <c r="H637" s="103"/>
    </row>
    <row r="638" spans="8:8" ht="12.75">
      <c r="H638" s="103"/>
    </row>
    <row r="639" spans="8:8" ht="12.75">
      <c r="H639" s="103"/>
    </row>
    <row r="640" spans="8:8" ht="12.75">
      <c r="H640" s="103"/>
    </row>
    <row r="641" spans="8:8" ht="12.75">
      <c r="H641" s="103"/>
    </row>
    <row r="642" spans="8:8" ht="12.75">
      <c r="H642" s="103"/>
    </row>
    <row r="643" spans="8:8" ht="12.75">
      <c r="H643" s="103"/>
    </row>
    <row r="644" spans="8:8" ht="12.75">
      <c r="H644" s="103"/>
    </row>
    <row r="645" spans="8:8" ht="12.75">
      <c r="H645" s="103"/>
    </row>
    <row r="646" spans="8:8" ht="12.75">
      <c r="H646" s="103"/>
    </row>
    <row r="647" spans="8:8" ht="12.75">
      <c r="H647" s="103"/>
    </row>
    <row r="648" spans="8:8" ht="12.75">
      <c r="H648" s="103"/>
    </row>
    <row r="649" spans="8:8" ht="12.75">
      <c r="H649" s="103"/>
    </row>
    <row r="650" spans="8:8" ht="12.75">
      <c r="H650" s="103"/>
    </row>
    <row r="651" spans="8:8" ht="12.75">
      <c r="H651" s="103"/>
    </row>
    <row r="652" spans="8:8" ht="12.75">
      <c r="H652" s="103"/>
    </row>
    <row r="653" spans="8:8" ht="12.75">
      <c r="H653" s="103"/>
    </row>
    <row r="654" spans="8:8" ht="12.75">
      <c r="H654" s="103"/>
    </row>
    <row r="655" spans="8:8" ht="12.75">
      <c r="H655" s="103"/>
    </row>
    <row r="656" spans="8:8" ht="12.75">
      <c r="H656" s="103"/>
    </row>
    <row r="657" spans="8:8" ht="12.75">
      <c r="H657" s="103"/>
    </row>
    <row r="658" spans="8:8" ht="12.75">
      <c r="H658" s="103"/>
    </row>
    <row r="659" spans="8:8" ht="12.75">
      <c r="H659" s="103"/>
    </row>
    <row r="660" spans="8:8" ht="12.75">
      <c r="H660" s="103"/>
    </row>
    <row r="661" spans="8:8" ht="12.75">
      <c r="H661" s="103"/>
    </row>
    <row r="662" spans="8:8" ht="12.75">
      <c r="H662" s="103"/>
    </row>
    <row r="663" spans="8:8" ht="12.75">
      <c r="H663" s="103"/>
    </row>
    <row r="664" spans="8:8" ht="12.75">
      <c r="H664" s="103"/>
    </row>
    <row r="665" spans="8:8" ht="12.75">
      <c r="H665" s="103"/>
    </row>
    <row r="666" spans="8:8" ht="12.75">
      <c r="H666" s="103"/>
    </row>
    <row r="667" spans="8:8" ht="12.75">
      <c r="H667" s="103"/>
    </row>
    <row r="668" spans="8:8" ht="12.75">
      <c r="H668" s="103"/>
    </row>
    <row r="669" spans="8:8" ht="12.75">
      <c r="H669" s="103"/>
    </row>
    <row r="670" spans="8:8" ht="12.75">
      <c r="H670" s="103"/>
    </row>
    <row r="671" spans="8:8" ht="12.75">
      <c r="H671" s="103"/>
    </row>
    <row r="672" spans="8:8" ht="12.75">
      <c r="H672" s="103"/>
    </row>
    <row r="673" spans="8:8" ht="12.75">
      <c r="H673" s="103"/>
    </row>
    <row r="674" spans="8:8" ht="12.75">
      <c r="H674" s="103"/>
    </row>
    <row r="675" spans="8:8" ht="12.75">
      <c r="H675" s="103"/>
    </row>
    <row r="676" spans="8:8" ht="12.75">
      <c r="H676" s="103"/>
    </row>
    <row r="677" spans="8:8" ht="12.75">
      <c r="H677" s="103"/>
    </row>
    <row r="678" spans="8:8" ht="12.75">
      <c r="H678" s="103"/>
    </row>
    <row r="679" spans="8:8" ht="12.75">
      <c r="H679" s="103"/>
    </row>
    <row r="680" spans="8:8" ht="12.75">
      <c r="H680" s="103"/>
    </row>
    <row r="681" spans="8:8" ht="12.75">
      <c r="H681" s="103"/>
    </row>
    <row r="682" spans="8:8" ht="12.75">
      <c r="H682" s="103"/>
    </row>
    <row r="683" spans="8:8" ht="12.75">
      <c r="H683" s="103"/>
    </row>
    <row r="684" spans="8:8" ht="12.75">
      <c r="H684" s="103"/>
    </row>
    <row r="685" spans="8:8" ht="12.75">
      <c r="H685" s="103"/>
    </row>
    <row r="686" spans="8:8" ht="12.75">
      <c r="H686" s="103"/>
    </row>
    <row r="687" spans="8:8" ht="12.75">
      <c r="H687" s="103"/>
    </row>
    <row r="688" spans="8:8" ht="12.75">
      <c r="H688" s="103"/>
    </row>
    <row r="689" spans="8:8" ht="12.75">
      <c r="H689" s="103"/>
    </row>
    <row r="690" spans="8:8" ht="12.75">
      <c r="H690" s="103"/>
    </row>
    <row r="691" spans="8:8" ht="12.75">
      <c r="H691" s="103"/>
    </row>
    <row r="692" spans="8:8" ht="12.75">
      <c r="H692" s="103"/>
    </row>
    <row r="693" spans="8:8" ht="12.75">
      <c r="H693" s="103"/>
    </row>
    <row r="694" spans="8:8" ht="12.75">
      <c r="H694" s="103"/>
    </row>
    <row r="695" spans="8:8" ht="12.75">
      <c r="H695" s="103"/>
    </row>
    <row r="696" spans="8:8" ht="12.75">
      <c r="H696" s="103"/>
    </row>
    <row r="697" spans="8:8" ht="12.75">
      <c r="H697" s="103"/>
    </row>
    <row r="698" spans="8:8" ht="12.75">
      <c r="H698" s="103"/>
    </row>
    <row r="699" spans="8:8" ht="12.75">
      <c r="H699" s="103"/>
    </row>
    <row r="700" spans="8:8" ht="12.75">
      <c r="H700" s="103"/>
    </row>
    <row r="701" spans="8:8" ht="12.75">
      <c r="H701" s="103"/>
    </row>
    <row r="702" spans="8:8" ht="12.75">
      <c r="H702" s="103"/>
    </row>
    <row r="703" spans="8:8" ht="12.75">
      <c r="H703" s="103"/>
    </row>
    <row r="704" spans="8:8" ht="12.75">
      <c r="H704" s="103"/>
    </row>
    <row r="705" spans="8:8" ht="12.75">
      <c r="H705" s="103"/>
    </row>
    <row r="706" spans="8:8" ht="12.75">
      <c r="H706" s="103"/>
    </row>
    <row r="707" spans="8:8" ht="12.75">
      <c r="H707" s="103"/>
    </row>
    <row r="708" spans="8:8" ht="12.75">
      <c r="H708" s="103"/>
    </row>
    <row r="709" spans="8:8" ht="12.75">
      <c r="H709" s="103"/>
    </row>
    <row r="710" spans="8:8" ht="12.75">
      <c r="H710" s="103"/>
    </row>
    <row r="711" spans="8:8" ht="12.75">
      <c r="H711" s="103"/>
    </row>
    <row r="712" spans="8:8" ht="12.75">
      <c r="H712" s="103"/>
    </row>
    <row r="713" spans="8:8" ht="12.75">
      <c r="H713" s="103"/>
    </row>
    <row r="714" spans="8:8" ht="12.75">
      <c r="H714" s="103"/>
    </row>
    <row r="715" spans="8:8" ht="12.75">
      <c r="H715" s="103"/>
    </row>
    <row r="716" spans="8:8" ht="12.75">
      <c r="H716" s="103"/>
    </row>
    <row r="717" spans="8:8" ht="12.75">
      <c r="H717" s="103"/>
    </row>
    <row r="718" spans="8:8" ht="12.75">
      <c r="H718" s="103"/>
    </row>
    <row r="719" spans="8:8" ht="12.75">
      <c r="H719" s="103"/>
    </row>
    <row r="720" spans="8:8" ht="12.75">
      <c r="H720" s="103"/>
    </row>
    <row r="721" spans="8:8" ht="12.75">
      <c r="H721" s="103"/>
    </row>
    <row r="722" spans="8:8" ht="12.75">
      <c r="H722" s="103"/>
    </row>
    <row r="723" spans="8:8" ht="12.75">
      <c r="H723" s="103"/>
    </row>
    <row r="724" spans="8:8" ht="12.75">
      <c r="H724" s="103"/>
    </row>
    <row r="725" spans="8:8" ht="12.75">
      <c r="H725" s="103"/>
    </row>
    <row r="726" spans="8:8" ht="12.75">
      <c r="H726" s="103"/>
    </row>
    <row r="727" spans="8:8" ht="12.75">
      <c r="H727" s="103"/>
    </row>
    <row r="728" spans="8:8" ht="12.75">
      <c r="H728" s="103"/>
    </row>
    <row r="729" spans="8:8" ht="12.75">
      <c r="H729" s="103"/>
    </row>
    <row r="730" spans="8:8" ht="12.75">
      <c r="H730" s="103"/>
    </row>
    <row r="731" spans="8:8" ht="12.75">
      <c r="H731" s="103"/>
    </row>
    <row r="732" spans="8:8" ht="12.75">
      <c r="H732" s="103"/>
    </row>
    <row r="733" spans="8:8" ht="12.75">
      <c r="H733" s="103"/>
    </row>
    <row r="734" spans="8:8" ht="12.75">
      <c r="H734" s="103"/>
    </row>
    <row r="735" spans="8:8" ht="12.75">
      <c r="H735" s="103"/>
    </row>
    <row r="736" spans="8:8" ht="12.75">
      <c r="H736" s="103"/>
    </row>
    <row r="737" spans="8:8" ht="12.75">
      <c r="H737" s="103"/>
    </row>
    <row r="738" spans="8:8" ht="12.75">
      <c r="H738" s="103"/>
    </row>
    <row r="739" spans="8:8" ht="12.75">
      <c r="H739" s="103"/>
    </row>
    <row r="740" spans="8:8" ht="12.75">
      <c r="H740" s="103"/>
    </row>
    <row r="741" spans="8:8" ht="12.75">
      <c r="H741" s="103"/>
    </row>
    <row r="742" spans="8:8" ht="12.75">
      <c r="H742" s="103"/>
    </row>
    <row r="743" spans="8:8" ht="12.75">
      <c r="H743" s="103"/>
    </row>
    <row r="744" spans="8:8" ht="12.75">
      <c r="H744" s="103"/>
    </row>
    <row r="745" spans="8:8" ht="12.75">
      <c r="H745" s="103"/>
    </row>
    <row r="746" spans="8:8" ht="12.75">
      <c r="H746" s="103"/>
    </row>
    <row r="747" spans="8:8" ht="12.75">
      <c r="H747" s="103"/>
    </row>
    <row r="748" spans="8:8" ht="12.75">
      <c r="H748" s="103"/>
    </row>
    <row r="749" spans="8:8" ht="12.75">
      <c r="H749" s="103"/>
    </row>
    <row r="750" spans="8:8" ht="12.75">
      <c r="H750" s="103"/>
    </row>
    <row r="751" spans="8:8" ht="12.75">
      <c r="H751" s="103"/>
    </row>
    <row r="752" spans="8:8" ht="12.75">
      <c r="H752" s="103"/>
    </row>
    <row r="753" spans="8:8" ht="12.75">
      <c r="H753" s="103"/>
    </row>
    <row r="754" spans="8:8" ht="12.75">
      <c r="H754" s="103"/>
    </row>
    <row r="755" spans="8:8" ht="12.75">
      <c r="H755" s="103"/>
    </row>
    <row r="756" spans="8:8" ht="12.75">
      <c r="H756" s="103"/>
    </row>
    <row r="757" spans="8:8" ht="12.75">
      <c r="H757" s="103"/>
    </row>
    <row r="758" spans="8:8" ht="12.75">
      <c r="H758" s="103"/>
    </row>
    <row r="759" spans="8:8" ht="12.75">
      <c r="H759" s="103"/>
    </row>
    <row r="760" spans="8:8" ht="12.75">
      <c r="H760" s="103"/>
    </row>
    <row r="761" spans="8:8" ht="12.75">
      <c r="H761" s="103"/>
    </row>
    <row r="762" spans="8:8" ht="12.75">
      <c r="H762" s="103"/>
    </row>
    <row r="763" spans="8:8" ht="12.75">
      <c r="H763" s="103"/>
    </row>
    <row r="764" spans="8:8" ht="12.75">
      <c r="H764" s="103"/>
    </row>
    <row r="765" spans="8:8" ht="12.75">
      <c r="H765" s="103"/>
    </row>
    <row r="766" spans="8:8" ht="12.75">
      <c r="H766" s="103"/>
    </row>
    <row r="767" spans="8:8" ht="12.75">
      <c r="H767" s="103"/>
    </row>
    <row r="768" spans="8:8" ht="12.75">
      <c r="H768" s="103"/>
    </row>
    <row r="769" spans="8:8" ht="12.75">
      <c r="H769" s="103"/>
    </row>
    <row r="770" spans="8:8" ht="12.75">
      <c r="H770" s="103"/>
    </row>
    <row r="771" spans="8:8" ht="12.75">
      <c r="H771" s="103"/>
    </row>
    <row r="772" spans="8:8" ht="12.75">
      <c r="H772" s="103"/>
    </row>
    <row r="773" spans="8:8" ht="12.75">
      <c r="H773" s="103"/>
    </row>
    <row r="774" spans="8:8" ht="12.75">
      <c r="H774" s="103"/>
    </row>
    <row r="775" spans="8:8" ht="12.75">
      <c r="H775" s="103"/>
    </row>
    <row r="776" spans="8:8" ht="12.75">
      <c r="H776" s="103"/>
    </row>
    <row r="777" spans="8:8" ht="12.75">
      <c r="H777" s="103"/>
    </row>
    <row r="778" spans="8:8" ht="12.75">
      <c r="H778" s="103"/>
    </row>
    <row r="779" spans="8:8" ht="12.75">
      <c r="H779" s="103"/>
    </row>
    <row r="780" spans="8:8" ht="12.75">
      <c r="H780" s="103"/>
    </row>
    <row r="781" spans="8:8" ht="12.75">
      <c r="H781" s="103"/>
    </row>
    <row r="782" spans="8:8" ht="12.75">
      <c r="H782" s="103"/>
    </row>
    <row r="783" spans="8:8" ht="12.75">
      <c r="H783" s="103"/>
    </row>
    <row r="784" spans="8:8" ht="12.75">
      <c r="H784" s="103"/>
    </row>
    <row r="785" spans="8:8" ht="12.75">
      <c r="H785" s="103"/>
    </row>
    <row r="786" spans="8:8" ht="12.75">
      <c r="H786" s="103"/>
    </row>
    <row r="787" spans="8:8" ht="12.75">
      <c r="H787" s="103"/>
    </row>
    <row r="788" spans="8:8" ht="12.75">
      <c r="H788" s="103"/>
    </row>
    <row r="789" spans="8:8" ht="12.75">
      <c r="H789" s="103"/>
    </row>
    <row r="790" spans="8:8" ht="12.75">
      <c r="H790" s="103"/>
    </row>
    <row r="791" spans="8:8" ht="12.75">
      <c r="H791" s="103"/>
    </row>
    <row r="792" spans="8:8" ht="12.75">
      <c r="H792" s="103"/>
    </row>
    <row r="793" spans="8:8" ht="12.75">
      <c r="H793" s="103"/>
    </row>
    <row r="794" spans="8:8" ht="12.75">
      <c r="H794" s="103"/>
    </row>
    <row r="795" spans="8:8" ht="12.75">
      <c r="H795" s="103"/>
    </row>
    <row r="796" spans="8:8" ht="12.75">
      <c r="H796" s="103"/>
    </row>
    <row r="797" spans="8:8" ht="12.75">
      <c r="H797" s="103"/>
    </row>
    <row r="798" spans="8:8" ht="12.75">
      <c r="H798" s="103"/>
    </row>
    <row r="799" spans="8:8" ht="12.75">
      <c r="H799" s="103"/>
    </row>
    <row r="800" spans="8:8" ht="12.75">
      <c r="H800" s="103"/>
    </row>
    <row r="801" spans="8:8" ht="12.75">
      <c r="H801" s="103"/>
    </row>
    <row r="802" spans="8:8" ht="12.75">
      <c r="H802" s="103"/>
    </row>
    <row r="803" spans="8:8" ht="12.75">
      <c r="H803" s="103"/>
    </row>
    <row r="804" spans="8:8" ht="12.75">
      <c r="H804" s="103"/>
    </row>
    <row r="805" spans="8:8" ht="12.75">
      <c r="H805" s="103"/>
    </row>
    <row r="806" spans="8:8" ht="12.75">
      <c r="H806" s="103"/>
    </row>
    <row r="807" spans="8:8" ht="12.75">
      <c r="H807" s="103"/>
    </row>
    <row r="808" spans="8:8" ht="12.75">
      <c r="H808" s="103"/>
    </row>
    <row r="809" spans="8:8" ht="12.75">
      <c r="H809" s="103"/>
    </row>
    <row r="810" spans="8:8" ht="12.75">
      <c r="H810" s="103"/>
    </row>
    <row r="811" spans="8:8" ht="12.75">
      <c r="H811" s="103"/>
    </row>
    <row r="812" spans="8:8" ht="12.75">
      <c r="H812" s="103"/>
    </row>
    <row r="813" spans="8:8" ht="12.75">
      <c r="H813" s="103"/>
    </row>
    <row r="814" spans="8:8" ht="12.75">
      <c r="H814" s="103"/>
    </row>
    <row r="815" spans="8:8" ht="12.75">
      <c r="H815" s="103"/>
    </row>
    <row r="816" spans="8:8" ht="12.75">
      <c r="H816" s="103"/>
    </row>
    <row r="817" spans="8:8" ht="12.75">
      <c r="H817" s="103"/>
    </row>
    <row r="818" spans="8:8" ht="12.75">
      <c r="H818" s="103"/>
    </row>
    <row r="819" spans="8:8" ht="12.75">
      <c r="H819" s="103"/>
    </row>
    <row r="820" spans="8:8" ht="12.75">
      <c r="H820" s="103"/>
    </row>
    <row r="821" spans="8:8" ht="12.75">
      <c r="H821" s="103"/>
    </row>
    <row r="822" spans="8:8" ht="12.75">
      <c r="H822" s="103"/>
    </row>
    <row r="823" spans="8:8" ht="12.75">
      <c r="H823" s="103"/>
    </row>
    <row r="824" spans="8:8" ht="12.75">
      <c r="H824" s="103"/>
    </row>
    <row r="825" spans="8:8" ht="12.75">
      <c r="H825" s="103"/>
    </row>
    <row r="826" spans="8:8" ht="12.75">
      <c r="H826" s="103"/>
    </row>
    <row r="827" spans="8:8" ht="12.75">
      <c r="H827" s="103"/>
    </row>
    <row r="828" spans="8:8" ht="12.75">
      <c r="H828" s="103"/>
    </row>
    <row r="829" spans="8:8" ht="12.75">
      <c r="H829" s="103"/>
    </row>
    <row r="830" spans="8:8" ht="12.75">
      <c r="H830" s="103"/>
    </row>
    <row r="831" spans="8:8" ht="12.75">
      <c r="H831" s="103"/>
    </row>
    <row r="832" spans="8:8" ht="12.75">
      <c r="H832" s="103"/>
    </row>
    <row r="833" spans="8:8" ht="12.75">
      <c r="H833" s="103"/>
    </row>
    <row r="834" spans="8:8" ht="12.75">
      <c r="H834" s="103"/>
    </row>
    <row r="835" spans="8:8" ht="12.75">
      <c r="H835" s="103"/>
    </row>
    <row r="836" spans="8:8" ht="12.75">
      <c r="H836" s="103"/>
    </row>
    <row r="837" spans="8:8" ht="12.75">
      <c r="H837" s="103"/>
    </row>
    <row r="838" spans="8:8" ht="12.75">
      <c r="H838" s="103"/>
    </row>
    <row r="839" spans="8:8" ht="12.75">
      <c r="H839" s="103"/>
    </row>
    <row r="840" spans="8:8" ht="12.75">
      <c r="H840" s="103"/>
    </row>
    <row r="841" spans="8:8" ht="12.75">
      <c r="H841" s="103"/>
    </row>
    <row r="842" spans="8:8" ht="12.75">
      <c r="H842" s="103"/>
    </row>
    <row r="843" spans="8:8" ht="12.75">
      <c r="H843" s="103"/>
    </row>
    <row r="844" spans="8:8" ht="12.75">
      <c r="H844" s="103"/>
    </row>
    <row r="845" spans="8:8" ht="12.75">
      <c r="H845" s="103"/>
    </row>
    <row r="846" spans="8:8" ht="12.75">
      <c r="H846" s="103"/>
    </row>
    <row r="847" spans="8:8" ht="12.75">
      <c r="H847" s="103"/>
    </row>
    <row r="848" spans="8:8" ht="12.75">
      <c r="H848" s="103"/>
    </row>
    <row r="849" spans="8:8" ht="12.75">
      <c r="H849" s="103"/>
    </row>
    <row r="850" spans="8:8" ht="12.75">
      <c r="H850" s="103"/>
    </row>
    <row r="851" spans="8:8" ht="12.75">
      <c r="H851" s="103"/>
    </row>
    <row r="852" spans="8:8" ht="12.75">
      <c r="H852" s="103"/>
    </row>
    <row r="853" spans="8:8" ht="12.75">
      <c r="H853" s="103"/>
    </row>
    <row r="854" spans="8:8" ht="12.75">
      <c r="H854" s="103"/>
    </row>
    <row r="855" spans="8:8" ht="12.75">
      <c r="H855" s="103"/>
    </row>
    <row r="856" spans="8:8" ht="12.75">
      <c r="H856" s="103"/>
    </row>
    <row r="857" spans="8:8" ht="12.75">
      <c r="H857" s="103"/>
    </row>
    <row r="858" spans="8:8" ht="12.75">
      <c r="H858" s="103"/>
    </row>
    <row r="859" spans="8:8" ht="12.75">
      <c r="H859" s="103"/>
    </row>
    <row r="860" spans="8:8" ht="12.75">
      <c r="H860" s="103"/>
    </row>
    <row r="861" spans="8:8" ht="12.75">
      <c r="H861" s="103"/>
    </row>
    <row r="862" spans="8:8" ht="12.75">
      <c r="H862" s="103"/>
    </row>
    <row r="863" spans="8:8" ht="12.75">
      <c r="H863" s="103"/>
    </row>
    <row r="864" spans="8:8" ht="12.75">
      <c r="H864" s="103"/>
    </row>
    <row r="865" spans="8:8" ht="12.75">
      <c r="H865" s="103"/>
    </row>
    <row r="866" spans="8:8" ht="12.75">
      <c r="H866" s="103"/>
    </row>
    <row r="867" spans="8:8" ht="12.75">
      <c r="H867" s="103"/>
    </row>
    <row r="868" spans="8:8" ht="12.75">
      <c r="H868" s="103"/>
    </row>
    <row r="869" spans="8:8" ht="12.75">
      <c r="H869" s="103"/>
    </row>
    <row r="870" spans="8:8" ht="12.75">
      <c r="H870" s="103"/>
    </row>
    <row r="871" spans="8:8" ht="12.75">
      <c r="H871" s="103"/>
    </row>
    <row r="872" spans="8:8" ht="12.75">
      <c r="H872" s="103"/>
    </row>
    <row r="873" spans="8:8" ht="12.75">
      <c r="H873" s="103"/>
    </row>
    <row r="874" spans="8:8" ht="12.75">
      <c r="H874" s="103"/>
    </row>
    <row r="875" spans="8:8" ht="12.75">
      <c r="H875" s="103"/>
    </row>
    <row r="876" spans="8:8" ht="12.75">
      <c r="H876" s="103"/>
    </row>
    <row r="877" spans="8:8" ht="12.75">
      <c r="H877" s="103"/>
    </row>
    <row r="878" spans="8:8" ht="12.75">
      <c r="H878" s="103"/>
    </row>
    <row r="879" spans="8:8" ht="12.75">
      <c r="H879" s="103"/>
    </row>
    <row r="880" spans="8:8" ht="12.75">
      <c r="H880" s="103"/>
    </row>
    <row r="881" spans="8:8" ht="12.75">
      <c r="H881" s="103"/>
    </row>
    <row r="882" spans="8:8" ht="12.75">
      <c r="H882" s="103"/>
    </row>
    <row r="883" spans="8:8" ht="12.75">
      <c r="H883" s="103"/>
    </row>
    <row r="884" spans="8:8" ht="12.75">
      <c r="H884" s="103"/>
    </row>
    <row r="885" spans="8:8" ht="12.75">
      <c r="H885" s="103"/>
    </row>
    <row r="886" spans="8:8" ht="12.75">
      <c r="H886" s="103"/>
    </row>
    <row r="887" spans="8:8" ht="12.75">
      <c r="H887" s="103"/>
    </row>
    <row r="888" spans="8:8" ht="12.75">
      <c r="H888" s="103"/>
    </row>
    <row r="889" spans="8:8" ht="12.75">
      <c r="H889" s="103"/>
    </row>
    <row r="890" spans="8:8" ht="12.75">
      <c r="H890" s="103"/>
    </row>
    <row r="891" spans="8:8" ht="12.75">
      <c r="H891" s="103"/>
    </row>
    <row r="892" spans="8:8" ht="12.75">
      <c r="H892" s="103"/>
    </row>
    <row r="893" spans="8:8" ht="12.75">
      <c r="H893" s="103"/>
    </row>
    <row r="894" spans="8:8" ht="12.75">
      <c r="H894" s="103"/>
    </row>
    <row r="895" spans="8:8" ht="12.75">
      <c r="H895" s="103"/>
    </row>
    <row r="896" spans="8:8" ht="12.75">
      <c r="H896" s="103"/>
    </row>
    <row r="897" spans="8:8" ht="12.75">
      <c r="H897" s="103"/>
    </row>
    <row r="898" spans="8:8" ht="12.75">
      <c r="H898" s="103"/>
    </row>
    <row r="899" spans="8:8" ht="12.75">
      <c r="H899" s="103"/>
    </row>
    <row r="900" spans="8:8" ht="12.75">
      <c r="H900" s="103"/>
    </row>
    <row r="901" spans="8:8" ht="12.75">
      <c r="H901" s="103"/>
    </row>
    <row r="902" spans="8:8" ht="12.75">
      <c r="H902" s="103"/>
    </row>
    <row r="903" spans="8:8" ht="12.75">
      <c r="H903" s="103"/>
    </row>
    <row r="904" spans="8:8" ht="12.75">
      <c r="H904" s="103"/>
    </row>
    <row r="905" spans="8:8" ht="12.75">
      <c r="H905" s="103"/>
    </row>
    <row r="906" spans="8:8" ht="12.75">
      <c r="H906" s="103"/>
    </row>
    <row r="907" spans="8:8" ht="12.75">
      <c r="H907" s="103"/>
    </row>
    <row r="908" spans="8:8" ht="12.75">
      <c r="H908" s="103"/>
    </row>
    <row r="909" spans="8:8" ht="12.75">
      <c r="H909" s="103"/>
    </row>
    <row r="910" spans="8:8" ht="12.75">
      <c r="H910" s="103"/>
    </row>
    <row r="911" spans="8:8" ht="12.75">
      <c r="H911" s="103"/>
    </row>
    <row r="912" spans="8:8" ht="12.75">
      <c r="H912" s="103"/>
    </row>
    <row r="913" spans="8:8" ht="12.75">
      <c r="H913" s="103"/>
    </row>
    <row r="914" spans="8:8" ht="12.75">
      <c r="H914" s="103"/>
    </row>
    <row r="915" spans="8:8" ht="12.75">
      <c r="H915" s="103"/>
    </row>
    <row r="916" spans="8:8" ht="12.75">
      <c r="H916" s="103"/>
    </row>
    <row r="917" spans="8:8" ht="12.75">
      <c r="H917" s="103"/>
    </row>
    <row r="918" spans="8:8" ht="12.75">
      <c r="H918" s="103"/>
    </row>
    <row r="919" spans="8:8" ht="12.75">
      <c r="H919" s="103"/>
    </row>
    <row r="920" spans="8:8" ht="12.75">
      <c r="H920" s="103"/>
    </row>
    <row r="921" spans="8:8" ht="12.75">
      <c r="H921" s="103"/>
    </row>
    <row r="922" spans="8:8" ht="12.75">
      <c r="H922" s="103"/>
    </row>
    <row r="923" spans="8:8" ht="12.75">
      <c r="H923" s="103"/>
    </row>
    <row r="924" spans="8:8" ht="12.75">
      <c r="H924" s="103"/>
    </row>
    <row r="925" spans="8:8" ht="12.75">
      <c r="H925" s="103"/>
    </row>
    <row r="926" spans="8:8" ht="12.75">
      <c r="H926" s="103"/>
    </row>
    <row r="927" spans="8:8" ht="12.75">
      <c r="H927" s="103"/>
    </row>
    <row r="928" spans="8:8" ht="12.75">
      <c r="H928" s="103"/>
    </row>
    <row r="929" spans="8:8" ht="12.75">
      <c r="H929" s="103"/>
    </row>
    <row r="930" spans="8:8" ht="12.75">
      <c r="H930" s="103"/>
    </row>
    <row r="931" spans="8:8" ht="12.75">
      <c r="H931" s="103"/>
    </row>
    <row r="932" spans="8:8" ht="12.75">
      <c r="H932" s="103"/>
    </row>
    <row r="933" spans="8:8" ht="12.75">
      <c r="H933" s="103"/>
    </row>
    <row r="934" spans="8:8" ht="12.75">
      <c r="H934" s="103"/>
    </row>
    <row r="935" spans="8:8" ht="12.75">
      <c r="H935" s="103"/>
    </row>
    <row r="936" spans="8:8" ht="12.75">
      <c r="H936" s="103"/>
    </row>
    <row r="937" spans="8:8" ht="12.75">
      <c r="H937" s="103"/>
    </row>
    <row r="938" spans="8:8" ht="12.75">
      <c r="H938" s="103"/>
    </row>
    <row r="939" spans="8:8" ht="12.75">
      <c r="H939" s="103"/>
    </row>
    <row r="940" spans="8:8" ht="12.75">
      <c r="H940" s="103"/>
    </row>
    <row r="941" spans="8:8" ht="12.75">
      <c r="H941" s="103"/>
    </row>
    <row r="942" spans="8:8" ht="12.75">
      <c r="H942" s="103"/>
    </row>
    <row r="943" spans="8:8" ht="12.75">
      <c r="H943" s="103"/>
    </row>
    <row r="944" spans="8:8" ht="12.75">
      <c r="H944" s="103"/>
    </row>
    <row r="945" spans="8:8" ht="12.75">
      <c r="H945" s="103"/>
    </row>
    <row r="946" spans="8:8" ht="12.75">
      <c r="H946" s="103"/>
    </row>
    <row r="947" spans="8:8" ht="12.75">
      <c r="H947" s="103"/>
    </row>
    <row r="948" spans="8:8" ht="12.75">
      <c r="H948" s="103"/>
    </row>
    <row r="949" spans="8:8" ht="12.75">
      <c r="H949" s="103"/>
    </row>
    <row r="950" spans="8:8" ht="12.75">
      <c r="H950" s="103"/>
    </row>
    <row r="951" spans="8:8" ht="12.75">
      <c r="H951" s="103"/>
    </row>
    <row r="952" spans="8:8" ht="12.75">
      <c r="H952" s="103"/>
    </row>
    <row r="953" spans="8:8" ht="12.75">
      <c r="H953" s="103"/>
    </row>
    <row r="954" spans="8:8" ht="12.75">
      <c r="H954" s="103"/>
    </row>
    <row r="955" spans="8:8" ht="12.75">
      <c r="H955" s="103"/>
    </row>
    <row r="956" spans="8:8" ht="12.75">
      <c r="H956" s="103"/>
    </row>
    <row r="957" spans="8:8" ht="12.75">
      <c r="H957" s="103"/>
    </row>
    <row r="958" spans="8:8" ht="12.75">
      <c r="H958" s="103"/>
    </row>
    <row r="959" spans="8:8" ht="12.75">
      <c r="H959" s="103"/>
    </row>
    <row r="960" spans="8:8" ht="12.75">
      <c r="H960" s="103"/>
    </row>
    <row r="961" spans="8:8" ht="12.75">
      <c r="H961" s="103"/>
    </row>
    <row r="962" spans="8:8" ht="12.75">
      <c r="H962" s="103"/>
    </row>
    <row r="963" spans="8:8" ht="12.75">
      <c r="H963" s="103"/>
    </row>
    <row r="964" spans="8:8" ht="12.75">
      <c r="H964" s="103"/>
    </row>
    <row r="965" spans="8:8" ht="12.75">
      <c r="H965" s="103"/>
    </row>
    <row r="966" spans="8:8" ht="12.75">
      <c r="H966" s="103"/>
    </row>
    <row r="967" spans="8:8" ht="12.75">
      <c r="H967" s="103"/>
    </row>
    <row r="968" spans="8:8" ht="12.75">
      <c r="H968" s="103"/>
    </row>
    <row r="969" spans="8:8" ht="12.75">
      <c r="H969" s="103"/>
    </row>
    <row r="970" spans="8:8" ht="12.75">
      <c r="H970" s="103"/>
    </row>
    <row r="971" spans="8:8" ht="12.75">
      <c r="H971" s="103"/>
    </row>
    <row r="972" spans="8:8" ht="12.75">
      <c r="H972" s="103"/>
    </row>
    <row r="973" spans="8:8" ht="12.75">
      <c r="H973" s="103"/>
    </row>
    <row r="974" spans="8:8" ht="12.75">
      <c r="H974" s="103"/>
    </row>
    <row r="975" spans="8:8" ht="12.75">
      <c r="H975" s="103"/>
    </row>
    <row r="976" spans="8:8" ht="12.75">
      <c r="H976" s="103"/>
    </row>
    <row r="977" spans="8:8" ht="12.75">
      <c r="H977" s="103"/>
    </row>
    <row r="978" spans="8:8" ht="12.75">
      <c r="H978" s="103"/>
    </row>
    <row r="979" spans="8:8" ht="12.75">
      <c r="H979" s="103"/>
    </row>
    <row r="980" spans="8:8" ht="12.75">
      <c r="H980" s="103"/>
    </row>
    <row r="981" spans="8:8" ht="12.75">
      <c r="H981" s="103"/>
    </row>
    <row r="982" spans="8:8" ht="12.75">
      <c r="H982" s="103"/>
    </row>
    <row r="983" spans="8:8" ht="12.75">
      <c r="H983" s="103"/>
    </row>
    <row r="984" spans="8:8" ht="12.75">
      <c r="H984" s="103"/>
    </row>
    <row r="985" spans="8:8" ht="12.75">
      <c r="H985" s="103"/>
    </row>
    <row r="986" spans="8:8" ht="12.75">
      <c r="H986" s="103"/>
    </row>
    <row r="987" spans="8:8" ht="12.75">
      <c r="H987" s="103"/>
    </row>
    <row r="988" spans="8:8" ht="12.75">
      <c r="H988" s="103"/>
    </row>
    <row r="989" spans="8:8" ht="12.75">
      <c r="H989" s="103"/>
    </row>
    <row r="990" spans="8:8" ht="12.75">
      <c r="H990" s="103"/>
    </row>
    <row r="991" spans="8:8" ht="12.75">
      <c r="H991" s="103"/>
    </row>
    <row r="992" spans="8:8" ht="12.75">
      <c r="H992" s="103"/>
    </row>
    <row r="993" spans="8:8" ht="12.75">
      <c r="H993" s="103"/>
    </row>
    <row r="994" spans="8:8" ht="12.75">
      <c r="H994" s="103"/>
    </row>
    <row r="995" spans="8:8" ht="12.75">
      <c r="H995" s="103"/>
    </row>
    <row r="996" spans="8:8" ht="12.75">
      <c r="H996" s="103"/>
    </row>
    <row r="997" spans="8:8" ht="12.75">
      <c r="H997" s="103"/>
    </row>
    <row r="998" spans="8:8" ht="12.75">
      <c r="H998" s="103"/>
    </row>
    <row r="999" spans="8:8" ht="12.75">
      <c r="H999" s="103"/>
    </row>
    <row r="1000" spans="8:8" ht="12.75">
      <c r="H1000" s="103"/>
    </row>
  </sheetData>
  <conditionalFormatting sqref="Q1:Q1000">
    <cfRule type="cellIs" dxfId="27" priority="1" operator="lessThan">
      <formula>50</formula>
    </cfRule>
  </conditionalFormatting>
  <conditionalFormatting sqref="Q1:Q1000">
    <cfRule type="cellIs" dxfId="26" priority="2" operator="between">
      <formula>51</formula>
      <formula>125</formula>
    </cfRule>
  </conditionalFormatting>
  <conditionalFormatting sqref="Q1:Q1000">
    <cfRule type="cellIs" dxfId="25" priority="3" operator="between">
      <formula>126</formula>
      <formula>200</formula>
    </cfRule>
  </conditionalFormatting>
  <conditionalFormatting sqref="Q1:Q1000">
    <cfRule type="cellIs" dxfId="24" priority="4" operator="between">
      <formula>201</formula>
      <formula>275</formula>
    </cfRule>
  </conditionalFormatting>
  <conditionalFormatting sqref="Q1:Q1000">
    <cfRule type="cellIs" dxfId="23" priority="5" operator="between">
      <formula>276</formula>
      <formula>350</formula>
    </cfRule>
  </conditionalFormatting>
  <conditionalFormatting sqref="Q1:Q1000">
    <cfRule type="cellIs" dxfId="22" priority="6" operator="between">
      <formula>351</formula>
      <formula>425</formula>
    </cfRule>
  </conditionalFormatting>
  <conditionalFormatting sqref="Q20">
    <cfRule type="cellIs" dxfId="21" priority="7" operator="between">
      <formula>426</formula>
      <formula>500</formula>
    </cfRule>
  </conditionalFormatting>
  <conditionalFormatting sqref="Q1:Q1000">
    <cfRule type="cellIs" dxfId="20" priority="8" operator="greaterThanOrEqual">
      <formula>501</formula>
    </cfRule>
  </conditionalFormatting>
  <conditionalFormatting sqref="P2">
    <cfRule type="cellIs" dxfId="19" priority="9" operator="lessThanOrEqual">
      <formula>50</formula>
    </cfRule>
  </conditionalFormatting>
  <conditionalFormatting sqref="P2">
    <cfRule type="cellIs" dxfId="18" priority="10" operator="between">
      <formula>51</formula>
      <formula>125</formula>
    </cfRule>
  </conditionalFormatting>
  <conditionalFormatting sqref="P2">
    <cfRule type="cellIs" dxfId="17" priority="11" operator="between">
      <formula>126</formula>
      <formula>200</formula>
    </cfRule>
  </conditionalFormatting>
  <conditionalFormatting sqref="P2">
    <cfRule type="cellIs" dxfId="16" priority="12" operator="between">
      <formula>201</formula>
      <formula>275</formula>
    </cfRule>
  </conditionalFormatting>
  <conditionalFormatting sqref="P2">
    <cfRule type="cellIs" dxfId="15" priority="13" operator="between">
      <formula>276</formula>
      <formula>350</formula>
    </cfRule>
  </conditionalFormatting>
  <conditionalFormatting sqref="P2">
    <cfRule type="cellIs" dxfId="14" priority="14" operator="between">
      <formula>351</formula>
      <formula>425</formula>
    </cfRule>
  </conditionalFormatting>
  <conditionalFormatting sqref="P2">
    <cfRule type="cellIs" dxfId="13" priority="15" operator="between">
      <formula>426</formula>
      <formula>500</formula>
    </cfRule>
  </conditionalFormatting>
  <conditionalFormatting sqref="P2">
    <cfRule type="cellIs" dxfId="12" priority="16" operator="greaterThanOrEqual">
      <formula>501</formula>
    </cfRule>
  </conditionalFormatting>
  <conditionalFormatting sqref="Q19">
    <cfRule type="cellIs" dxfId="11" priority="17" operator="between">
      <formula>426</formula>
      <formula>500</formula>
    </cfRule>
  </conditionalFormatting>
  <conditionalFormatting sqref="Q6:Q18">
    <cfRule type="cellIs" dxfId="10" priority="18" operator="between">
      <formula>426</formula>
      <formula>500</formula>
    </cfRule>
  </conditionalFormatting>
  <conditionalFormatting sqref="Q21:Q298">
    <cfRule type="cellIs" dxfId="9" priority="19" operator="between">
      <formula>426</formula>
      <formula>500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5BBF-F190-4D48-BBA1-BFC72372DB77}">
  <dimension ref="A1:V416"/>
  <sheetViews>
    <sheetView workbookViewId="0">
      <pane ySplit="1" topLeftCell="A278" activePane="bottomLeft" state="frozen"/>
      <selection pane="bottomLeft" activeCell="B256" sqref="B256"/>
      <selection sqref="A1:A1048576"/>
    </sheetView>
  </sheetViews>
  <sheetFormatPr defaultRowHeight="12.75"/>
  <cols>
    <col min="1" max="1" width="11.28515625" style="77" customWidth="1"/>
    <col min="2" max="2" width="9.5703125" style="116" customWidth="1"/>
    <col min="5" max="5" width="9.140625" style="75"/>
    <col min="6" max="6" width="9.5703125" customWidth="1"/>
    <col min="7" max="7" width="9.5703125" style="117" customWidth="1"/>
    <col min="8" max="8" width="12.7109375" customWidth="1"/>
    <col min="14" max="14" width="13.42578125" bestFit="1" customWidth="1"/>
    <col min="15" max="15" width="16.7109375" bestFit="1" customWidth="1"/>
    <col min="16" max="16" width="5.140625" bestFit="1" customWidth="1"/>
    <col min="17" max="17" width="8.5703125" bestFit="1" customWidth="1"/>
    <col min="18" max="18" width="10.7109375" bestFit="1" customWidth="1"/>
    <col min="19" max="19" width="12.140625" bestFit="1" customWidth="1"/>
    <col min="20" max="20" width="16.42578125" bestFit="1" customWidth="1"/>
    <col min="21" max="21" width="16.85546875" bestFit="1" customWidth="1"/>
    <col min="22" max="22" width="21.140625" bestFit="1" customWidth="1"/>
  </cols>
  <sheetData>
    <row r="1" spans="1:22">
      <c r="A1" s="77" t="s">
        <v>1621</v>
      </c>
      <c r="B1" s="273" t="s">
        <v>1622</v>
      </c>
      <c r="C1" s="273" t="s">
        <v>2</v>
      </c>
      <c r="D1" s="273" t="s">
        <v>1623</v>
      </c>
      <c r="E1" s="273" t="s">
        <v>1624</v>
      </c>
      <c r="F1" s="273" t="s">
        <v>1625</v>
      </c>
      <c r="G1" s="273" t="s">
        <v>1626</v>
      </c>
      <c r="H1" s="273" t="s">
        <v>7</v>
      </c>
      <c r="I1" s="273" t="s">
        <v>116</v>
      </c>
      <c r="J1" s="273"/>
      <c r="K1" s="273"/>
      <c r="L1" s="273"/>
      <c r="M1" s="273"/>
      <c r="N1" s="273"/>
      <c r="O1" s="273"/>
      <c r="P1" s="273"/>
      <c r="Q1" s="273"/>
      <c r="R1" s="273"/>
      <c r="S1" s="273"/>
      <c r="T1" s="273"/>
      <c r="U1" s="273"/>
      <c r="V1" s="273"/>
    </row>
    <row r="2" spans="1:22" s="78" customFormat="1">
      <c r="A2" s="77">
        <v>44011</v>
      </c>
      <c r="B2" s="51" t="str">
        <f>TEXT(A2, "yyyymmdd")</f>
        <v>20200629</v>
      </c>
      <c r="C2" s="273" t="s">
        <v>11</v>
      </c>
      <c r="D2" s="273"/>
      <c r="E2" s="273" t="s">
        <v>1627</v>
      </c>
      <c r="F2" s="273" t="str">
        <f t="shared" ref="F2:F33" si="0">_xlfn.CONCAT(C2:D2)</f>
        <v>C</v>
      </c>
      <c r="G2" s="273" t="str">
        <f t="shared" ref="G2:G33" si="1">IF(E2="Light",$O$8-A2,"")</f>
        <v/>
      </c>
      <c r="H2" s="273"/>
      <c r="I2" s="273"/>
      <c r="J2" s="273"/>
      <c r="K2" s="273"/>
      <c r="L2" s="273"/>
      <c r="M2" s="273"/>
      <c r="N2" s="273" t="s">
        <v>1628</v>
      </c>
      <c r="O2" s="273"/>
      <c r="P2" s="273"/>
      <c r="Q2" s="273"/>
      <c r="R2" s="273"/>
      <c r="S2" s="273"/>
      <c r="T2" s="273"/>
      <c r="U2" s="273"/>
      <c r="V2" s="273"/>
    </row>
    <row r="3" spans="1:22" s="78" customFormat="1">
      <c r="A3" s="77">
        <v>44011</v>
      </c>
      <c r="B3" s="51" t="str">
        <f t="shared" ref="B3:B66" si="2">TEXT(A3, "yyyymmdd")</f>
        <v>20200629</v>
      </c>
      <c r="C3" s="273" t="s">
        <v>16</v>
      </c>
      <c r="D3" s="273"/>
      <c r="E3" s="273" t="s">
        <v>1627</v>
      </c>
      <c r="F3" s="273" t="str">
        <f t="shared" si="0"/>
        <v>D</v>
      </c>
      <c r="G3" s="273" t="str">
        <f t="shared" si="1"/>
        <v/>
      </c>
      <c r="H3" s="273"/>
      <c r="I3" s="273"/>
      <c r="J3" s="273"/>
      <c r="K3" s="273"/>
      <c r="L3" s="273"/>
      <c r="M3" s="273"/>
      <c r="N3" s="273" t="s">
        <v>12</v>
      </c>
      <c r="O3" s="273"/>
      <c r="P3" s="273"/>
      <c r="Q3" s="273"/>
      <c r="R3" s="273"/>
      <c r="S3" s="273"/>
      <c r="T3" s="273"/>
      <c r="U3" s="273"/>
      <c r="V3" s="273"/>
    </row>
    <row r="4" spans="1:22" s="78" customFormat="1">
      <c r="A4" s="77">
        <v>44011</v>
      </c>
      <c r="B4" s="51" t="str">
        <f t="shared" si="2"/>
        <v>20200629</v>
      </c>
      <c r="C4" s="273" t="s">
        <v>16</v>
      </c>
      <c r="D4" s="273"/>
      <c r="E4" s="273" t="s">
        <v>1627</v>
      </c>
      <c r="F4" s="273" t="str">
        <f t="shared" si="0"/>
        <v>D</v>
      </c>
      <c r="G4" s="273" t="str">
        <f>IF(E4="Light",$O$8-A4,"")</f>
        <v/>
      </c>
      <c r="H4" s="273"/>
      <c r="I4" s="273"/>
      <c r="J4" s="273"/>
      <c r="K4" s="273"/>
      <c r="L4" s="273"/>
      <c r="M4" s="273"/>
      <c r="N4" s="273" t="s">
        <v>13</v>
      </c>
      <c r="O4" s="273"/>
      <c r="P4" s="273"/>
      <c r="Q4" s="273"/>
      <c r="R4" s="273"/>
      <c r="S4" s="273"/>
      <c r="T4" s="273"/>
      <c r="U4" s="273"/>
      <c r="V4" s="273"/>
    </row>
    <row r="5" spans="1:22" s="78" customFormat="1">
      <c r="A5" s="77">
        <v>44012</v>
      </c>
      <c r="B5" s="51" t="str">
        <f t="shared" si="2"/>
        <v>20200630</v>
      </c>
      <c r="C5" s="273" t="s">
        <v>11</v>
      </c>
      <c r="D5" s="273"/>
      <c r="E5" s="273" t="s">
        <v>1629</v>
      </c>
      <c r="F5" s="273" t="str">
        <f t="shared" si="0"/>
        <v>C</v>
      </c>
      <c r="G5" s="273">
        <f t="shared" ca="1" si="1"/>
        <v>214</v>
      </c>
      <c r="H5" s="273"/>
      <c r="I5" s="273"/>
      <c r="J5" s="273"/>
      <c r="K5" s="273"/>
      <c r="L5" s="273"/>
      <c r="M5" s="273"/>
      <c r="N5" s="273" t="s">
        <v>1630</v>
      </c>
      <c r="O5" s="273"/>
      <c r="P5" s="273"/>
      <c r="Q5" s="273"/>
      <c r="R5" s="273"/>
      <c r="S5" s="273"/>
      <c r="T5" s="273"/>
      <c r="U5" s="273"/>
      <c r="V5" s="273"/>
    </row>
    <row r="6" spans="1:22" s="78" customFormat="1">
      <c r="A6" s="77">
        <v>44012</v>
      </c>
      <c r="B6" s="51" t="str">
        <f t="shared" si="2"/>
        <v>20200630</v>
      </c>
      <c r="C6" s="273" t="s">
        <v>24</v>
      </c>
      <c r="D6" s="273"/>
      <c r="E6" s="273" t="s">
        <v>1627</v>
      </c>
      <c r="F6" s="273" t="str">
        <f t="shared" si="0"/>
        <v>E</v>
      </c>
      <c r="G6" s="273" t="str">
        <f t="shared" si="1"/>
        <v/>
      </c>
      <c r="H6" s="273"/>
      <c r="I6" s="273"/>
      <c r="J6" s="273"/>
      <c r="K6" s="273"/>
      <c r="L6" s="273"/>
      <c r="M6" s="273"/>
      <c r="N6" s="273" t="s">
        <v>1631</v>
      </c>
      <c r="O6" s="273"/>
      <c r="P6" s="273"/>
      <c r="Q6" s="273"/>
      <c r="R6" s="273"/>
      <c r="S6" s="273"/>
      <c r="T6" s="273"/>
      <c r="U6" s="273"/>
      <c r="V6" s="273"/>
    </row>
    <row r="7" spans="1:22" s="78" customFormat="1">
      <c r="A7" s="77">
        <v>44012</v>
      </c>
      <c r="B7" s="51" t="str">
        <f t="shared" si="2"/>
        <v>20200630</v>
      </c>
      <c r="C7" s="273" t="s">
        <v>24</v>
      </c>
      <c r="D7" s="273"/>
      <c r="E7" s="273" t="s">
        <v>1627</v>
      </c>
      <c r="F7" s="273" t="str">
        <f t="shared" si="0"/>
        <v>E</v>
      </c>
      <c r="G7" s="273" t="str">
        <f t="shared" si="1"/>
        <v/>
      </c>
      <c r="H7" s="273"/>
      <c r="I7" s="273"/>
      <c r="J7" s="273"/>
      <c r="K7" s="273"/>
      <c r="L7" s="273"/>
      <c r="M7" s="273"/>
      <c r="N7" s="273" t="s">
        <v>1632</v>
      </c>
      <c r="O7" s="273"/>
      <c r="P7" s="273"/>
      <c r="Q7" s="273"/>
      <c r="R7" s="273"/>
      <c r="S7" s="273"/>
      <c r="T7" s="273"/>
      <c r="U7" s="273"/>
      <c r="V7" s="273"/>
    </row>
    <row r="8" spans="1:22" s="78" customFormat="1">
      <c r="A8" s="77">
        <v>44012</v>
      </c>
      <c r="B8" s="51" t="str">
        <f t="shared" si="2"/>
        <v>20200630</v>
      </c>
      <c r="C8" s="273" t="s">
        <v>24</v>
      </c>
      <c r="D8" s="273"/>
      <c r="E8" s="273" t="s">
        <v>1627</v>
      </c>
      <c r="F8" s="273" t="str">
        <f t="shared" si="0"/>
        <v>E</v>
      </c>
      <c r="G8" s="273" t="str">
        <f t="shared" si="1"/>
        <v/>
      </c>
      <c r="H8" s="273"/>
      <c r="I8" s="273"/>
      <c r="J8" s="273"/>
      <c r="K8" s="273"/>
      <c r="L8" s="273"/>
      <c r="M8" s="273"/>
      <c r="N8" s="273" t="s">
        <v>1633</v>
      </c>
      <c r="O8" s="124">
        <f ca="1">TODAY()+1</f>
        <v>44226</v>
      </c>
      <c r="P8" s="273"/>
      <c r="Q8" s="273"/>
      <c r="R8" s="273"/>
      <c r="S8" s="273"/>
      <c r="T8" s="273"/>
      <c r="U8" s="273"/>
      <c r="V8" s="273"/>
    </row>
    <row r="9" spans="1:22" s="78" customFormat="1">
      <c r="A9" s="77">
        <v>44015</v>
      </c>
      <c r="B9" s="51" t="str">
        <f t="shared" si="2"/>
        <v>20200703</v>
      </c>
      <c r="C9" s="273" t="s">
        <v>11</v>
      </c>
      <c r="D9" s="273"/>
      <c r="E9" s="273" t="s">
        <v>1627</v>
      </c>
      <c r="F9" s="273" t="str">
        <f t="shared" si="0"/>
        <v>C</v>
      </c>
      <c r="G9" s="273" t="str">
        <f t="shared" si="1"/>
        <v/>
      </c>
      <c r="H9" s="273"/>
      <c r="I9" s="273"/>
      <c r="J9" s="273"/>
      <c r="K9" s="273"/>
      <c r="L9" s="273"/>
      <c r="M9" s="273"/>
      <c r="N9" s="273"/>
      <c r="O9" s="273"/>
      <c r="P9" s="273"/>
      <c r="Q9" s="273"/>
      <c r="R9" s="273"/>
      <c r="S9" s="273"/>
      <c r="T9" s="273"/>
      <c r="U9" s="273"/>
      <c r="V9" s="273"/>
    </row>
    <row r="10" spans="1:22" s="78" customFormat="1">
      <c r="A10" s="77">
        <v>44015</v>
      </c>
      <c r="B10" s="51" t="str">
        <f t="shared" si="2"/>
        <v>20200703</v>
      </c>
      <c r="C10" s="273" t="s">
        <v>16</v>
      </c>
      <c r="D10" s="273"/>
      <c r="E10" s="273" t="s">
        <v>1629</v>
      </c>
      <c r="F10" s="273" t="str">
        <f t="shared" si="0"/>
        <v>D</v>
      </c>
      <c r="G10" s="273">
        <f t="shared" ca="1" si="1"/>
        <v>211</v>
      </c>
      <c r="H10" s="273"/>
      <c r="I10" s="273"/>
      <c r="J10" s="273"/>
      <c r="K10" s="273"/>
      <c r="L10" s="273"/>
      <c r="M10" s="273"/>
      <c r="N10" s="200" t="s">
        <v>2</v>
      </c>
      <c r="O10" s="201" t="s">
        <v>1634</v>
      </c>
      <c r="P10" s="273"/>
      <c r="Q10" s="273"/>
      <c r="R10" s="273"/>
      <c r="S10" s="273"/>
      <c r="T10" s="273"/>
      <c r="U10" s="273"/>
      <c r="V10" s="273"/>
    </row>
    <row r="11" spans="1:22" s="78" customFormat="1">
      <c r="A11" s="77">
        <v>44015</v>
      </c>
      <c r="B11" s="51" t="str">
        <f t="shared" si="2"/>
        <v>20200703</v>
      </c>
      <c r="C11" s="273" t="s">
        <v>16</v>
      </c>
      <c r="D11" s="273"/>
      <c r="E11" s="273" t="s">
        <v>1629</v>
      </c>
      <c r="F11" s="273" t="str">
        <f t="shared" si="0"/>
        <v>D</v>
      </c>
      <c r="G11" s="273">
        <f t="shared" ca="1" si="1"/>
        <v>211</v>
      </c>
      <c r="H11" s="273"/>
      <c r="I11" s="273"/>
      <c r="J11" s="273"/>
      <c r="K11" s="273"/>
      <c r="L11" s="273"/>
      <c r="M11" s="273"/>
      <c r="N11" s="273"/>
      <c r="O11" s="273"/>
      <c r="P11" s="273"/>
      <c r="Q11" s="273"/>
      <c r="R11" s="273"/>
      <c r="S11" s="273"/>
      <c r="T11" s="273"/>
      <c r="U11" s="273"/>
      <c r="V11" s="273"/>
    </row>
    <row r="12" spans="1:22" s="78" customFormat="1">
      <c r="A12" s="77">
        <v>44018</v>
      </c>
      <c r="B12" s="51" t="str">
        <f t="shared" si="2"/>
        <v>20200706</v>
      </c>
      <c r="C12" s="273" t="s">
        <v>16</v>
      </c>
      <c r="D12" s="273"/>
      <c r="E12" s="273" t="s">
        <v>1627</v>
      </c>
      <c r="F12" s="273" t="str">
        <f t="shared" si="0"/>
        <v>D</v>
      </c>
      <c r="G12" s="273" t="str">
        <f t="shared" si="1"/>
        <v/>
      </c>
      <c r="H12" s="273"/>
      <c r="I12" s="273"/>
      <c r="J12" s="273"/>
      <c r="K12" s="273"/>
      <c r="L12" s="273"/>
      <c r="M12" s="273"/>
      <c r="N12" s="183" t="s">
        <v>1635</v>
      </c>
      <c r="O12" s="183" t="s">
        <v>1636</v>
      </c>
      <c r="P12" s="184"/>
      <c r="Q12" s="184"/>
      <c r="R12" s="185"/>
      <c r="S12" s="273"/>
      <c r="T12" s="273"/>
      <c r="U12" s="273"/>
      <c r="V12" s="273"/>
    </row>
    <row r="13" spans="1:22" s="78" customFormat="1">
      <c r="A13" s="77">
        <v>44018</v>
      </c>
      <c r="B13" s="51" t="str">
        <f t="shared" si="2"/>
        <v>20200706</v>
      </c>
      <c r="C13" s="273" t="s">
        <v>16</v>
      </c>
      <c r="D13" s="273"/>
      <c r="E13" s="273" t="s">
        <v>1627</v>
      </c>
      <c r="F13" s="273" t="str">
        <f t="shared" si="0"/>
        <v>D</v>
      </c>
      <c r="G13" s="273" t="str">
        <f t="shared" si="1"/>
        <v/>
      </c>
      <c r="H13" s="273"/>
      <c r="I13" s="273"/>
      <c r="J13" s="273"/>
      <c r="K13" s="273"/>
      <c r="L13" s="273"/>
      <c r="M13" s="273"/>
      <c r="N13" s="183" t="s">
        <v>1637</v>
      </c>
      <c r="O13" s="186" t="s">
        <v>1627</v>
      </c>
      <c r="P13" s="187" t="s">
        <v>1629</v>
      </c>
      <c r="Q13" s="187" t="s">
        <v>1638</v>
      </c>
      <c r="R13" s="188" t="s">
        <v>1639</v>
      </c>
      <c r="S13" s="273"/>
      <c r="T13" s="273"/>
      <c r="U13" s="273"/>
      <c r="V13" s="273"/>
    </row>
    <row r="14" spans="1:22" s="78" customFormat="1">
      <c r="A14" s="77">
        <v>44018</v>
      </c>
      <c r="B14" s="51" t="str">
        <f t="shared" si="2"/>
        <v>20200706</v>
      </c>
      <c r="C14" s="273" t="s">
        <v>24</v>
      </c>
      <c r="D14" s="273"/>
      <c r="E14" s="273" t="s">
        <v>1629</v>
      </c>
      <c r="F14" s="273" t="str">
        <f t="shared" si="0"/>
        <v>E</v>
      </c>
      <c r="G14" s="273">
        <f t="shared" ca="1" si="1"/>
        <v>208</v>
      </c>
      <c r="H14" s="273"/>
      <c r="I14" s="273"/>
      <c r="J14" s="273"/>
      <c r="K14" s="273"/>
      <c r="L14" s="273"/>
      <c r="M14" s="273"/>
      <c r="N14" s="189" t="s">
        <v>8</v>
      </c>
      <c r="O14" s="190">
        <v>1</v>
      </c>
      <c r="P14" s="191">
        <v>1</v>
      </c>
      <c r="Q14" s="191">
        <v>1</v>
      </c>
      <c r="R14" s="192">
        <v>3</v>
      </c>
      <c r="S14" s="273"/>
      <c r="T14" s="273"/>
      <c r="U14" s="273"/>
      <c r="V14" s="273"/>
    </row>
    <row r="15" spans="1:22" s="78" customFormat="1">
      <c r="A15" s="77">
        <v>44018</v>
      </c>
      <c r="B15" s="51" t="str">
        <f t="shared" si="2"/>
        <v>20200706</v>
      </c>
      <c r="C15" s="273" t="s">
        <v>24</v>
      </c>
      <c r="D15" s="273"/>
      <c r="E15" s="273" t="s">
        <v>1629</v>
      </c>
      <c r="F15" s="273" t="str">
        <f t="shared" si="0"/>
        <v>E</v>
      </c>
      <c r="G15" s="273">
        <f t="shared" ca="1" si="1"/>
        <v>208</v>
      </c>
      <c r="H15" s="273"/>
      <c r="I15" s="273"/>
      <c r="J15" s="273"/>
      <c r="K15" s="273"/>
      <c r="L15" s="273"/>
      <c r="M15" s="273"/>
      <c r="N15" s="193" t="s">
        <v>1640</v>
      </c>
      <c r="O15" s="194">
        <v>1</v>
      </c>
      <c r="P15" s="182">
        <v>1</v>
      </c>
      <c r="Q15" s="182">
        <v>1</v>
      </c>
      <c r="R15" s="195">
        <v>3</v>
      </c>
      <c r="S15" s="273"/>
      <c r="T15" s="273"/>
      <c r="U15" s="273"/>
      <c r="V15" s="273"/>
    </row>
    <row r="16" spans="1:22" s="78" customFormat="1">
      <c r="A16" s="77">
        <v>44018</v>
      </c>
      <c r="B16" s="51" t="str">
        <f t="shared" si="2"/>
        <v>20200706</v>
      </c>
      <c r="C16" s="273" t="s">
        <v>24</v>
      </c>
      <c r="D16" s="273"/>
      <c r="E16" s="273" t="s">
        <v>1629</v>
      </c>
      <c r="F16" s="273" t="str">
        <f t="shared" si="0"/>
        <v>E</v>
      </c>
      <c r="G16" s="273">
        <f t="shared" ca="1" si="1"/>
        <v>208</v>
      </c>
      <c r="H16" s="273"/>
      <c r="I16" s="273"/>
      <c r="J16" s="273"/>
      <c r="K16" s="273"/>
      <c r="L16" s="273"/>
      <c r="M16" s="273"/>
      <c r="N16" s="193" t="s">
        <v>1641</v>
      </c>
      <c r="O16" s="194">
        <v>1</v>
      </c>
      <c r="P16" s="182">
        <v>1</v>
      </c>
      <c r="Q16" s="182">
        <v>1</v>
      </c>
      <c r="R16" s="195">
        <v>3</v>
      </c>
      <c r="S16" s="273"/>
      <c r="T16" s="273"/>
      <c r="U16" s="273"/>
      <c r="V16" s="273"/>
    </row>
    <row r="17" spans="1:22" s="78" customFormat="1">
      <c r="A17" s="77">
        <v>44019</v>
      </c>
      <c r="B17" s="51" t="str">
        <f t="shared" si="2"/>
        <v>20200707</v>
      </c>
      <c r="C17" s="273" t="s">
        <v>11</v>
      </c>
      <c r="D17" s="273"/>
      <c r="E17" s="273" t="s">
        <v>1627</v>
      </c>
      <c r="F17" s="273" t="str">
        <f t="shared" si="0"/>
        <v>C</v>
      </c>
      <c r="G17" s="273" t="str">
        <f t="shared" si="1"/>
        <v/>
      </c>
      <c r="H17" s="273"/>
      <c r="I17" s="273"/>
      <c r="J17" s="273"/>
      <c r="K17" s="273"/>
      <c r="L17" s="273"/>
      <c r="M17" s="273"/>
      <c r="N17" s="193" t="s">
        <v>1642</v>
      </c>
      <c r="O17" s="194">
        <v>1</v>
      </c>
      <c r="P17" s="182"/>
      <c r="Q17" s="182"/>
      <c r="R17" s="195">
        <v>1</v>
      </c>
      <c r="S17" s="273"/>
      <c r="T17" s="273"/>
      <c r="U17" s="273"/>
      <c r="V17" s="273"/>
    </row>
    <row r="18" spans="1:22" s="78" customFormat="1">
      <c r="A18" s="77">
        <v>44020</v>
      </c>
      <c r="B18" s="51" t="str">
        <f t="shared" si="2"/>
        <v>20200708</v>
      </c>
      <c r="C18" s="273" t="s">
        <v>11</v>
      </c>
      <c r="D18" s="273"/>
      <c r="E18" s="273" t="s">
        <v>1627</v>
      </c>
      <c r="F18" s="273" t="str">
        <f t="shared" si="0"/>
        <v>C</v>
      </c>
      <c r="G18" s="273" t="str">
        <f t="shared" si="1"/>
        <v/>
      </c>
      <c r="H18" s="273"/>
      <c r="I18" s="273"/>
      <c r="J18" s="273"/>
      <c r="K18" s="273"/>
      <c r="L18" s="273"/>
      <c r="M18" s="273"/>
      <c r="N18" s="193" t="s">
        <v>1643</v>
      </c>
      <c r="O18" s="194">
        <v>1</v>
      </c>
      <c r="P18" s="182"/>
      <c r="Q18" s="182"/>
      <c r="R18" s="195">
        <v>1</v>
      </c>
      <c r="S18" s="273"/>
      <c r="T18" s="273"/>
      <c r="U18" s="273"/>
      <c r="V18" s="273"/>
    </row>
    <row r="19" spans="1:22" s="78" customFormat="1">
      <c r="A19" s="77">
        <v>44020</v>
      </c>
      <c r="B19" s="51" t="str">
        <f t="shared" si="2"/>
        <v>20200708</v>
      </c>
      <c r="C19" s="273" t="s">
        <v>11</v>
      </c>
      <c r="D19" s="273"/>
      <c r="E19" s="273" t="s">
        <v>1627</v>
      </c>
      <c r="F19" s="273" t="str">
        <f t="shared" si="0"/>
        <v>C</v>
      </c>
      <c r="G19" s="273" t="str">
        <f t="shared" si="1"/>
        <v/>
      </c>
      <c r="H19" s="273"/>
      <c r="I19" s="273"/>
      <c r="J19" s="273"/>
      <c r="K19" s="273"/>
      <c r="L19" s="273"/>
      <c r="M19" s="273"/>
      <c r="N19" s="193" t="s">
        <v>1644</v>
      </c>
      <c r="O19" s="194">
        <v>1</v>
      </c>
      <c r="P19" s="182">
        <v>1</v>
      </c>
      <c r="Q19" s="182">
        <v>1</v>
      </c>
      <c r="R19" s="195">
        <v>3</v>
      </c>
      <c r="S19" s="273"/>
      <c r="T19" s="273"/>
      <c r="U19" s="273"/>
      <c r="V19" s="273"/>
    </row>
    <row r="20" spans="1:22" s="78" customFormat="1">
      <c r="A20" s="77">
        <v>44020</v>
      </c>
      <c r="B20" s="51" t="str">
        <f t="shared" si="2"/>
        <v>20200708</v>
      </c>
      <c r="C20" s="273" t="s">
        <v>11</v>
      </c>
      <c r="D20" s="273"/>
      <c r="E20" s="273" t="s">
        <v>1627</v>
      </c>
      <c r="F20" s="273" t="str">
        <f t="shared" si="0"/>
        <v>C</v>
      </c>
      <c r="G20" s="273" t="str">
        <f t="shared" si="1"/>
        <v/>
      </c>
      <c r="H20" s="273"/>
      <c r="I20" s="273"/>
      <c r="J20" s="273"/>
      <c r="K20" s="273"/>
      <c r="L20" s="273"/>
      <c r="M20" s="273"/>
      <c r="N20" s="193" t="s">
        <v>1645</v>
      </c>
      <c r="O20" s="194">
        <v>1</v>
      </c>
      <c r="P20" s="182">
        <v>1</v>
      </c>
      <c r="Q20" s="182">
        <v>1</v>
      </c>
      <c r="R20" s="195">
        <v>3</v>
      </c>
      <c r="S20" s="273"/>
      <c r="T20" s="273"/>
      <c r="U20" s="273"/>
      <c r="V20" s="273"/>
    </row>
    <row r="21" spans="1:22" s="78" customFormat="1">
      <c r="A21" s="77">
        <v>44020</v>
      </c>
      <c r="B21" s="51" t="str">
        <f t="shared" si="2"/>
        <v>20200708</v>
      </c>
      <c r="C21" s="273" t="s">
        <v>11</v>
      </c>
      <c r="D21" s="273"/>
      <c r="E21" s="273" t="s">
        <v>1627</v>
      </c>
      <c r="F21" s="273" t="str">
        <f t="shared" si="0"/>
        <v>C</v>
      </c>
      <c r="G21" s="273" t="str">
        <f t="shared" si="1"/>
        <v/>
      </c>
      <c r="H21" s="273"/>
      <c r="I21" s="273"/>
      <c r="J21" s="273"/>
      <c r="K21" s="273"/>
      <c r="L21" s="273"/>
      <c r="M21" s="273"/>
      <c r="N21" s="193" t="s">
        <v>1646</v>
      </c>
      <c r="O21" s="194">
        <v>1</v>
      </c>
      <c r="P21" s="182">
        <v>1</v>
      </c>
      <c r="Q21" s="182">
        <v>1</v>
      </c>
      <c r="R21" s="195">
        <v>3</v>
      </c>
      <c r="S21" s="273"/>
      <c r="T21" s="273"/>
      <c r="U21" s="273"/>
      <c r="V21" s="273"/>
    </row>
    <row r="22" spans="1:22" s="78" customFormat="1">
      <c r="A22" s="77">
        <v>44020</v>
      </c>
      <c r="B22" s="51" t="str">
        <f t="shared" si="2"/>
        <v>20200708</v>
      </c>
      <c r="C22" s="273" t="s">
        <v>11</v>
      </c>
      <c r="D22" s="273"/>
      <c r="E22" s="273" t="s">
        <v>1629</v>
      </c>
      <c r="F22" s="273" t="str">
        <f t="shared" si="0"/>
        <v>C</v>
      </c>
      <c r="G22" s="273">
        <f t="shared" ca="1" si="1"/>
        <v>206</v>
      </c>
      <c r="H22" s="273"/>
      <c r="I22" s="273"/>
      <c r="J22" s="273"/>
      <c r="K22" s="273"/>
      <c r="L22" s="273"/>
      <c r="M22" s="273"/>
      <c r="N22" s="193" t="s">
        <v>1647</v>
      </c>
      <c r="O22" s="194">
        <v>1</v>
      </c>
      <c r="P22" s="182">
        <v>1</v>
      </c>
      <c r="Q22" s="182">
        <v>1</v>
      </c>
      <c r="R22" s="195">
        <v>3</v>
      </c>
      <c r="S22" s="273"/>
      <c r="T22" s="273"/>
      <c r="U22" s="273"/>
      <c r="V22" s="273"/>
    </row>
    <row r="23" spans="1:22" s="78" customFormat="1">
      <c r="A23" s="77">
        <v>44020</v>
      </c>
      <c r="B23" s="51" t="str">
        <f t="shared" si="2"/>
        <v>20200708</v>
      </c>
      <c r="C23" s="273" t="s">
        <v>16</v>
      </c>
      <c r="D23" s="273"/>
      <c r="E23" s="273" t="s">
        <v>1629</v>
      </c>
      <c r="F23" s="273" t="str">
        <f t="shared" si="0"/>
        <v>D</v>
      </c>
      <c r="G23" s="273">
        <f t="shared" ca="1" si="1"/>
        <v>206</v>
      </c>
      <c r="H23" s="273"/>
      <c r="I23" s="273"/>
      <c r="J23" s="273"/>
      <c r="K23" s="273"/>
      <c r="L23" s="273"/>
      <c r="M23" s="273"/>
      <c r="N23" s="193" t="s">
        <v>1648</v>
      </c>
      <c r="O23" s="194">
        <v>1</v>
      </c>
      <c r="P23" s="182">
        <v>1</v>
      </c>
      <c r="Q23" s="182">
        <v>1</v>
      </c>
      <c r="R23" s="195">
        <v>3</v>
      </c>
      <c r="S23" s="273"/>
      <c r="T23" s="273"/>
      <c r="U23" s="273"/>
      <c r="V23" s="273"/>
    </row>
    <row r="24" spans="1:22" s="78" customFormat="1">
      <c r="A24" s="77">
        <v>44020</v>
      </c>
      <c r="B24" s="51" t="str">
        <f t="shared" si="2"/>
        <v>20200708</v>
      </c>
      <c r="C24" s="273" t="s">
        <v>16</v>
      </c>
      <c r="D24" s="273"/>
      <c r="E24" s="273" t="s">
        <v>1629</v>
      </c>
      <c r="F24" s="273" t="str">
        <f t="shared" si="0"/>
        <v>D</v>
      </c>
      <c r="G24" s="273">
        <f t="shared" ca="1" si="1"/>
        <v>206</v>
      </c>
      <c r="H24" s="273"/>
      <c r="I24" s="273"/>
      <c r="J24" s="273"/>
      <c r="K24" s="273"/>
      <c r="L24" s="273"/>
      <c r="M24" s="273"/>
      <c r="N24" s="193" t="s">
        <v>1649</v>
      </c>
      <c r="O24" s="194">
        <v>1</v>
      </c>
      <c r="P24" s="182">
        <v>1</v>
      </c>
      <c r="Q24" s="182">
        <v>1</v>
      </c>
      <c r="R24" s="195">
        <v>3</v>
      </c>
      <c r="S24" s="273"/>
      <c r="T24" s="273"/>
      <c r="U24" s="273"/>
      <c r="V24" s="273"/>
    </row>
    <row r="25" spans="1:22" s="78" customFormat="1">
      <c r="A25" s="77">
        <v>44021</v>
      </c>
      <c r="B25" s="51" t="str">
        <f t="shared" si="2"/>
        <v>20200709</v>
      </c>
      <c r="C25" s="273" t="s">
        <v>8</v>
      </c>
      <c r="D25" s="273"/>
      <c r="E25" s="273" t="s">
        <v>1627</v>
      </c>
      <c r="F25" s="273" t="str">
        <f t="shared" si="0"/>
        <v>A</v>
      </c>
      <c r="G25" s="273" t="str">
        <f t="shared" si="1"/>
        <v/>
      </c>
      <c r="H25" s="273"/>
      <c r="I25" s="273"/>
      <c r="J25" s="273"/>
      <c r="K25" s="273"/>
      <c r="L25" s="273"/>
      <c r="M25" s="273"/>
      <c r="N25" s="193" t="s">
        <v>1650</v>
      </c>
      <c r="O25" s="194">
        <v>1</v>
      </c>
      <c r="P25" s="182">
        <v>1</v>
      </c>
      <c r="Q25" s="182">
        <v>1</v>
      </c>
      <c r="R25" s="195">
        <v>3</v>
      </c>
      <c r="S25" s="273"/>
      <c r="T25" s="273"/>
      <c r="U25" s="273"/>
      <c r="V25" s="273"/>
    </row>
    <row r="26" spans="1:22" s="78" customFormat="1">
      <c r="A26" s="77">
        <v>44025</v>
      </c>
      <c r="B26" s="51" t="str">
        <f t="shared" si="2"/>
        <v>20200713</v>
      </c>
      <c r="C26" s="273" t="s">
        <v>11</v>
      </c>
      <c r="D26" s="273"/>
      <c r="E26" s="273" t="s">
        <v>1629</v>
      </c>
      <c r="F26" s="273" t="str">
        <f t="shared" si="0"/>
        <v>C</v>
      </c>
      <c r="G26" s="273">
        <f t="shared" ca="1" si="1"/>
        <v>201</v>
      </c>
      <c r="H26" s="273"/>
      <c r="I26" s="273"/>
      <c r="J26" s="273"/>
      <c r="K26" s="273"/>
      <c r="L26" s="273"/>
      <c r="M26" s="273"/>
      <c r="N26" s="193" t="s">
        <v>1651</v>
      </c>
      <c r="O26" s="194">
        <v>1</v>
      </c>
      <c r="P26" s="182">
        <v>1</v>
      </c>
      <c r="Q26" s="182">
        <v>1</v>
      </c>
      <c r="R26" s="195">
        <v>3</v>
      </c>
      <c r="S26" s="273"/>
      <c r="T26" s="273"/>
      <c r="U26" s="273"/>
      <c r="V26" s="273"/>
    </row>
    <row r="27" spans="1:22" s="78" customFormat="1">
      <c r="A27" s="77">
        <v>44025</v>
      </c>
      <c r="B27" s="51" t="str">
        <f t="shared" si="2"/>
        <v>20200713</v>
      </c>
      <c r="C27" s="273" t="s">
        <v>11</v>
      </c>
      <c r="D27" s="273"/>
      <c r="E27" s="273" t="s">
        <v>1629</v>
      </c>
      <c r="F27" s="273" t="str">
        <f t="shared" si="0"/>
        <v>C</v>
      </c>
      <c r="G27" s="273">
        <f t="shared" ca="1" si="1"/>
        <v>201</v>
      </c>
      <c r="H27" s="273"/>
      <c r="I27" s="273"/>
      <c r="J27" s="273"/>
      <c r="K27" s="273"/>
      <c r="L27" s="273"/>
      <c r="M27" s="273"/>
      <c r="N27" s="193" t="s">
        <v>1652</v>
      </c>
      <c r="O27" s="194">
        <v>1</v>
      </c>
      <c r="P27" s="182">
        <v>1</v>
      </c>
      <c r="Q27" s="182">
        <v>1</v>
      </c>
      <c r="R27" s="195">
        <v>3</v>
      </c>
      <c r="S27" s="273"/>
      <c r="T27" s="273"/>
      <c r="U27" s="273"/>
      <c r="V27" s="273"/>
    </row>
    <row r="28" spans="1:22" s="78" customFormat="1">
      <c r="A28" s="77">
        <v>44026</v>
      </c>
      <c r="B28" s="51" t="str">
        <f t="shared" si="2"/>
        <v>20200714</v>
      </c>
      <c r="C28" s="273" t="s">
        <v>11</v>
      </c>
      <c r="D28" s="273"/>
      <c r="E28" s="273" t="s">
        <v>1629</v>
      </c>
      <c r="F28" s="273" t="str">
        <f t="shared" si="0"/>
        <v>C</v>
      </c>
      <c r="G28" s="273">
        <f t="shared" ca="1" si="1"/>
        <v>200</v>
      </c>
      <c r="H28" s="273"/>
      <c r="I28" s="273"/>
      <c r="J28" s="273"/>
      <c r="K28" s="273"/>
      <c r="L28" s="273"/>
      <c r="M28" s="273"/>
      <c r="N28" s="193" t="s">
        <v>1653</v>
      </c>
      <c r="O28" s="194">
        <v>1</v>
      </c>
      <c r="P28" s="182">
        <v>1</v>
      </c>
      <c r="Q28" s="182">
        <v>1</v>
      </c>
      <c r="R28" s="195">
        <v>3</v>
      </c>
      <c r="S28" s="273"/>
      <c r="T28" s="273"/>
      <c r="U28" s="273"/>
      <c r="V28" s="273"/>
    </row>
    <row r="29" spans="1:22" s="78" customFormat="1">
      <c r="A29" s="77">
        <v>44026</v>
      </c>
      <c r="B29" s="51" t="str">
        <f t="shared" si="2"/>
        <v>20200714</v>
      </c>
      <c r="C29" s="273" t="s">
        <v>11</v>
      </c>
      <c r="D29" s="273"/>
      <c r="E29" s="273" t="s">
        <v>1629</v>
      </c>
      <c r="F29" s="273" t="str">
        <f t="shared" si="0"/>
        <v>C</v>
      </c>
      <c r="G29" s="273">
        <f t="shared" ca="1" si="1"/>
        <v>200</v>
      </c>
      <c r="H29" s="273"/>
      <c r="I29" s="273"/>
      <c r="J29" s="273"/>
      <c r="K29" s="273"/>
      <c r="L29" s="273"/>
      <c r="M29" s="273"/>
      <c r="N29" s="193" t="s">
        <v>1654</v>
      </c>
      <c r="O29" s="194">
        <v>1</v>
      </c>
      <c r="P29" s="182">
        <v>1</v>
      </c>
      <c r="Q29" s="182">
        <v>1</v>
      </c>
      <c r="R29" s="195">
        <v>3</v>
      </c>
      <c r="S29" s="273"/>
      <c r="T29" s="273"/>
      <c r="U29" s="273"/>
      <c r="V29" s="273"/>
    </row>
    <row r="30" spans="1:22" s="78" customFormat="1">
      <c r="A30" s="77">
        <v>44029</v>
      </c>
      <c r="B30" s="51" t="str">
        <f t="shared" si="2"/>
        <v>20200717</v>
      </c>
      <c r="C30" s="273" t="s">
        <v>8</v>
      </c>
      <c r="D30" s="273"/>
      <c r="E30" s="273" t="s">
        <v>1629</v>
      </c>
      <c r="F30" s="273" t="str">
        <f t="shared" si="0"/>
        <v>A</v>
      </c>
      <c r="G30" s="273">
        <f t="shared" ca="1" si="1"/>
        <v>197</v>
      </c>
      <c r="H30" s="273"/>
      <c r="I30" s="273"/>
      <c r="J30" s="273"/>
      <c r="K30" s="273"/>
      <c r="L30" s="273"/>
      <c r="M30" s="273"/>
      <c r="N30" s="193" t="s">
        <v>1655</v>
      </c>
      <c r="O30" s="194">
        <v>1</v>
      </c>
      <c r="P30" s="182">
        <v>1</v>
      </c>
      <c r="Q30" s="182">
        <v>1</v>
      </c>
      <c r="R30" s="195">
        <v>3</v>
      </c>
      <c r="S30" s="273"/>
      <c r="T30" s="273"/>
      <c r="U30" s="273"/>
      <c r="V30" s="273"/>
    </row>
    <row r="31" spans="1:22" s="78" customFormat="1">
      <c r="A31" s="77">
        <v>44029</v>
      </c>
      <c r="B31" s="51" t="str">
        <f t="shared" si="2"/>
        <v>20200717</v>
      </c>
      <c r="C31" s="273" t="s">
        <v>11</v>
      </c>
      <c r="D31" s="273"/>
      <c r="E31" s="273" t="s">
        <v>1629</v>
      </c>
      <c r="F31" s="273" t="str">
        <f t="shared" si="0"/>
        <v>C</v>
      </c>
      <c r="G31" s="273">
        <f t="shared" ca="1" si="1"/>
        <v>197</v>
      </c>
      <c r="H31" s="273"/>
      <c r="I31" s="273"/>
      <c r="J31" s="273"/>
      <c r="K31" s="104"/>
      <c r="L31" s="104"/>
      <c r="M31" s="273"/>
      <c r="N31" s="193" t="s">
        <v>1656</v>
      </c>
      <c r="O31" s="194">
        <v>1</v>
      </c>
      <c r="P31" s="182">
        <v>1</v>
      </c>
      <c r="Q31" s="182">
        <v>1</v>
      </c>
      <c r="R31" s="195">
        <v>3</v>
      </c>
      <c r="S31" s="273"/>
      <c r="T31" s="273"/>
      <c r="U31" s="273"/>
      <c r="V31" s="273"/>
    </row>
    <row r="32" spans="1:22" s="78" customFormat="1">
      <c r="A32" s="77">
        <v>44033</v>
      </c>
      <c r="B32" s="51" t="str">
        <f t="shared" si="2"/>
        <v>20200721</v>
      </c>
      <c r="C32" s="273" t="s">
        <v>19</v>
      </c>
      <c r="D32" s="273">
        <v>1</v>
      </c>
      <c r="E32" s="273" t="s">
        <v>1627</v>
      </c>
      <c r="F32" s="273" t="str">
        <f t="shared" si="0"/>
        <v>B1</v>
      </c>
      <c r="G32" s="273" t="str">
        <f t="shared" si="1"/>
        <v/>
      </c>
      <c r="H32" s="273"/>
      <c r="I32" s="273"/>
      <c r="J32" s="273"/>
      <c r="K32" s="273"/>
      <c r="L32" s="273"/>
      <c r="M32" s="273"/>
      <c r="N32" s="193" t="s">
        <v>1657</v>
      </c>
      <c r="O32" s="194">
        <v>1</v>
      </c>
      <c r="P32" s="182">
        <v>1</v>
      </c>
      <c r="Q32" s="182">
        <v>1</v>
      </c>
      <c r="R32" s="195">
        <v>3</v>
      </c>
      <c r="S32" s="273"/>
      <c r="T32" s="273"/>
      <c r="U32" s="273"/>
      <c r="V32" s="273"/>
    </row>
    <row r="33" spans="1:22" s="78" customFormat="1">
      <c r="A33" s="77">
        <v>44033</v>
      </c>
      <c r="B33" s="51" t="str">
        <f t="shared" si="2"/>
        <v>20200721</v>
      </c>
      <c r="C33" s="273" t="s">
        <v>11</v>
      </c>
      <c r="D33" s="273"/>
      <c r="E33" s="273" t="s">
        <v>1638</v>
      </c>
      <c r="F33" s="273" t="str">
        <f t="shared" si="0"/>
        <v>C</v>
      </c>
      <c r="G33" s="273" t="str">
        <f t="shared" si="1"/>
        <v/>
      </c>
      <c r="H33" s="273"/>
      <c r="I33" s="273"/>
      <c r="J33" s="273"/>
      <c r="K33" s="273"/>
      <c r="L33" s="273"/>
      <c r="M33" s="273"/>
      <c r="N33" s="193" t="s">
        <v>1658</v>
      </c>
      <c r="O33" s="194">
        <v>1</v>
      </c>
      <c r="P33" s="182">
        <v>1</v>
      </c>
      <c r="Q33" s="182">
        <v>1</v>
      </c>
      <c r="R33" s="195">
        <v>3</v>
      </c>
      <c r="S33" s="273"/>
      <c r="T33" s="273"/>
      <c r="U33" s="273"/>
      <c r="V33" s="273"/>
    </row>
    <row r="34" spans="1:22" s="78" customFormat="1">
      <c r="A34" s="77">
        <v>44033</v>
      </c>
      <c r="B34" s="51" t="str">
        <f t="shared" si="2"/>
        <v>20200721</v>
      </c>
      <c r="C34" s="273" t="s">
        <v>24</v>
      </c>
      <c r="D34" s="273"/>
      <c r="E34" s="273" t="s">
        <v>1638</v>
      </c>
      <c r="F34" s="273" t="str">
        <f t="shared" ref="F34:F65" si="3">_xlfn.CONCAT(C34:D34)</f>
        <v>E</v>
      </c>
      <c r="G34" s="273" t="str">
        <f t="shared" ref="G34:G65" si="4">IF(E34="Light",$O$8-A34,"")</f>
        <v/>
      </c>
      <c r="H34" s="273"/>
      <c r="I34" s="273"/>
      <c r="J34" s="273"/>
      <c r="K34" s="273"/>
      <c r="L34" s="273"/>
      <c r="M34" s="273"/>
      <c r="N34" s="193" t="s">
        <v>1659</v>
      </c>
      <c r="O34" s="194">
        <v>1</v>
      </c>
      <c r="P34" s="182">
        <v>1</v>
      </c>
      <c r="Q34" s="182">
        <v>1</v>
      </c>
      <c r="R34" s="195">
        <v>3</v>
      </c>
      <c r="S34" s="273"/>
      <c r="T34" s="273"/>
      <c r="U34" s="273"/>
      <c r="V34" s="273"/>
    </row>
    <row r="35" spans="1:22" s="78" customFormat="1">
      <c r="A35" s="77">
        <v>44039</v>
      </c>
      <c r="B35" s="51" t="str">
        <f t="shared" si="2"/>
        <v>20200727</v>
      </c>
      <c r="C35" s="273" t="s">
        <v>19</v>
      </c>
      <c r="D35" s="273">
        <v>1</v>
      </c>
      <c r="E35" s="273" t="s">
        <v>1629</v>
      </c>
      <c r="F35" s="273" t="str">
        <f t="shared" si="3"/>
        <v>B1</v>
      </c>
      <c r="G35" s="273">
        <f t="shared" ca="1" si="4"/>
        <v>187</v>
      </c>
      <c r="H35" s="273"/>
      <c r="I35" s="273"/>
      <c r="J35" s="273"/>
      <c r="K35" s="273"/>
      <c r="L35" s="273"/>
      <c r="M35" s="273"/>
      <c r="N35" s="193" t="s">
        <v>11</v>
      </c>
      <c r="O35" s="194">
        <v>7</v>
      </c>
      <c r="P35" s="182">
        <v>7</v>
      </c>
      <c r="Q35" s="182">
        <v>7</v>
      </c>
      <c r="R35" s="195">
        <v>21</v>
      </c>
      <c r="S35" s="273"/>
      <c r="T35" s="273"/>
      <c r="U35" s="273"/>
      <c r="V35" s="273"/>
    </row>
    <row r="36" spans="1:22" s="78" customFormat="1">
      <c r="A36" s="77">
        <v>44039</v>
      </c>
      <c r="B36" s="51" t="str">
        <f t="shared" si="2"/>
        <v>20200727</v>
      </c>
      <c r="C36" s="273" t="s">
        <v>11</v>
      </c>
      <c r="D36" s="273">
        <v>1</v>
      </c>
      <c r="E36" s="273" t="s">
        <v>1627</v>
      </c>
      <c r="F36" s="273" t="str">
        <f t="shared" si="3"/>
        <v>C1</v>
      </c>
      <c r="G36" s="273" t="str">
        <f t="shared" si="4"/>
        <v/>
      </c>
      <c r="H36" s="273"/>
      <c r="I36" s="273"/>
      <c r="J36" s="273"/>
      <c r="K36" s="273"/>
      <c r="L36" s="273"/>
      <c r="M36" s="273"/>
      <c r="N36" s="193" t="s">
        <v>1660</v>
      </c>
      <c r="O36" s="194">
        <v>1</v>
      </c>
      <c r="P36" s="182">
        <v>1</v>
      </c>
      <c r="Q36" s="182">
        <v>1</v>
      </c>
      <c r="R36" s="195">
        <v>3</v>
      </c>
      <c r="S36" s="273"/>
      <c r="T36" s="273"/>
      <c r="U36" s="273"/>
      <c r="V36" s="273"/>
    </row>
    <row r="37" spans="1:22" s="78" customFormat="1">
      <c r="A37" s="77">
        <v>44039</v>
      </c>
      <c r="B37" s="51" t="str">
        <f t="shared" si="2"/>
        <v>20200727</v>
      </c>
      <c r="C37" s="273" t="s">
        <v>16</v>
      </c>
      <c r="D37" s="273">
        <v>1</v>
      </c>
      <c r="E37" s="273" t="s">
        <v>1627</v>
      </c>
      <c r="F37" s="273" t="str">
        <f t="shared" si="3"/>
        <v>D1</v>
      </c>
      <c r="G37" s="273" t="str">
        <f t="shared" si="4"/>
        <v/>
      </c>
      <c r="H37" s="273"/>
      <c r="I37" s="273"/>
      <c r="J37" s="273"/>
      <c r="K37" s="273"/>
      <c r="L37" s="273"/>
      <c r="M37" s="273"/>
      <c r="N37" s="193" t="s">
        <v>1661</v>
      </c>
      <c r="O37" s="194">
        <v>1</v>
      </c>
      <c r="P37" s="182">
        <v>1</v>
      </c>
      <c r="Q37" s="182">
        <v>1</v>
      </c>
      <c r="R37" s="195">
        <v>3</v>
      </c>
      <c r="S37" s="273"/>
      <c r="T37" s="273"/>
      <c r="U37" s="273"/>
      <c r="V37" s="273"/>
    </row>
    <row r="38" spans="1:22">
      <c r="A38" s="77">
        <v>44046</v>
      </c>
      <c r="B38" s="51" t="str">
        <f t="shared" si="2"/>
        <v>20200803</v>
      </c>
      <c r="C38" s="273" t="s">
        <v>11</v>
      </c>
      <c r="D38" s="273">
        <v>1</v>
      </c>
      <c r="E38" s="273" t="s">
        <v>1629</v>
      </c>
      <c r="F38" s="273" t="str">
        <f t="shared" si="3"/>
        <v>C1</v>
      </c>
      <c r="G38" s="273">
        <f t="shared" ca="1" si="4"/>
        <v>180</v>
      </c>
      <c r="H38" s="273"/>
      <c r="I38" s="273"/>
      <c r="J38" s="273"/>
      <c r="K38" s="273"/>
      <c r="L38" s="273"/>
      <c r="M38" s="273"/>
      <c r="N38" s="193" t="s">
        <v>1662</v>
      </c>
      <c r="O38" s="194">
        <v>1</v>
      </c>
      <c r="P38" s="182">
        <v>1</v>
      </c>
      <c r="Q38" s="182">
        <v>1</v>
      </c>
      <c r="R38" s="195">
        <v>3</v>
      </c>
      <c r="S38" s="273"/>
      <c r="T38" s="273"/>
      <c r="U38" s="273"/>
      <c r="V38" s="273"/>
    </row>
    <row r="39" spans="1:22">
      <c r="A39" s="77">
        <v>44046</v>
      </c>
      <c r="B39" s="51" t="str">
        <f t="shared" si="2"/>
        <v>20200803</v>
      </c>
      <c r="C39" s="273" t="s">
        <v>16</v>
      </c>
      <c r="D39" s="273">
        <v>1</v>
      </c>
      <c r="E39" s="273" t="s">
        <v>1629</v>
      </c>
      <c r="F39" s="273" t="str">
        <f t="shared" si="3"/>
        <v>D1</v>
      </c>
      <c r="G39" s="273">
        <f t="shared" ca="1" si="4"/>
        <v>180</v>
      </c>
      <c r="H39" s="273"/>
      <c r="I39" s="273"/>
      <c r="J39" s="273"/>
      <c r="K39" s="273"/>
      <c r="L39" s="273"/>
      <c r="M39" s="273"/>
      <c r="N39" s="193" t="s">
        <v>1663</v>
      </c>
      <c r="O39" s="194">
        <v>1</v>
      </c>
      <c r="P39" s="182">
        <v>1</v>
      </c>
      <c r="Q39" s="182">
        <v>1</v>
      </c>
      <c r="R39" s="195">
        <v>3</v>
      </c>
      <c r="S39" s="273"/>
      <c r="T39" s="273"/>
      <c r="U39" s="273"/>
      <c r="V39" s="273"/>
    </row>
    <row r="40" spans="1:22">
      <c r="A40" s="77">
        <v>44046</v>
      </c>
      <c r="B40" s="51" t="str">
        <f t="shared" si="2"/>
        <v>20200803</v>
      </c>
      <c r="C40" s="273" t="s">
        <v>16</v>
      </c>
      <c r="D40" s="273">
        <v>2</v>
      </c>
      <c r="E40" s="273" t="s">
        <v>1627</v>
      </c>
      <c r="F40" s="273" t="str">
        <f t="shared" si="3"/>
        <v>D2</v>
      </c>
      <c r="G40" s="273" t="str">
        <f t="shared" si="4"/>
        <v/>
      </c>
      <c r="H40" s="273"/>
      <c r="I40" s="273"/>
      <c r="J40" s="273"/>
      <c r="K40" s="273"/>
      <c r="L40" s="273"/>
      <c r="M40" s="273"/>
      <c r="N40" s="193" t="s">
        <v>1664</v>
      </c>
      <c r="O40" s="194">
        <v>1</v>
      </c>
      <c r="P40" s="182">
        <v>1</v>
      </c>
      <c r="Q40" s="182">
        <v>1</v>
      </c>
      <c r="R40" s="195">
        <v>3</v>
      </c>
      <c r="S40" s="273"/>
      <c r="T40" s="273"/>
      <c r="U40" s="273"/>
      <c r="V40" s="273"/>
    </row>
    <row r="41" spans="1:22">
      <c r="A41" s="77">
        <v>44046</v>
      </c>
      <c r="B41" s="51" t="str">
        <f t="shared" si="2"/>
        <v>20200803</v>
      </c>
      <c r="C41" s="273" t="s">
        <v>16</v>
      </c>
      <c r="D41" s="273">
        <v>3</v>
      </c>
      <c r="E41" s="273" t="s">
        <v>1627</v>
      </c>
      <c r="F41" s="273" t="str">
        <f t="shared" si="3"/>
        <v>D3</v>
      </c>
      <c r="G41" s="273" t="str">
        <f t="shared" si="4"/>
        <v/>
      </c>
      <c r="H41" s="273"/>
      <c r="I41" s="273"/>
      <c r="J41" s="273"/>
      <c r="K41" s="273"/>
      <c r="L41" s="273"/>
      <c r="M41" s="273"/>
      <c r="N41" s="193" t="s">
        <v>1665</v>
      </c>
      <c r="O41" s="194">
        <v>1</v>
      </c>
      <c r="P41" s="182">
        <v>1</v>
      </c>
      <c r="Q41" s="182">
        <v>1</v>
      </c>
      <c r="R41" s="195">
        <v>3</v>
      </c>
      <c r="S41" s="273"/>
      <c r="T41" s="273"/>
      <c r="U41" s="273"/>
      <c r="V41" s="273"/>
    </row>
    <row r="42" spans="1:22">
      <c r="A42" s="77">
        <v>44054</v>
      </c>
      <c r="B42" s="51" t="str">
        <f t="shared" si="2"/>
        <v>20200811</v>
      </c>
      <c r="C42" s="273" t="s">
        <v>11</v>
      </c>
      <c r="D42" s="273">
        <v>2</v>
      </c>
      <c r="E42" s="273" t="s">
        <v>1627</v>
      </c>
      <c r="F42" s="273" t="str">
        <f t="shared" si="3"/>
        <v>C2</v>
      </c>
      <c r="G42" s="273" t="str">
        <f t="shared" si="4"/>
        <v/>
      </c>
      <c r="H42" s="273"/>
      <c r="I42" s="273"/>
      <c r="J42" s="273"/>
      <c r="K42" s="273"/>
      <c r="L42" s="273"/>
      <c r="M42" s="273"/>
      <c r="N42" s="193" t="s">
        <v>1666</v>
      </c>
      <c r="O42" s="194">
        <v>1</v>
      </c>
      <c r="P42" s="182">
        <v>1</v>
      </c>
      <c r="Q42" s="182">
        <v>1</v>
      </c>
      <c r="R42" s="195">
        <v>3</v>
      </c>
      <c r="S42" s="273"/>
      <c r="T42" s="273"/>
      <c r="U42" s="273"/>
      <c r="V42" s="273"/>
    </row>
    <row r="43" spans="1:22">
      <c r="A43" s="77">
        <v>44054</v>
      </c>
      <c r="B43" s="51" t="str">
        <f t="shared" si="2"/>
        <v>20200811</v>
      </c>
      <c r="C43" s="273" t="s">
        <v>11</v>
      </c>
      <c r="D43" s="273">
        <v>3</v>
      </c>
      <c r="E43" s="273" t="s">
        <v>1627</v>
      </c>
      <c r="F43" s="273" t="str">
        <f t="shared" si="3"/>
        <v>C3</v>
      </c>
      <c r="G43" s="273" t="str">
        <f t="shared" si="4"/>
        <v/>
      </c>
      <c r="H43" s="273"/>
      <c r="I43" s="273"/>
      <c r="J43" s="273"/>
      <c r="K43" s="273"/>
      <c r="L43" s="273"/>
      <c r="M43" s="273"/>
      <c r="N43" s="193" t="s">
        <v>1667</v>
      </c>
      <c r="O43" s="194">
        <v>1</v>
      </c>
      <c r="P43" s="182">
        <v>1</v>
      </c>
      <c r="Q43" s="182">
        <v>1</v>
      </c>
      <c r="R43" s="195">
        <v>3</v>
      </c>
      <c r="S43" s="273"/>
      <c r="T43" s="273"/>
      <c r="U43" s="273"/>
      <c r="V43" s="273"/>
    </row>
    <row r="44" spans="1:22">
      <c r="A44" s="77">
        <v>44054</v>
      </c>
      <c r="B44" s="51" t="str">
        <f t="shared" si="2"/>
        <v>20200811</v>
      </c>
      <c r="C44" s="273" t="s">
        <v>11</v>
      </c>
      <c r="D44" s="273">
        <v>4</v>
      </c>
      <c r="E44" s="273" t="s">
        <v>1627</v>
      </c>
      <c r="F44" s="273" t="str">
        <f t="shared" si="3"/>
        <v>C4</v>
      </c>
      <c r="G44" s="273" t="str">
        <f t="shared" si="4"/>
        <v/>
      </c>
      <c r="H44" s="273"/>
      <c r="I44" s="273"/>
      <c r="J44" s="273"/>
      <c r="K44" s="273"/>
      <c r="L44" s="273"/>
      <c r="M44" s="273"/>
      <c r="N44" s="193" t="s">
        <v>1668</v>
      </c>
      <c r="O44" s="194">
        <v>1</v>
      </c>
      <c r="P44" s="182">
        <v>1</v>
      </c>
      <c r="Q44" s="182">
        <v>1</v>
      </c>
      <c r="R44" s="195">
        <v>3</v>
      </c>
      <c r="S44" s="273"/>
      <c r="T44" s="273"/>
      <c r="U44" s="273"/>
      <c r="V44" s="273"/>
    </row>
    <row r="45" spans="1:22">
      <c r="A45" s="77">
        <v>44054</v>
      </c>
      <c r="B45" s="51" t="str">
        <f t="shared" si="2"/>
        <v>20200811</v>
      </c>
      <c r="C45" s="273" t="s">
        <v>16</v>
      </c>
      <c r="D45" s="273">
        <v>2</v>
      </c>
      <c r="E45" s="273" t="s">
        <v>1629</v>
      </c>
      <c r="F45" s="273" t="str">
        <f t="shared" si="3"/>
        <v>D2</v>
      </c>
      <c r="G45" s="273">
        <f t="shared" ca="1" si="4"/>
        <v>172</v>
      </c>
      <c r="H45" s="273"/>
      <c r="I45" s="273"/>
      <c r="J45" s="273"/>
      <c r="K45" s="273"/>
      <c r="L45" s="273"/>
      <c r="M45" s="273"/>
      <c r="N45" s="193" t="s">
        <v>1669</v>
      </c>
      <c r="O45" s="194">
        <v>1</v>
      </c>
      <c r="P45" s="182">
        <v>1</v>
      </c>
      <c r="Q45" s="182">
        <v>1</v>
      </c>
      <c r="R45" s="195">
        <v>3</v>
      </c>
      <c r="S45" s="273"/>
      <c r="T45" s="273"/>
      <c r="U45" s="273"/>
      <c r="V45" s="273"/>
    </row>
    <row r="46" spans="1:22">
      <c r="A46" s="77">
        <v>44054</v>
      </c>
      <c r="B46" s="51" t="str">
        <f t="shared" si="2"/>
        <v>20200811</v>
      </c>
      <c r="C46" s="273" t="s">
        <v>16</v>
      </c>
      <c r="D46" s="273">
        <v>3</v>
      </c>
      <c r="E46" s="273" t="s">
        <v>1629</v>
      </c>
      <c r="F46" s="273" t="str">
        <f t="shared" si="3"/>
        <v>D3</v>
      </c>
      <c r="G46" s="273">
        <f t="shared" ca="1" si="4"/>
        <v>172</v>
      </c>
      <c r="H46" s="273"/>
      <c r="I46" s="273"/>
      <c r="J46" s="273"/>
      <c r="K46" s="273"/>
      <c r="L46" s="273"/>
      <c r="M46" s="273"/>
      <c r="N46" s="193" t="s">
        <v>1670</v>
      </c>
      <c r="O46" s="194">
        <v>1</v>
      </c>
      <c r="P46" s="182">
        <v>1</v>
      </c>
      <c r="Q46" s="182">
        <v>1</v>
      </c>
      <c r="R46" s="195">
        <v>3</v>
      </c>
      <c r="S46" s="273"/>
      <c r="T46" s="273"/>
      <c r="U46" s="273"/>
      <c r="V46" s="273"/>
    </row>
    <row r="47" spans="1:22">
      <c r="A47" s="77">
        <v>44054</v>
      </c>
      <c r="B47" s="51" t="str">
        <f t="shared" si="2"/>
        <v>20200811</v>
      </c>
      <c r="C47" s="273" t="s">
        <v>16</v>
      </c>
      <c r="D47" s="273">
        <v>4</v>
      </c>
      <c r="E47" s="273" t="s">
        <v>1627</v>
      </c>
      <c r="F47" s="273" t="str">
        <f t="shared" si="3"/>
        <v>D4</v>
      </c>
      <c r="G47" s="273" t="str">
        <f t="shared" si="4"/>
        <v/>
      </c>
      <c r="H47" s="273"/>
      <c r="I47" s="273"/>
      <c r="J47" s="273"/>
      <c r="K47" s="273"/>
      <c r="L47" s="273"/>
      <c r="M47" s="273"/>
      <c r="N47" s="193" t="s">
        <v>1671</v>
      </c>
      <c r="O47" s="194">
        <v>1</v>
      </c>
      <c r="P47" s="182">
        <v>1</v>
      </c>
      <c r="Q47" s="182">
        <v>1</v>
      </c>
      <c r="R47" s="195">
        <v>3</v>
      </c>
      <c r="S47" s="273"/>
      <c r="T47" s="273"/>
      <c r="U47" s="273"/>
      <c r="V47" s="273"/>
    </row>
    <row r="48" spans="1:22">
      <c r="A48" s="77">
        <v>44054</v>
      </c>
      <c r="B48" s="51" t="str">
        <f t="shared" si="2"/>
        <v>20200811</v>
      </c>
      <c r="C48" s="273" t="s">
        <v>16</v>
      </c>
      <c r="D48" s="273">
        <v>5</v>
      </c>
      <c r="E48" s="273" t="s">
        <v>1627</v>
      </c>
      <c r="F48" s="273" t="str">
        <f t="shared" si="3"/>
        <v>D5</v>
      </c>
      <c r="G48" s="273" t="str">
        <f t="shared" si="4"/>
        <v/>
      </c>
      <c r="H48" s="273"/>
      <c r="I48" s="273"/>
      <c r="J48" s="273"/>
      <c r="K48" s="273"/>
      <c r="L48" s="273"/>
      <c r="M48" s="273"/>
      <c r="N48" s="193" t="s">
        <v>1672</v>
      </c>
      <c r="O48" s="194">
        <v>1</v>
      </c>
      <c r="P48" s="182">
        <v>1</v>
      </c>
      <c r="Q48" s="182">
        <v>1</v>
      </c>
      <c r="R48" s="195">
        <v>3</v>
      </c>
      <c r="S48" s="273"/>
      <c r="T48" s="273"/>
      <c r="U48" s="273"/>
      <c r="V48" s="273"/>
    </row>
    <row r="49" spans="1:22">
      <c r="A49" s="77">
        <v>44054</v>
      </c>
      <c r="B49" s="51" t="str">
        <f t="shared" si="2"/>
        <v>20200811</v>
      </c>
      <c r="C49" s="273" t="s">
        <v>16</v>
      </c>
      <c r="D49" s="273">
        <v>6</v>
      </c>
      <c r="E49" s="273" t="s">
        <v>1627</v>
      </c>
      <c r="F49" s="273" t="str">
        <f t="shared" si="3"/>
        <v>D6</v>
      </c>
      <c r="G49" s="273" t="str">
        <f t="shared" si="4"/>
        <v/>
      </c>
      <c r="H49" s="273"/>
      <c r="I49" s="273"/>
      <c r="J49" s="273"/>
      <c r="K49" s="273"/>
      <c r="L49" s="273"/>
      <c r="M49" s="273"/>
      <c r="N49" s="193" t="s">
        <v>1673</v>
      </c>
      <c r="O49" s="194">
        <v>1</v>
      </c>
      <c r="P49" s="182">
        <v>1</v>
      </c>
      <c r="Q49" s="182">
        <v>1</v>
      </c>
      <c r="R49" s="195">
        <v>3</v>
      </c>
      <c r="S49" s="273"/>
      <c r="T49" s="273"/>
      <c r="U49" s="273"/>
      <c r="V49" s="273"/>
    </row>
    <row r="50" spans="1:22">
      <c r="A50" s="77">
        <v>44054</v>
      </c>
      <c r="B50" s="51" t="str">
        <f t="shared" si="2"/>
        <v>20200811</v>
      </c>
      <c r="C50" s="273" t="s">
        <v>16</v>
      </c>
      <c r="D50" s="273">
        <v>7</v>
      </c>
      <c r="E50" s="273" t="s">
        <v>1627</v>
      </c>
      <c r="F50" s="273" t="str">
        <f t="shared" si="3"/>
        <v>D7</v>
      </c>
      <c r="G50" s="273" t="str">
        <f t="shared" si="4"/>
        <v/>
      </c>
      <c r="H50" s="273"/>
      <c r="I50" s="273"/>
      <c r="J50" s="273"/>
      <c r="K50" s="273"/>
      <c r="L50" s="273"/>
      <c r="M50" s="273"/>
      <c r="N50" s="193" t="s">
        <v>1674</v>
      </c>
      <c r="O50" s="194">
        <v>1</v>
      </c>
      <c r="P50" s="182">
        <v>1</v>
      </c>
      <c r="Q50" s="182"/>
      <c r="R50" s="195">
        <v>2</v>
      </c>
      <c r="S50" s="273"/>
      <c r="T50" s="273"/>
      <c r="U50" s="273"/>
      <c r="V50" s="273"/>
    </row>
    <row r="51" spans="1:22">
      <c r="A51" s="77">
        <v>44054</v>
      </c>
      <c r="B51" s="51" t="str">
        <f t="shared" si="2"/>
        <v>20200811</v>
      </c>
      <c r="C51" s="273" t="s">
        <v>16</v>
      </c>
      <c r="D51" s="273">
        <v>8</v>
      </c>
      <c r="E51" s="273" t="s">
        <v>1627</v>
      </c>
      <c r="F51" s="273" t="str">
        <f t="shared" si="3"/>
        <v>D8</v>
      </c>
      <c r="G51" s="273" t="str">
        <f t="shared" si="4"/>
        <v/>
      </c>
      <c r="H51" s="273"/>
      <c r="I51" s="273"/>
      <c r="J51" s="273"/>
      <c r="K51" s="273"/>
      <c r="L51" s="273"/>
      <c r="M51" s="273"/>
      <c r="N51" s="193" t="s">
        <v>1675</v>
      </c>
      <c r="O51" s="194">
        <v>1</v>
      </c>
      <c r="P51" s="182">
        <v>1</v>
      </c>
      <c r="Q51" s="182">
        <v>1</v>
      </c>
      <c r="R51" s="195">
        <v>3</v>
      </c>
      <c r="S51" s="273"/>
      <c r="T51" s="273"/>
      <c r="U51" s="273"/>
      <c r="V51" s="273"/>
    </row>
    <row r="52" spans="1:22">
      <c r="A52" s="77">
        <v>44054</v>
      </c>
      <c r="B52" s="51" t="str">
        <f t="shared" si="2"/>
        <v>20200811</v>
      </c>
      <c r="C52" s="273" t="s">
        <v>16</v>
      </c>
      <c r="D52" s="273">
        <v>9</v>
      </c>
      <c r="E52" s="273" t="s">
        <v>1627</v>
      </c>
      <c r="F52" s="273" t="str">
        <f t="shared" si="3"/>
        <v>D9</v>
      </c>
      <c r="G52" s="273" t="str">
        <f t="shared" si="4"/>
        <v/>
      </c>
      <c r="H52" s="273"/>
      <c r="I52" s="273"/>
      <c r="J52" s="273"/>
      <c r="K52" s="273"/>
      <c r="L52" s="273"/>
      <c r="M52" s="273"/>
      <c r="N52" s="193" t="s">
        <v>1676</v>
      </c>
      <c r="O52" s="194">
        <v>1</v>
      </c>
      <c r="P52" s="182">
        <v>1</v>
      </c>
      <c r="Q52" s="182">
        <v>1</v>
      </c>
      <c r="R52" s="195">
        <v>3</v>
      </c>
      <c r="S52" s="273"/>
      <c r="T52" s="273"/>
      <c r="U52" s="273"/>
      <c r="V52" s="273"/>
    </row>
    <row r="53" spans="1:22">
      <c r="A53" s="77">
        <v>44054</v>
      </c>
      <c r="B53" s="51" t="str">
        <f t="shared" si="2"/>
        <v>20200811</v>
      </c>
      <c r="C53" s="273" t="s">
        <v>16</v>
      </c>
      <c r="D53" s="273">
        <v>10</v>
      </c>
      <c r="E53" s="273" t="s">
        <v>1627</v>
      </c>
      <c r="F53" s="273" t="str">
        <f t="shared" si="3"/>
        <v>D10</v>
      </c>
      <c r="G53" s="273" t="str">
        <f t="shared" si="4"/>
        <v/>
      </c>
      <c r="H53" s="273"/>
      <c r="I53" s="273"/>
      <c r="J53" s="273"/>
      <c r="K53" s="273"/>
      <c r="L53" s="273"/>
      <c r="M53" s="273"/>
      <c r="N53" s="193" t="s">
        <v>1677</v>
      </c>
      <c r="O53" s="194">
        <v>1</v>
      </c>
      <c r="P53" s="182">
        <v>1</v>
      </c>
      <c r="Q53" s="182"/>
      <c r="R53" s="195">
        <v>2</v>
      </c>
      <c r="S53" s="273"/>
      <c r="T53" s="273"/>
      <c r="U53" s="273"/>
      <c r="V53" s="273"/>
    </row>
    <row r="54" spans="1:22">
      <c r="A54" s="77">
        <v>44054</v>
      </c>
      <c r="B54" s="51" t="str">
        <f t="shared" si="2"/>
        <v>20200811</v>
      </c>
      <c r="C54" s="273" t="s">
        <v>16</v>
      </c>
      <c r="D54" s="273">
        <v>11</v>
      </c>
      <c r="E54" s="273" t="s">
        <v>1627</v>
      </c>
      <c r="F54" s="273" t="str">
        <f t="shared" si="3"/>
        <v>D11</v>
      </c>
      <c r="G54" s="273" t="str">
        <f t="shared" si="4"/>
        <v/>
      </c>
      <c r="H54" s="273"/>
      <c r="I54" s="273"/>
      <c r="J54" s="273"/>
      <c r="K54" s="273"/>
      <c r="L54" s="273"/>
      <c r="M54" s="273"/>
      <c r="N54" s="193" t="s">
        <v>1678</v>
      </c>
      <c r="O54" s="194">
        <v>1</v>
      </c>
      <c r="P54" s="182">
        <v>1</v>
      </c>
      <c r="Q54" s="182"/>
      <c r="R54" s="195">
        <v>2</v>
      </c>
      <c r="S54" s="273"/>
      <c r="T54" s="273"/>
      <c r="U54" s="273"/>
      <c r="V54" s="273"/>
    </row>
    <row r="55" spans="1:22">
      <c r="A55" s="77">
        <v>44057</v>
      </c>
      <c r="B55" s="51" t="str">
        <f t="shared" si="2"/>
        <v>20200814</v>
      </c>
      <c r="C55" s="273" t="s">
        <v>11</v>
      </c>
      <c r="D55" s="273">
        <v>2</v>
      </c>
      <c r="E55" s="273" t="s">
        <v>1629</v>
      </c>
      <c r="F55" s="273" t="str">
        <f t="shared" si="3"/>
        <v>C2</v>
      </c>
      <c r="G55" s="273">
        <f t="shared" ca="1" si="4"/>
        <v>169</v>
      </c>
      <c r="H55" s="273"/>
      <c r="I55" s="273"/>
      <c r="J55" s="273"/>
      <c r="K55" s="273"/>
      <c r="L55" s="273"/>
      <c r="M55" s="273"/>
      <c r="N55" s="193" t="s">
        <v>1679</v>
      </c>
      <c r="O55" s="194">
        <v>1</v>
      </c>
      <c r="P55" s="182">
        <v>1</v>
      </c>
      <c r="Q55" s="182"/>
      <c r="R55" s="195">
        <v>2</v>
      </c>
      <c r="S55" s="273"/>
      <c r="T55" s="273"/>
      <c r="U55" s="273"/>
      <c r="V55" s="273"/>
    </row>
    <row r="56" spans="1:22">
      <c r="A56" s="77">
        <v>44057</v>
      </c>
      <c r="B56" s="51" t="str">
        <f t="shared" si="2"/>
        <v>20200814</v>
      </c>
      <c r="C56" s="273" t="s">
        <v>11</v>
      </c>
      <c r="D56" s="273">
        <v>3</v>
      </c>
      <c r="E56" s="273" t="s">
        <v>1629</v>
      </c>
      <c r="F56" s="273" t="str">
        <f t="shared" si="3"/>
        <v>C3</v>
      </c>
      <c r="G56" s="273">
        <f t="shared" ca="1" si="4"/>
        <v>169</v>
      </c>
      <c r="H56" s="273"/>
      <c r="I56" s="273"/>
      <c r="J56" s="273"/>
      <c r="K56" s="273"/>
      <c r="L56" s="273"/>
      <c r="M56" s="273"/>
      <c r="N56" s="193" t="s">
        <v>1680</v>
      </c>
      <c r="O56" s="194">
        <v>1</v>
      </c>
      <c r="P56" s="182">
        <v>1</v>
      </c>
      <c r="Q56" s="182"/>
      <c r="R56" s="195">
        <v>2</v>
      </c>
      <c r="S56" s="273"/>
      <c r="T56" s="273"/>
      <c r="U56" s="273"/>
      <c r="V56" s="273"/>
    </row>
    <row r="57" spans="1:22" s="79" customFormat="1">
      <c r="A57" s="77">
        <v>44057</v>
      </c>
      <c r="B57" s="51" t="str">
        <f t="shared" si="2"/>
        <v>20200814</v>
      </c>
      <c r="C57" s="273" t="s">
        <v>11</v>
      </c>
      <c r="D57" s="273">
        <v>4</v>
      </c>
      <c r="E57" s="273" t="s">
        <v>1629</v>
      </c>
      <c r="F57" s="273" t="str">
        <f t="shared" si="3"/>
        <v>C4</v>
      </c>
      <c r="G57" s="273">
        <f t="shared" ca="1" si="4"/>
        <v>169</v>
      </c>
      <c r="H57" s="273"/>
      <c r="I57" s="273"/>
      <c r="J57" s="273"/>
      <c r="K57" s="273"/>
      <c r="L57" s="273"/>
      <c r="M57" s="273"/>
      <c r="N57" s="193" t="s">
        <v>1681</v>
      </c>
      <c r="O57" s="194">
        <v>1</v>
      </c>
      <c r="P57" s="182">
        <v>1</v>
      </c>
      <c r="Q57" s="182"/>
      <c r="R57" s="195">
        <v>2</v>
      </c>
      <c r="S57" s="273"/>
      <c r="T57" s="273"/>
      <c r="U57" s="273"/>
      <c r="V57" s="273"/>
    </row>
    <row r="58" spans="1:22" s="79" customFormat="1">
      <c r="A58" s="77">
        <v>44057</v>
      </c>
      <c r="B58" s="51" t="str">
        <f t="shared" si="2"/>
        <v>20200814</v>
      </c>
      <c r="C58" s="273" t="s">
        <v>24</v>
      </c>
      <c r="D58" s="273"/>
      <c r="E58" s="273" t="s">
        <v>1638</v>
      </c>
      <c r="F58" s="273" t="str">
        <f t="shared" si="3"/>
        <v>E</v>
      </c>
      <c r="G58" s="273" t="str">
        <f t="shared" si="4"/>
        <v/>
      </c>
      <c r="H58" s="273"/>
      <c r="I58" s="273"/>
      <c r="J58" s="273"/>
      <c r="K58" s="273"/>
      <c r="L58" s="273"/>
      <c r="M58" s="273"/>
      <c r="N58" s="193" t="s">
        <v>1682</v>
      </c>
      <c r="O58" s="194">
        <v>1</v>
      </c>
      <c r="P58" s="182">
        <v>1</v>
      </c>
      <c r="Q58" s="182">
        <v>1</v>
      </c>
      <c r="R58" s="195">
        <v>3</v>
      </c>
      <c r="S58" s="273"/>
      <c r="T58" s="273"/>
      <c r="U58" s="273"/>
      <c r="V58" s="273"/>
    </row>
    <row r="59" spans="1:22" s="79" customFormat="1">
      <c r="A59" s="77">
        <v>44057</v>
      </c>
      <c r="B59" s="51" t="str">
        <f t="shared" si="2"/>
        <v>20200814</v>
      </c>
      <c r="C59" s="273" t="s">
        <v>24</v>
      </c>
      <c r="D59" s="273"/>
      <c r="E59" s="273" t="s">
        <v>1638</v>
      </c>
      <c r="F59" s="273" t="str">
        <f t="shared" si="3"/>
        <v>E</v>
      </c>
      <c r="G59" s="273" t="str">
        <f t="shared" si="4"/>
        <v/>
      </c>
      <c r="H59" s="273"/>
      <c r="I59" s="273"/>
      <c r="J59" s="273"/>
      <c r="K59" s="273"/>
      <c r="L59" s="273"/>
      <c r="M59" s="273"/>
      <c r="N59" s="193" t="s">
        <v>1683</v>
      </c>
      <c r="O59" s="194">
        <v>1</v>
      </c>
      <c r="P59" s="182">
        <v>1</v>
      </c>
      <c r="Q59" s="182"/>
      <c r="R59" s="195">
        <v>2</v>
      </c>
      <c r="S59" s="273"/>
      <c r="T59" s="273"/>
      <c r="U59" s="273"/>
      <c r="V59" s="273"/>
    </row>
    <row r="60" spans="1:22" s="79" customFormat="1">
      <c r="A60" s="77">
        <v>44060</v>
      </c>
      <c r="B60" s="51" t="str">
        <f t="shared" si="2"/>
        <v>20200817</v>
      </c>
      <c r="C60" s="273" t="s">
        <v>11</v>
      </c>
      <c r="D60" s="273"/>
      <c r="E60" s="273" t="s">
        <v>1638</v>
      </c>
      <c r="F60" s="273" t="str">
        <f t="shared" si="3"/>
        <v>C</v>
      </c>
      <c r="G60" s="273" t="str">
        <f t="shared" si="4"/>
        <v/>
      </c>
      <c r="H60" s="273"/>
      <c r="I60" s="273"/>
      <c r="J60" s="273"/>
      <c r="K60" s="273"/>
      <c r="L60" s="273"/>
      <c r="M60" s="273"/>
      <c r="N60" s="193" t="s">
        <v>1684</v>
      </c>
      <c r="O60" s="194">
        <v>1</v>
      </c>
      <c r="P60" s="182">
        <v>1</v>
      </c>
      <c r="Q60" s="182"/>
      <c r="R60" s="195">
        <v>2</v>
      </c>
      <c r="S60" s="273"/>
      <c r="T60" s="273"/>
      <c r="U60" s="273"/>
      <c r="V60" s="273"/>
    </row>
    <row r="61" spans="1:22" s="79" customFormat="1">
      <c r="A61" s="77">
        <v>44060</v>
      </c>
      <c r="B61" s="51" t="str">
        <f t="shared" si="2"/>
        <v>20200817</v>
      </c>
      <c r="C61" s="273" t="s">
        <v>11</v>
      </c>
      <c r="D61" s="273"/>
      <c r="E61" s="273" t="s">
        <v>1638</v>
      </c>
      <c r="F61" s="273" t="str">
        <f t="shared" si="3"/>
        <v>C</v>
      </c>
      <c r="G61" s="273" t="str">
        <f t="shared" si="4"/>
        <v/>
      </c>
      <c r="H61" s="273"/>
      <c r="I61" s="273"/>
      <c r="J61" s="273"/>
      <c r="K61" s="273"/>
      <c r="L61" s="273"/>
      <c r="M61" s="273"/>
      <c r="N61" s="193" t="s">
        <v>1685</v>
      </c>
      <c r="O61" s="194">
        <v>1</v>
      </c>
      <c r="P61" s="182">
        <v>1</v>
      </c>
      <c r="Q61" s="182"/>
      <c r="R61" s="195">
        <v>2</v>
      </c>
      <c r="S61" s="273"/>
      <c r="T61" s="273"/>
      <c r="U61" s="273"/>
      <c r="V61" s="273"/>
    </row>
    <row r="62" spans="1:22" s="79" customFormat="1">
      <c r="A62" s="77">
        <v>44060</v>
      </c>
      <c r="B62" s="51" t="str">
        <f t="shared" si="2"/>
        <v>20200817</v>
      </c>
      <c r="C62" s="273" t="s">
        <v>16</v>
      </c>
      <c r="D62" s="273">
        <v>4</v>
      </c>
      <c r="E62" s="273" t="s">
        <v>1629</v>
      </c>
      <c r="F62" s="273" t="str">
        <f t="shared" si="3"/>
        <v>D4</v>
      </c>
      <c r="G62" s="273">
        <f t="shared" ca="1" si="4"/>
        <v>166</v>
      </c>
      <c r="H62" s="273"/>
      <c r="I62" s="273"/>
      <c r="J62" s="273"/>
      <c r="K62" s="273"/>
      <c r="L62" s="273"/>
      <c r="M62" s="273"/>
      <c r="N62" s="193" t="s">
        <v>1686</v>
      </c>
      <c r="O62" s="194">
        <v>1</v>
      </c>
      <c r="P62" s="182">
        <v>1</v>
      </c>
      <c r="Q62" s="182"/>
      <c r="R62" s="195">
        <v>2</v>
      </c>
      <c r="S62" s="273"/>
      <c r="T62" s="273"/>
      <c r="U62" s="273"/>
      <c r="V62" s="273"/>
    </row>
    <row r="63" spans="1:22" s="79" customFormat="1">
      <c r="A63" s="77">
        <v>44060</v>
      </c>
      <c r="B63" s="51" t="str">
        <f t="shared" si="2"/>
        <v>20200817</v>
      </c>
      <c r="C63" s="273" t="s">
        <v>16</v>
      </c>
      <c r="D63" s="273">
        <v>6</v>
      </c>
      <c r="E63" s="273" t="s">
        <v>1629</v>
      </c>
      <c r="F63" s="273" t="str">
        <f t="shared" si="3"/>
        <v>D6</v>
      </c>
      <c r="G63" s="273">
        <f t="shared" ca="1" si="4"/>
        <v>166</v>
      </c>
      <c r="H63" s="273"/>
      <c r="I63" s="273"/>
      <c r="J63" s="273"/>
      <c r="K63" s="273"/>
      <c r="L63" s="273"/>
      <c r="M63" s="273"/>
      <c r="N63" s="193" t="s">
        <v>1687</v>
      </c>
      <c r="O63" s="194">
        <v>1</v>
      </c>
      <c r="P63" s="182">
        <v>1</v>
      </c>
      <c r="Q63" s="182">
        <v>1</v>
      </c>
      <c r="R63" s="195">
        <v>3</v>
      </c>
      <c r="S63" s="273"/>
      <c r="T63" s="273"/>
      <c r="U63" s="273"/>
      <c r="V63" s="273"/>
    </row>
    <row r="64" spans="1:22" s="79" customFormat="1">
      <c r="A64" s="77">
        <v>44060</v>
      </c>
      <c r="B64" s="51" t="str">
        <f t="shared" si="2"/>
        <v>20200817</v>
      </c>
      <c r="C64" s="273" t="s">
        <v>16</v>
      </c>
      <c r="D64" s="273">
        <v>7</v>
      </c>
      <c r="E64" s="273" t="s">
        <v>1629</v>
      </c>
      <c r="F64" s="273" t="str">
        <f t="shared" si="3"/>
        <v>D7</v>
      </c>
      <c r="G64" s="273">
        <f t="shared" ca="1" si="4"/>
        <v>166</v>
      </c>
      <c r="H64" s="273"/>
      <c r="I64" s="273"/>
      <c r="J64" s="273"/>
      <c r="K64" s="273"/>
      <c r="L64" s="273"/>
      <c r="M64" s="273"/>
      <c r="N64" s="193" t="s">
        <v>1688</v>
      </c>
      <c r="O64" s="194">
        <v>1</v>
      </c>
      <c r="P64" s="182">
        <v>1</v>
      </c>
      <c r="Q64" s="182">
        <v>1</v>
      </c>
      <c r="R64" s="195">
        <v>3</v>
      </c>
      <c r="S64" s="273"/>
      <c r="T64" s="273"/>
      <c r="U64" s="273"/>
      <c r="V64" s="273"/>
    </row>
    <row r="65" spans="1:22">
      <c r="A65" s="77">
        <v>44060</v>
      </c>
      <c r="B65" s="51" t="str">
        <f t="shared" si="2"/>
        <v>20200817</v>
      </c>
      <c r="C65" s="273" t="s">
        <v>16</v>
      </c>
      <c r="D65" s="273">
        <v>10</v>
      </c>
      <c r="E65" s="273" t="s">
        <v>1629</v>
      </c>
      <c r="F65" s="273" t="str">
        <f t="shared" si="3"/>
        <v>D10</v>
      </c>
      <c r="G65" s="273">
        <f t="shared" ca="1" si="4"/>
        <v>166</v>
      </c>
      <c r="H65" s="273"/>
      <c r="I65" s="273"/>
      <c r="J65" s="273"/>
      <c r="K65" s="273"/>
      <c r="L65" s="273"/>
      <c r="M65" s="273"/>
      <c r="N65" s="193" t="s">
        <v>1689</v>
      </c>
      <c r="O65" s="194">
        <v>1</v>
      </c>
      <c r="P65" s="182">
        <v>1</v>
      </c>
      <c r="Q65" s="182">
        <v>1</v>
      </c>
      <c r="R65" s="195">
        <v>3</v>
      </c>
      <c r="S65" s="273"/>
      <c r="T65" s="273"/>
      <c r="U65" s="273"/>
      <c r="V65" s="273"/>
    </row>
    <row r="66" spans="1:22">
      <c r="A66" s="77">
        <v>44060</v>
      </c>
      <c r="B66" s="51" t="str">
        <f t="shared" si="2"/>
        <v>20200817</v>
      </c>
      <c r="C66" s="273" t="s">
        <v>16</v>
      </c>
      <c r="D66" s="273">
        <v>11</v>
      </c>
      <c r="E66" s="273" t="s">
        <v>1629</v>
      </c>
      <c r="F66" s="273" t="str">
        <f t="shared" ref="F66:F92" si="5">_xlfn.CONCAT(C66:D66)</f>
        <v>D11</v>
      </c>
      <c r="G66" s="273">
        <f t="shared" ref="G66:G130" ca="1" si="6">IF(E66="Light",$O$8-A66,"")</f>
        <v>166</v>
      </c>
      <c r="H66" s="273"/>
      <c r="I66" s="273"/>
      <c r="J66" s="273"/>
      <c r="K66" s="273"/>
      <c r="L66" s="273"/>
      <c r="M66" s="273"/>
      <c r="N66" s="193" t="s">
        <v>1690</v>
      </c>
      <c r="O66" s="194">
        <v>1</v>
      </c>
      <c r="P66" s="182">
        <v>1</v>
      </c>
      <c r="Q66" s="182">
        <v>1</v>
      </c>
      <c r="R66" s="195">
        <v>3</v>
      </c>
      <c r="S66" s="273"/>
      <c r="T66" s="273"/>
      <c r="U66" s="273"/>
      <c r="V66" s="273"/>
    </row>
    <row r="67" spans="1:22">
      <c r="A67" s="77">
        <v>44060</v>
      </c>
      <c r="B67" s="51" t="str">
        <f t="shared" ref="B67:B99" si="7">TEXT(A67, "yyyymmdd")</f>
        <v>20200817</v>
      </c>
      <c r="C67" s="273" t="s">
        <v>16</v>
      </c>
      <c r="D67" s="273"/>
      <c r="E67" s="273" t="s">
        <v>1638</v>
      </c>
      <c r="F67" s="273" t="str">
        <f t="shared" si="5"/>
        <v>D</v>
      </c>
      <c r="G67" s="273" t="str">
        <f t="shared" si="6"/>
        <v/>
      </c>
      <c r="H67" s="273"/>
      <c r="I67" s="273"/>
      <c r="J67" s="273"/>
      <c r="K67" s="273"/>
      <c r="L67" s="273"/>
      <c r="M67" s="273"/>
      <c r="N67" s="193" t="s">
        <v>1691</v>
      </c>
      <c r="O67" s="194">
        <v>1</v>
      </c>
      <c r="P67" s="182">
        <v>1</v>
      </c>
      <c r="Q67" s="182">
        <v>1</v>
      </c>
      <c r="R67" s="195">
        <v>3</v>
      </c>
      <c r="S67" s="273"/>
      <c r="T67" s="273"/>
      <c r="U67" s="273"/>
      <c r="V67" s="273"/>
    </row>
    <row r="68" spans="1:22">
      <c r="A68" s="77">
        <v>44062</v>
      </c>
      <c r="B68" s="51" t="str">
        <f t="shared" si="7"/>
        <v>20200819</v>
      </c>
      <c r="C68" s="273" t="s">
        <v>8</v>
      </c>
      <c r="D68" s="273"/>
      <c r="E68" s="273" t="s">
        <v>1638</v>
      </c>
      <c r="F68" s="273" t="str">
        <f t="shared" si="5"/>
        <v>A</v>
      </c>
      <c r="G68" s="273" t="str">
        <f t="shared" si="6"/>
        <v/>
      </c>
      <c r="H68" s="273"/>
      <c r="I68" s="273"/>
      <c r="J68" s="273"/>
      <c r="K68" s="273"/>
      <c r="L68" s="273"/>
      <c r="M68" s="273"/>
      <c r="N68" s="193" t="s">
        <v>1692</v>
      </c>
      <c r="O68" s="194">
        <v>1</v>
      </c>
      <c r="P68" s="182">
        <v>1</v>
      </c>
      <c r="Q68" s="182">
        <v>1</v>
      </c>
      <c r="R68" s="195">
        <v>3</v>
      </c>
      <c r="S68" s="273"/>
      <c r="T68" s="273"/>
      <c r="U68" s="273"/>
      <c r="V68" s="273"/>
    </row>
    <row r="69" spans="1:22">
      <c r="A69" s="77">
        <v>44062</v>
      </c>
      <c r="B69" s="51" t="str">
        <f t="shared" si="7"/>
        <v>20200819</v>
      </c>
      <c r="C69" s="273" t="s">
        <v>11</v>
      </c>
      <c r="D69" s="273">
        <v>1</v>
      </c>
      <c r="E69" s="273" t="s">
        <v>1638</v>
      </c>
      <c r="F69" s="273" t="str">
        <f t="shared" si="5"/>
        <v>C1</v>
      </c>
      <c r="G69" s="273" t="str">
        <f t="shared" si="6"/>
        <v/>
      </c>
      <c r="H69" s="273"/>
      <c r="I69" s="273"/>
      <c r="J69" s="273"/>
      <c r="K69" s="273"/>
      <c r="L69" s="273"/>
      <c r="M69" s="273"/>
      <c r="N69" s="193" t="s">
        <v>16</v>
      </c>
      <c r="O69" s="194">
        <v>4</v>
      </c>
      <c r="P69" s="182">
        <v>4</v>
      </c>
      <c r="Q69" s="182">
        <v>4</v>
      </c>
      <c r="R69" s="195">
        <v>12</v>
      </c>
      <c r="S69" s="273"/>
      <c r="T69" s="273"/>
      <c r="U69" s="273"/>
      <c r="V69" s="273"/>
    </row>
    <row r="70" spans="1:22">
      <c r="A70" s="77">
        <v>44062</v>
      </c>
      <c r="B70" s="51" t="str">
        <f t="shared" si="7"/>
        <v>20200819</v>
      </c>
      <c r="C70" s="273" t="s">
        <v>11</v>
      </c>
      <c r="D70" s="273"/>
      <c r="E70" s="273" t="s">
        <v>1638</v>
      </c>
      <c r="F70" s="273" t="str">
        <f t="shared" si="5"/>
        <v>C</v>
      </c>
      <c r="G70" s="273" t="str">
        <f t="shared" si="6"/>
        <v/>
      </c>
      <c r="H70" s="273"/>
      <c r="I70" s="273"/>
      <c r="J70" s="273"/>
      <c r="K70" s="273"/>
      <c r="L70" s="273"/>
      <c r="M70" s="273"/>
      <c r="N70" s="193" t="s">
        <v>1693</v>
      </c>
      <c r="O70" s="194">
        <v>1</v>
      </c>
      <c r="P70" s="182">
        <v>1</v>
      </c>
      <c r="Q70" s="182">
        <v>1</v>
      </c>
      <c r="R70" s="195">
        <v>3</v>
      </c>
      <c r="S70" s="273"/>
      <c r="T70" s="273"/>
      <c r="U70" s="273"/>
      <c r="V70" s="273"/>
    </row>
    <row r="71" spans="1:22">
      <c r="A71" s="77">
        <v>44062</v>
      </c>
      <c r="B71" s="51" t="str">
        <f t="shared" si="7"/>
        <v>20200819</v>
      </c>
      <c r="C71" s="273" t="s">
        <v>11</v>
      </c>
      <c r="D71" s="273"/>
      <c r="E71" s="273" t="s">
        <v>1638</v>
      </c>
      <c r="F71" s="273" t="str">
        <f t="shared" si="5"/>
        <v>C</v>
      </c>
      <c r="G71" s="273" t="str">
        <f t="shared" si="6"/>
        <v/>
      </c>
      <c r="H71" s="273"/>
      <c r="I71" s="273"/>
      <c r="J71" s="273"/>
      <c r="K71" s="273"/>
      <c r="L71" s="273"/>
      <c r="M71" s="273"/>
      <c r="N71" s="193" t="s">
        <v>1694</v>
      </c>
      <c r="O71" s="194">
        <v>1</v>
      </c>
      <c r="P71" s="182">
        <v>1</v>
      </c>
      <c r="Q71" s="182">
        <v>1</v>
      </c>
      <c r="R71" s="195">
        <v>3</v>
      </c>
      <c r="S71" s="273"/>
      <c r="T71" s="273"/>
      <c r="U71" s="273"/>
      <c r="V71" s="273"/>
    </row>
    <row r="72" spans="1:22">
      <c r="A72" s="77">
        <v>44062</v>
      </c>
      <c r="B72" s="51" t="str">
        <f t="shared" si="7"/>
        <v>20200819</v>
      </c>
      <c r="C72" s="273" t="s">
        <v>11</v>
      </c>
      <c r="D72" s="273"/>
      <c r="E72" s="273" t="s">
        <v>1638</v>
      </c>
      <c r="F72" s="273" t="str">
        <f t="shared" si="5"/>
        <v>C</v>
      </c>
      <c r="G72" s="273" t="str">
        <f t="shared" si="6"/>
        <v/>
      </c>
      <c r="H72" s="273"/>
      <c r="I72" s="273"/>
      <c r="J72" s="273"/>
      <c r="K72" s="273"/>
      <c r="L72" s="273"/>
      <c r="M72" s="273"/>
      <c r="N72" s="193" t="s">
        <v>1695</v>
      </c>
      <c r="O72" s="194">
        <v>1</v>
      </c>
      <c r="P72" s="182">
        <v>1</v>
      </c>
      <c r="Q72" s="182">
        <v>1</v>
      </c>
      <c r="R72" s="195">
        <v>3</v>
      </c>
      <c r="S72" s="273"/>
      <c r="T72" s="273"/>
      <c r="U72" s="273"/>
      <c r="V72" s="273"/>
    </row>
    <row r="73" spans="1:22">
      <c r="A73" s="77">
        <v>44062</v>
      </c>
      <c r="B73" s="51" t="str">
        <f t="shared" si="7"/>
        <v>20200819</v>
      </c>
      <c r="C73" s="273" t="s">
        <v>11</v>
      </c>
      <c r="D73" s="273"/>
      <c r="E73" s="273" t="s">
        <v>1638</v>
      </c>
      <c r="F73" s="273" t="str">
        <f t="shared" si="5"/>
        <v>C</v>
      </c>
      <c r="G73" s="273" t="str">
        <f t="shared" si="6"/>
        <v/>
      </c>
      <c r="H73" s="273"/>
      <c r="I73" s="273"/>
      <c r="J73" s="273"/>
      <c r="K73" s="273"/>
      <c r="L73" s="273"/>
      <c r="M73" s="273"/>
      <c r="N73" s="193" t="s">
        <v>1696</v>
      </c>
      <c r="O73" s="194">
        <v>1</v>
      </c>
      <c r="P73" s="182">
        <v>1</v>
      </c>
      <c r="Q73" s="182">
        <v>1</v>
      </c>
      <c r="R73" s="195">
        <v>3</v>
      </c>
      <c r="S73" s="273"/>
      <c r="T73" s="273"/>
      <c r="U73" s="273"/>
      <c r="V73" s="273"/>
    </row>
    <row r="74" spans="1:22">
      <c r="A74" s="77">
        <v>44062</v>
      </c>
      <c r="B74" s="51" t="str">
        <f t="shared" si="7"/>
        <v>20200819</v>
      </c>
      <c r="C74" s="273" t="s">
        <v>16</v>
      </c>
      <c r="D74" s="273">
        <v>1</v>
      </c>
      <c r="E74" s="273" t="s">
        <v>1638</v>
      </c>
      <c r="F74" s="273" t="str">
        <f t="shared" si="5"/>
        <v>D1</v>
      </c>
      <c r="G74" s="273" t="str">
        <f t="shared" si="6"/>
        <v/>
      </c>
      <c r="H74" s="273"/>
      <c r="I74" s="273"/>
      <c r="J74" s="273"/>
      <c r="K74" s="273"/>
      <c r="L74" s="273"/>
      <c r="M74" s="273"/>
      <c r="N74" s="193" t="s">
        <v>1697</v>
      </c>
      <c r="O74" s="194">
        <v>1</v>
      </c>
      <c r="P74" s="182">
        <v>1</v>
      </c>
      <c r="Q74" s="182">
        <v>1</v>
      </c>
      <c r="R74" s="195">
        <v>3</v>
      </c>
      <c r="S74" s="273"/>
      <c r="T74" s="273"/>
      <c r="U74" s="273"/>
      <c r="V74" s="273"/>
    </row>
    <row r="75" spans="1:22">
      <c r="A75" s="77">
        <v>44062</v>
      </c>
      <c r="B75" s="51" t="str">
        <f t="shared" si="7"/>
        <v>20200819</v>
      </c>
      <c r="C75" s="273" t="s">
        <v>16</v>
      </c>
      <c r="D75" s="273">
        <v>5</v>
      </c>
      <c r="E75" s="273" t="s">
        <v>1629</v>
      </c>
      <c r="F75" s="273" t="str">
        <f t="shared" si="5"/>
        <v>D5</v>
      </c>
      <c r="G75" s="273">
        <f t="shared" ca="1" si="6"/>
        <v>164</v>
      </c>
      <c r="H75" s="273"/>
      <c r="I75" s="273"/>
      <c r="J75" s="273"/>
      <c r="K75" s="273"/>
      <c r="L75" s="273"/>
      <c r="M75" s="273"/>
      <c r="N75" s="193" t="s">
        <v>1698</v>
      </c>
      <c r="O75" s="194">
        <v>1</v>
      </c>
      <c r="P75" s="182">
        <v>1</v>
      </c>
      <c r="Q75" s="182">
        <v>1</v>
      </c>
      <c r="R75" s="195">
        <v>3</v>
      </c>
      <c r="S75" s="273"/>
      <c r="T75" s="273"/>
      <c r="U75" s="273"/>
      <c r="V75" s="273"/>
    </row>
    <row r="76" spans="1:22">
      <c r="A76" s="77">
        <v>44062</v>
      </c>
      <c r="B76" s="51" t="str">
        <f t="shared" si="7"/>
        <v>20200819</v>
      </c>
      <c r="C76" s="273" t="s">
        <v>16</v>
      </c>
      <c r="D76" s="273">
        <v>8</v>
      </c>
      <c r="E76" s="273" t="s">
        <v>1629</v>
      </c>
      <c r="F76" s="273" t="str">
        <f t="shared" si="5"/>
        <v>D8</v>
      </c>
      <c r="G76" s="273">
        <f t="shared" ca="1" si="6"/>
        <v>164</v>
      </c>
      <c r="H76" s="273"/>
      <c r="I76" s="273"/>
      <c r="J76" s="273"/>
      <c r="K76" s="273"/>
      <c r="L76" s="273"/>
      <c r="M76" s="273"/>
      <c r="N76" s="193" t="s">
        <v>1699</v>
      </c>
      <c r="O76" s="194">
        <v>1</v>
      </c>
      <c r="P76" s="182">
        <v>1</v>
      </c>
      <c r="Q76" s="182">
        <v>1</v>
      </c>
      <c r="R76" s="195">
        <v>3</v>
      </c>
      <c r="S76" s="273"/>
      <c r="T76" s="273"/>
      <c r="U76" s="273"/>
      <c r="V76" s="273"/>
    </row>
    <row r="77" spans="1:22">
      <c r="A77" s="77">
        <v>44062</v>
      </c>
      <c r="B77" s="51" t="str">
        <f t="shared" si="7"/>
        <v>20200819</v>
      </c>
      <c r="C77" s="273" t="s">
        <v>16</v>
      </c>
      <c r="D77" s="273">
        <v>9</v>
      </c>
      <c r="E77" s="273" t="s">
        <v>1629</v>
      </c>
      <c r="F77" s="273" t="str">
        <f t="shared" si="5"/>
        <v>D9</v>
      </c>
      <c r="G77" s="273">
        <f t="shared" ca="1" si="6"/>
        <v>164</v>
      </c>
      <c r="H77" s="273"/>
      <c r="I77" s="273"/>
      <c r="J77" s="273"/>
      <c r="K77" s="273"/>
      <c r="L77" s="273"/>
      <c r="M77" s="273"/>
      <c r="N77" s="193" t="s">
        <v>1700</v>
      </c>
      <c r="O77" s="194">
        <v>1</v>
      </c>
      <c r="P77" s="182">
        <v>1</v>
      </c>
      <c r="Q77" s="182">
        <v>1</v>
      </c>
      <c r="R77" s="195">
        <v>3</v>
      </c>
      <c r="S77" s="273"/>
      <c r="T77" s="273"/>
      <c r="U77" s="273"/>
      <c r="V77" s="273"/>
    </row>
    <row r="78" spans="1:22">
      <c r="A78" s="77">
        <v>44062</v>
      </c>
      <c r="B78" s="51" t="str">
        <f t="shared" si="7"/>
        <v>20200819</v>
      </c>
      <c r="C78" s="273" t="s">
        <v>16</v>
      </c>
      <c r="D78" s="273"/>
      <c r="E78" s="273" t="s">
        <v>1638</v>
      </c>
      <c r="F78" s="273" t="str">
        <f t="shared" si="5"/>
        <v>D</v>
      </c>
      <c r="G78" s="273" t="str">
        <f t="shared" si="6"/>
        <v/>
      </c>
      <c r="H78" s="273"/>
      <c r="I78" s="273"/>
      <c r="J78" s="273"/>
      <c r="K78" s="273"/>
      <c r="L78" s="273"/>
      <c r="M78" s="273"/>
      <c r="N78" s="193" t="s">
        <v>1701</v>
      </c>
      <c r="O78" s="194">
        <v>1</v>
      </c>
      <c r="P78" s="182">
        <v>1</v>
      </c>
      <c r="Q78" s="182">
        <v>1</v>
      </c>
      <c r="R78" s="195">
        <v>3</v>
      </c>
      <c r="S78" s="273"/>
      <c r="T78" s="273"/>
      <c r="U78" s="273"/>
      <c r="V78" s="273"/>
    </row>
    <row r="79" spans="1:22">
      <c r="A79" s="77">
        <v>44062</v>
      </c>
      <c r="B79" s="51" t="str">
        <f t="shared" si="7"/>
        <v>20200819</v>
      </c>
      <c r="C79" s="273" t="s">
        <v>16</v>
      </c>
      <c r="D79" s="273"/>
      <c r="E79" s="273" t="s">
        <v>1638</v>
      </c>
      <c r="F79" s="273" t="str">
        <f t="shared" si="5"/>
        <v>D</v>
      </c>
      <c r="G79" s="273" t="str">
        <f t="shared" si="6"/>
        <v/>
      </c>
      <c r="H79" s="273"/>
      <c r="I79" s="273"/>
      <c r="J79" s="273"/>
      <c r="K79" s="273"/>
      <c r="L79" s="273"/>
      <c r="M79" s="273"/>
      <c r="N79" s="193" t="s">
        <v>1702</v>
      </c>
      <c r="O79" s="194">
        <v>1</v>
      </c>
      <c r="P79" s="182">
        <v>1</v>
      </c>
      <c r="Q79" s="182">
        <v>1</v>
      </c>
      <c r="R79" s="195">
        <v>3</v>
      </c>
      <c r="S79" s="273"/>
      <c r="T79" s="273"/>
      <c r="U79" s="273"/>
      <c r="V79" s="273"/>
    </row>
    <row r="80" spans="1:22">
      <c r="A80" s="77">
        <v>44062</v>
      </c>
      <c r="B80" s="51" t="str">
        <f t="shared" si="7"/>
        <v>20200819</v>
      </c>
      <c r="C80" s="273" t="s">
        <v>16</v>
      </c>
      <c r="D80" s="273"/>
      <c r="E80" s="273" t="s">
        <v>1638</v>
      </c>
      <c r="F80" s="273" t="str">
        <f t="shared" si="5"/>
        <v>D</v>
      </c>
      <c r="G80" s="273" t="str">
        <f t="shared" si="6"/>
        <v/>
      </c>
      <c r="H80" s="273"/>
      <c r="I80" s="273"/>
      <c r="J80" s="273"/>
      <c r="K80" s="273"/>
      <c r="L80" s="273"/>
      <c r="M80" s="273"/>
      <c r="N80" s="193" t="s">
        <v>1703</v>
      </c>
      <c r="O80" s="194">
        <v>1</v>
      </c>
      <c r="P80" s="182">
        <v>1</v>
      </c>
      <c r="Q80" s="182">
        <v>1</v>
      </c>
      <c r="R80" s="195">
        <v>3</v>
      </c>
      <c r="S80" s="273"/>
      <c r="T80" s="273"/>
      <c r="U80" s="273"/>
      <c r="V80" s="273"/>
    </row>
    <row r="81" spans="1:22">
      <c r="A81" s="77">
        <v>44063</v>
      </c>
      <c r="B81" s="51" t="str">
        <f t="shared" si="7"/>
        <v>20200820</v>
      </c>
      <c r="C81" s="273" t="s">
        <v>11</v>
      </c>
      <c r="D81" s="273">
        <v>5</v>
      </c>
      <c r="E81" s="273" t="s">
        <v>1627</v>
      </c>
      <c r="F81" s="273" t="str">
        <f t="shared" si="5"/>
        <v>C5</v>
      </c>
      <c r="G81" s="273" t="str">
        <f t="shared" si="6"/>
        <v/>
      </c>
      <c r="H81" s="273"/>
      <c r="I81" s="273"/>
      <c r="J81" s="273"/>
      <c r="K81" s="273"/>
      <c r="L81" s="273"/>
      <c r="M81" s="273"/>
      <c r="N81" s="193" t="s">
        <v>1704</v>
      </c>
      <c r="O81" s="194">
        <v>1</v>
      </c>
      <c r="P81" s="182">
        <v>1</v>
      </c>
      <c r="Q81" s="182">
        <v>1</v>
      </c>
      <c r="R81" s="195">
        <v>3</v>
      </c>
      <c r="S81" s="273"/>
      <c r="T81" s="273"/>
      <c r="U81" s="273"/>
      <c r="V81" s="273"/>
    </row>
    <row r="82" spans="1:22">
      <c r="A82" s="77">
        <v>44063</v>
      </c>
      <c r="B82" s="51" t="str">
        <f t="shared" si="7"/>
        <v>20200820</v>
      </c>
      <c r="C82" s="273" t="s">
        <v>11</v>
      </c>
      <c r="D82" s="273">
        <v>6</v>
      </c>
      <c r="E82" s="273" t="s">
        <v>1627</v>
      </c>
      <c r="F82" s="273" t="str">
        <f t="shared" si="5"/>
        <v>C6</v>
      </c>
      <c r="G82" s="273" t="str">
        <f t="shared" si="6"/>
        <v/>
      </c>
      <c r="H82" s="273"/>
      <c r="I82" s="273"/>
      <c r="J82" s="273"/>
      <c r="K82" s="273"/>
      <c r="L82" s="273"/>
      <c r="M82" s="273"/>
      <c r="N82" s="193" t="s">
        <v>1705</v>
      </c>
      <c r="O82" s="194">
        <v>1</v>
      </c>
      <c r="P82" s="182">
        <v>1</v>
      </c>
      <c r="Q82" s="182">
        <v>1</v>
      </c>
      <c r="R82" s="195">
        <v>3</v>
      </c>
      <c r="S82" s="273"/>
      <c r="T82" s="273"/>
      <c r="U82" s="273"/>
      <c r="V82" s="273"/>
    </row>
    <row r="83" spans="1:22">
      <c r="A83" s="77">
        <v>44063</v>
      </c>
      <c r="B83" s="51" t="str">
        <f t="shared" si="7"/>
        <v>20200820</v>
      </c>
      <c r="C83" s="273" t="s">
        <v>11</v>
      </c>
      <c r="D83" s="273">
        <v>7</v>
      </c>
      <c r="E83" s="273" t="s">
        <v>1627</v>
      </c>
      <c r="F83" s="273" t="str">
        <f t="shared" si="5"/>
        <v>C7</v>
      </c>
      <c r="G83" s="273" t="str">
        <f t="shared" si="6"/>
        <v/>
      </c>
      <c r="H83" s="273"/>
      <c r="I83" s="273"/>
      <c r="J83" s="273"/>
      <c r="K83" s="273"/>
      <c r="L83" s="273"/>
      <c r="M83" s="273"/>
      <c r="N83" s="193" t="s">
        <v>1706</v>
      </c>
      <c r="O83" s="194">
        <v>1</v>
      </c>
      <c r="P83" s="182">
        <v>1</v>
      </c>
      <c r="Q83" s="182">
        <v>1</v>
      </c>
      <c r="R83" s="195">
        <v>3</v>
      </c>
      <c r="S83" s="273"/>
      <c r="T83" s="273"/>
      <c r="U83" s="273"/>
      <c r="V83" s="273"/>
    </row>
    <row r="84" spans="1:22">
      <c r="A84" s="77">
        <v>44067</v>
      </c>
      <c r="B84" s="51" t="str">
        <f t="shared" si="7"/>
        <v>20200824</v>
      </c>
      <c r="C84" s="273" t="s">
        <v>11</v>
      </c>
      <c r="D84" s="273">
        <v>6</v>
      </c>
      <c r="E84" s="273" t="s">
        <v>1629</v>
      </c>
      <c r="F84" s="273" t="str">
        <f t="shared" si="5"/>
        <v>C6</v>
      </c>
      <c r="G84" s="273">
        <f t="shared" ca="1" si="6"/>
        <v>159</v>
      </c>
      <c r="H84" s="273"/>
      <c r="I84" s="273"/>
      <c r="J84" s="273"/>
      <c r="K84" s="273"/>
      <c r="L84" s="273"/>
      <c r="M84" s="273"/>
      <c r="N84" s="193" t="s">
        <v>1707</v>
      </c>
      <c r="O84" s="194">
        <v>1</v>
      </c>
      <c r="P84" s="182">
        <v>1</v>
      </c>
      <c r="Q84" s="182">
        <v>1</v>
      </c>
      <c r="R84" s="195">
        <v>3</v>
      </c>
      <c r="S84" s="273"/>
      <c r="T84" s="273"/>
      <c r="U84" s="273"/>
      <c r="V84" s="273"/>
    </row>
    <row r="85" spans="1:22">
      <c r="A85" s="77">
        <v>44067</v>
      </c>
      <c r="B85" s="51" t="str">
        <f t="shared" si="7"/>
        <v>20200824</v>
      </c>
      <c r="C85" s="273" t="s">
        <v>11</v>
      </c>
      <c r="D85" s="273">
        <v>5</v>
      </c>
      <c r="E85" s="273" t="s">
        <v>1629</v>
      </c>
      <c r="F85" s="273" t="str">
        <f t="shared" si="5"/>
        <v>C5</v>
      </c>
      <c r="G85" s="273">
        <f t="shared" ca="1" si="6"/>
        <v>159</v>
      </c>
      <c r="H85" s="273"/>
      <c r="I85" s="273"/>
      <c r="J85" s="273"/>
      <c r="K85" s="273"/>
      <c r="L85" s="273"/>
      <c r="M85" s="273"/>
      <c r="N85" s="193" t="s">
        <v>1708</v>
      </c>
      <c r="O85" s="194">
        <v>1</v>
      </c>
      <c r="P85" s="182">
        <v>1</v>
      </c>
      <c r="Q85" s="182">
        <v>1</v>
      </c>
      <c r="R85" s="195">
        <v>3</v>
      </c>
      <c r="S85" s="273"/>
      <c r="T85" s="273"/>
      <c r="U85" s="273"/>
      <c r="V85" s="273"/>
    </row>
    <row r="86" spans="1:22">
      <c r="A86" s="77">
        <v>44069</v>
      </c>
      <c r="B86" s="51" t="str">
        <f t="shared" si="7"/>
        <v>20200826</v>
      </c>
      <c r="C86" s="273" t="s">
        <v>11</v>
      </c>
      <c r="D86" s="273">
        <v>7</v>
      </c>
      <c r="E86" s="273" t="s">
        <v>1629</v>
      </c>
      <c r="F86" s="273" t="str">
        <f t="shared" si="5"/>
        <v>C7</v>
      </c>
      <c r="G86" s="273">
        <f t="shared" ca="1" si="6"/>
        <v>157</v>
      </c>
      <c r="H86" s="273"/>
      <c r="I86" s="273"/>
      <c r="J86" s="273"/>
      <c r="K86" s="273"/>
      <c r="L86" s="273"/>
      <c r="M86" s="273"/>
      <c r="N86" s="193" t="s">
        <v>1709</v>
      </c>
      <c r="O86" s="194">
        <v>1</v>
      </c>
      <c r="P86" s="182">
        <v>1</v>
      </c>
      <c r="Q86" s="182">
        <v>1</v>
      </c>
      <c r="R86" s="195">
        <v>3</v>
      </c>
      <c r="S86" s="273"/>
      <c r="T86" s="273"/>
      <c r="U86" s="273"/>
      <c r="V86" s="273"/>
    </row>
    <row r="87" spans="1:22">
      <c r="A87" s="77">
        <v>44075</v>
      </c>
      <c r="B87" s="51" t="str">
        <f t="shared" si="7"/>
        <v>20200901</v>
      </c>
      <c r="C87" s="273" t="s">
        <v>16</v>
      </c>
      <c r="D87" s="273">
        <v>12</v>
      </c>
      <c r="E87" s="273" t="s">
        <v>1627</v>
      </c>
      <c r="F87" s="273" t="str">
        <f t="shared" si="5"/>
        <v>D12</v>
      </c>
      <c r="G87" s="273" t="str">
        <f t="shared" si="6"/>
        <v/>
      </c>
      <c r="H87" s="273"/>
      <c r="I87" s="273"/>
      <c r="J87" s="273"/>
      <c r="K87" s="273"/>
      <c r="L87" s="273"/>
      <c r="M87" s="273"/>
      <c r="N87" s="193" t="s">
        <v>1710</v>
      </c>
      <c r="O87" s="194">
        <v>1</v>
      </c>
      <c r="P87" s="182">
        <v>1</v>
      </c>
      <c r="Q87" s="182">
        <v>1</v>
      </c>
      <c r="R87" s="195">
        <v>3</v>
      </c>
      <c r="S87" s="273"/>
      <c r="T87" s="273"/>
      <c r="U87" s="273"/>
      <c r="V87" s="273"/>
    </row>
    <row r="88" spans="1:22">
      <c r="A88" s="77">
        <v>44075</v>
      </c>
      <c r="B88" s="51" t="str">
        <f t="shared" si="7"/>
        <v>20200901</v>
      </c>
      <c r="C88" s="273" t="s">
        <v>16</v>
      </c>
      <c r="D88" s="273">
        <v>13</v>
      </c>
      <c r="E88" s="273" t="s">
        <v>1627</v>
      </c>
      <c r="F88" s="273" t="str">
        <f t="shared" si="5"/>
        <v>D13</v>
      </c>
      <c r="G88" s="273" t="str">
        <f t="shared" si="6"/>
        <v/>
      </c>
      <c r="H88" s="273"/>
      <c r="I88" s="273"/>
      <c r="J88" s="273"/>
      <c r="K88" s="273"/>
      <c r="L88" s="273"/>
      <c r="M88" s="273"/>
      <c r="N88" s="193" t="s">
        <v>1711</v>
      </c>
      <c r="O88" s="194">
        <v>1</v>
      </c>
      <c r="P88" s="182">
        <v>1</v>
      </c>
      <c r="Q88" s="182">
        <v>1</v>
      </c>
      <c r="R88" s="195">
        <v>3</v>
      </c>
      <c r="S88" s="273"/>
      <c r="T88" s="273"/>
      <c r="U88" s="273"/>
      <c r="V88" s="273"/>
    </row>
    <row r="89" spans="1:22">
      <c r="A89" s="77">
        <v>44075</v>
      </c>
      <c r="B89" s="51" t="str">
        <f t="shared" si="7"/>
        <v>20200901</v>
      </c>
      <c r="C89" s="273" t="s">
        <v>16</v>
      </c>
      <c r="D89" s="273">
        <v>14</v>
      </c>
      <c r="E89" s="273" t="s">
        <v>1627</v>
      </c>
      <c r="F89" s="273" t="str">
        <f t="shared" si="5"/>
        <v>D14</v>
      </c>
      <c r="G89" s="273" t="str">
        <f t="shared" si="6"/>
        <v/>
      </c>
      <c r="H89" s="273"/>
      <c r="I89" s="273"/>
      <c r="J89" s="273"/>
      <c r="K89" s="273"/>
      <c r="L89" s="273"/>
      <c r="M89" s="273"/>
      <c r="N89" s="193" t="s">
        <v>1712</v>
      </c>
      <c r="O89" s="194">
        <v>1</v>
      </c>
      <c r="P89" s="182">
        <v>1</v>
      </c>
      <c r="Q89" s="182">
        <v>1</v>
      </c>
      <c r="R89" s="195">
        <v>3</v>
      </c>
      <c r="S89" s="273"/>
      <c r="T89" s="273"/>
      <c r="U89" s="273"/>
      <c r="V89" s="273"/>
    </row>
    <row r="90" spans="1:22">
      <c r="A90" s="77">
        <v>44075</v>
      </c>
      <c r="B90" s="51" t="str">
        <f t="shared" si="7"/>
        <v>20200901</v>
      </c>
      <c r="C90" s="273" t="s">
        <v>16</v>
      </c>
      <c r="D90" s="273">
        <v>15</v>
      </c>
      <c r="E90" s="273" t="s">
        <v>1627</v>
      </c>
      <c r="F90" s="273" t="str">
        <f t="shared" si="5"/>
        <v>D15</v>
      </c>
      <c r="G90" s="273" t="str">
        <f t="shared" si="6"/>
        <v/>
      </c>
      <c r="H90" s="273"/>
      <c r="I90" s="273"/>
      <c r="J90" s="273"/>
      <c r="K90" s="273"/>
      <c r="L90" s="273"/>
      <c r="M90" s="273"/>
      <c r="N90" s="193" t="s">
        <v>1713</v>
      </c>
      <c r="O90" s="194">
        <v>1</v>
      </c>
      <c r="P90" s="182">
        <v>1</v>
      </c>
      <c r="Q90" s="182">
        <v>1</v>
      </c>
      <c r="R90" s="195">
        <v>3</v>
      </c>
      <c r="S90" s="273"/>
      <c r="T90" s="273"/>
      <c r="U90" s="273"/>
      <c r="V90" s="273"/>
    </row>
    <row r="91" spans="1:22" s="181" customFormat="1">
      <c r="A91" s="77">
        <v>44075</v>
      </c>
      <c r="B91" s="51" t="str">
        <f t="shared" ref="B91" si="8">TEXT(A91, "yyyymmdd")</f>
        <v>20200901</v>
      </c>
      <c r="C91" s="273" t="s">
        <v>16</v>
      </c>
      <c r="D91" s="273">
        <v>16</v>
      </c>
      <c r="E91" s="273" t="s">
        <v>1627</v>
      </c>
      <c r="F91" s="273" t="str">
        <f t="shared" si="5"/>
        <v>D16</v>
      </c>
      <c r="G91" s="273"/>
      <c r="H91" s="273"/>
      <c r="I91" s="273"/>
      <c r="J91" s="273"/>
      <c r="K91" s="273"/>
      <c r="L91" s="273"/>
      <c r="M91" s="273"/>
      <c r="N91" s="193" t="s">
        <v>1714</v>
      </c>
      <c r="O91" s="194">
        <v>1</v>
      </c>
      <c r="P91" s="182">
        <v>1</v>
      </c>
      <c r="Q91" s="182">
        <v>1</v>
      </c>
      <c r="R91" s="195">
        <v>3</v>
      </c>
      <c r="S91" s="273"/>
      <c r="T91" s="273"/>
      <c r="U91" s="273"/>
      <c r="V91" s="273"/>
    </row>
    <row r="92" spans="1:22">
      <c r="A92" s="77">
        <v>44075</v>
      </c>
      <c r="B92" s="51" t="str">
        <f t="shared" si="7"/>
        <v>20200901</v>
      </c>
      <c r="C92" s="273" t="s">
        <v>11</v>
      </c>
      <c r="D92" s="273">
        <v>8</v>
      </c>
      <c r="E92" s="273" t="s">
        <v>1627</v>
      </c>
      <c r="F92" s="273" t="str">
        <f t="shared" si="5"/>
        <v>C8</v>
      </c>
      <c r="G92" s="273" t="str">
        <f t="shared" si="6"/>
        <v/>
      </c>
      <c r="H92" s="273"/>
      <c r="I92" s="273"/>
      <c r="J92" s="273"/>
      <c r="K92" s="273"/>
      <c r="L92" s="273"/>
      <c r="M92" s="273"/>
      <c r="N92" s="193" t="s">
        <v>1715</v>
      </c>
      <c r="O92" s="194">
        <v>1</v>
      </c>
      <c r="P92" s="182">
        <v>1</v>
      </c>
      <c r="Q92" s="182">
        <v>1</v>
      </c>
      <c r="R92" s="195">
        <v>3</v>
      </c>
      <c r="S92" s="273"/>
      <c r="T92" s="273"/>
      <c r="U92" s="273"/>
      <c r="V92" s="273"/>
    </row>
    <row r="93" spans="1:22">
      <c r="A93" s="77">
        <v>44075</v>
      </c>
      <c r="B93" s="51" t="str">
        <f t="shared" si="7"/>
        <v>20200901</v>
      </c>
      <c r="C93" s="273" t="s">
        <v>11</v>
      </c>
      <c r="D93" s="273">
        <v>9</v>
      </c>
      <c r="E93" s="273" t="s">
        <v>1627</v>
      </c>
      <c r="F93" s="273" t="str">
        <f t="shared" ref="F93:F121" si="9">_xlfn.CONCAT(C93:D93)</f>
        <v>C9</v>
      </c>
      <c r="G93" s="273" t="str">
        <f t="shared" si="6"/>
        <v/>
      </c>
      <c r="H93" s="273"/>
      <c r="I93" s="273"/>
      <c r="J93" s="273"/>
      <c r="K93" s="273"/>
      <c r="L93" s="273"/>
      <c r="M93" s="273"/>
      <c r="N93" s="193" t="s">
        <v>1716</v>
      </c>
      <c r="O93" s="194">
        <v>1</v>
      </c>
      <c r="P93" s="182">
        <v>1</v>
      </c>
      <c r="Q93" s="182">
        <v>1</v>
      </c>
      <c r="R93" s="195">
        <v>3</v>
      </c>
      <c r="S93" s="273"/>
      <c r="T93" s="273"/>
      <c r="U93" s="273"/>
      <c r="V93" s="273"/>
    </row>
    <row r="94" spans="1:22">
      <c r="A94" s="77">
        <v>44076</v>
      </c>
      <c r="B94" s="51" t="str">
        <f t="shared" si="7"/>
        <v>20200902</v>
      </c>
      <c r="C94" s="273" t="s">
        <v>11</v>
      </c>
      <c r="D94" s="273">
        <v>10</v>
      </c>
      <c r="E94" s="273" t="s">
        <v>1627</v>
      </c>
      <c r="F94" s="273" t="str">
        <f t="shared" si="9"/>
        <v>C10</v>
      </c>
      <c r="G94" s="273" t="str">
        <f t="shared" si="6"/>
        <v/>
      </c>
      <c r="H94" s="273"/>
      <c r="I94" s="273"/>
      <c r="J94" s="273"/>
      <c r="K94" s="273"/>
      <c r="L94" s="273"/>
      <c r="M94" s="273"/>
      <c r="N94" s="193" t="s">
        <v>1717</v>
      </c>
      <c r="O94" s="194">
        <v>1</v>
      </c>
      <c r="P94" s="182">
        <v>1</v>
      </c>
      <c r="Q94" s="182">
        <v>1</v>
      </c>
      <c r="R94" s="195">
        <v>3</v>
      </c>
      <c r="S94" s="273"/>
      <c r="T94" s="273"/>
      <c r="U94" s="273"/>
      <c r="V94" s="273"/>
    </row>
    <row r="95" spans="1:22">
      <c r="A95" s="77">
        <v>44076</v>
      </c>
      <c r="B95" s="51" t="str">
        <f t="shared" si="7"/>
        <v>20200902</v>
      </c>
      <c r="C95" s="273" t="s">
        <v>11</v>
      </c>
      <c r="D95" s="273">
        <v>11</v>
      </c>
      <c r="E95" s="273" t="s">
        <v>1627</v>
      </c>
      <c r="F95" s="273" t="str">
        <f t="shared" si="9"/>
        <v>C11</v>
      </c>
      <c r="G95" s="273" t="str">
        <f t="shared" si="6"/>
        <v/>
      </c>
      <c r="H95" s="273"/>
      <c r="I95" s="273"/>
      <c r="J95" s="273"/>
      <c r="K95" s="273"/>
      <c r="L95" s="273"/>
      <c r="M95" s="273"/>
      <c r="N95" s="193" t="s">
        <v>1718</v>
      </c>
      <c r="O95" s="194">
        <v>1</v>
      </c>
      <c r="P95" s="182">
        <v>1</v>
      </c>
      <c r="Q95" s="182">
        <v>1</v>
      </c>
      <c r="R95" s="195">
        <v>3</v>
      </c>
      <c r="S95" s="273"/>
      <c r="T95" s="273"/>
      <c r="U95" s="273"/>
      <c r="V95" s="273"/>
    </row>
    <row r="96" spans="1:22">
      <c r="A96" s="77">
        <v>44076</v>
      </c>
      <c r="B96" s="51" t="str">
        <f t="shared" si="7"/>
        <v>20200902</v>
      </c>
      <c r="C96" s="273" t="s">
        <v>11</v>
      </c>
      <c r="D96" s="273">
        <v>12</v>
      </c>
      <c r="E96" s="273" t="s">
        <v>1627</v>
      </c>
      <c r="F96" s="273" t="str">
        <f t="shared" si="9"/>
        <v>C12</v>
      </c>
      <c r="G96" s="273" t="str">
        <f t="shared" si="6"/>
        <v/>
      </c>
      <c r="H96" s="273"/>
      <c r="I96" s="273"/>
      <c r="J96" s="273"/>
      <c r="K96" s="273"/>
      <c r="L96" s="273"/>
      <c r="M96" s="273"/>
      <c r="N96" s="193" t="s">
        <v>1719</v>
      </c>
      <c r="O96" s="194">
        <v>1</v>
      </c>
      <c r="P96" s="182">
        <v>1</v>
      </c>
      <c r="Q96" s="182"/>
      <c r="R96" s="195">
        <v>2</v>
      </c>
      <c r="S96" s="273"/>
      <c r="T96" s="273"/>
      <c r="U96" s="273"/>
      <c r="V96" s="273"/>
    </row>
    <row r="97" spans="1:22">
      <c r="A97" s="77">
        <v>44077</v>
      </c>
      <c r="B97" s="51" t="str">
        <f t="shared" si="7"/>
        <v>20200903</v>
      </c>
      <c r="C97" s="273" t="s">
        <v>19</v>
      </c>
      <c r="D97" s="273">
        <v>2</v>
      </c>
      <c r="E97" s="273" t="s">
        <v>1627</v>
      </c>
      <c r="F97" s="273" t="str">
        <f t="shared" si="9"/>
        <v>B2</v>
      </c>
      <c r="G97" s="273" t="str">
        <f t="shared" si="6"/>
        <v/>
      </c>
      <c r="H97" s="115">
        <f>('Nursery Quant.'!Q167)*2</f>
        <v>23187.561744217852</v>
      </c>
      <c r="I97" s="273"/>
      <c r="J97" s="273"/>
      <c r="K97" s="273"/>
      <c r="L97" s="273"/>
      <c r="M97" s="273"/>
      <c r="N97" s="193" t="s">
        <v>1720</v>
      </c>
      <c r="O97" s="194">
        <v>1</v>
      </c>
      <c r="P97" s="182">
        <v>1</v>
      </c>
      <c r="Q97" s="182"/>
      <c r="R97" s="195">
        <v>2</v>
      </c>
      <c r="S97" s="273"/>
      <c r="T97" s="273"/>
      <c r="U97" s="273"/>
      <c r="V97" s="273"/>
    </row>
    <row r="98" spans="1:22">
      <c r="A98" s="77">
        <v>44077</v>
      </c>
      <c r="B98" s="51" t="str">
        <f t="shared" si="7"/>
        <v>20200903</v>
      </c>
      <c r="C98" s="273" t="s">
        <v>19</v>
      </c>
      <c r="D98" s="273">
        <v>3</v>
      </c>
      <c r="E98" s="273" t="s">
        <v>1627</v>
      </c>
      <c r="F98" s="273" t="str">
        <f t="shared" si="9"/>
        <v>B3</v>
      </c>
      <c r="G98" s="273" t="str">
        <f t="shared" si="6"/>
        <v/>
      </c>
      <c r="H98" s="115">
        <f>('Nursery Quant.'!Q167)*2</f>
        <v>23187.561744217852</v>
      </c>
      <c r="I98" s="273"/>
      <c r="J98" s="273"/>
      <c r="K98" s="273"/>
      <c r="L98" s="273"/>
      <c r="M98" s="273"/>
      <c r="N98" s="193" t="s">
        <v>1721</v>
      </c>
      <c r="O98" s="194">
        <v>1</v>
      </c>
      <c r="P98" s="182">
        <v>1</v>
      </c>
      <c r="Q98" s="182"/>
      <c r="R98" s="195">
        <v>2</v>
      </c>
      <c r="S98" s="273"/>
      <c r="T98" s="273"/>
      <c r="U98" s="273"/>
      <c r="V98" s="273"/>
    </row>
    <row r="99" spans="1:22">
      <c r="A99" s="77">
        <v>44077</v>
      </c>
      <c r="B99" s="51" t="str">
        <f t="shared" si="7"/>
        <v>20200903</v>
      </c>
      <c r="C99" s="273" t="s">
        <v>11</v>
      </c>
      <c r="D99" s="273">
        <v>13</v>
      </c>
      <c r="E99" s="273" t="s">
        <v>1627</v>
      </c>
      <c r="F99" s="273" t="str">
        <f t="shared" si="9"/>
        <v>C13</v>
      </c>
      <c r="G99" s="273" t="str">
        <f t="shared" si="6"/>
        <v/>
      </c>
      <c r="H99" s="115">
        <f>('Nursery Quant.'!Q137)*2</f>
        <v>23171.897772480632</v>
      </c>
      <c r="I99" s="273"/>
      <c r="J99" s="273"/>
      <c r="K99" s="273"/>
      <c r="L99" s="273"/>
      <c r="M99" s="273"/>
      <c r="N99" s="193" t="s">
        <v>1722</v>
      </c>
      <c r="O99" s="194">
        <v>1</v>
      </c>
      <c r="P99" s="182">
        <v>1</v>
      </c>
      <c r="Q99" s="182"/>
      <c r="R99" s="195">
        <v>2</v>
      </c>
      <c r="S99" s="273"/>
      <c r="T99" s="273"/>
      <c r="U99" s="273"/>
      <c r="V99" s="273"/>
    </row>
    <row r="100" spans="1:22">
      <c r="A100" s="77">
        <v>44078</v>
      </c>
      <c r="B100" s="51" t="str">
        <f>TEXT(A100, "yyyymmdd")</f>
        <v>20200904</v>
      </c>
      <c r="C100" s="273" t="s">
        <v>24</v>
      </c>
      <c r="D100" s="273">
        <v>1</v>
      </c>
      <c r="E100" s="273" t="s">
        <v>1627</v>
      </c>
      <c r="F100" s="273" t="str">
        <f t="shared" si="9"/>
        <v>E1</v>
      </c>
      <c r="G100" s="273" t="str">
        <f t="shared" si="6"/>
        <v/>
      </c>
      <c r="H100" s="115">
        <f>('Nursery Quant.'!Q149)*2</f>
        <v>23163.822333055748</v>
      </c>
      <c r="I100" s="273"/>
      <c r="J100" s="273"/>
      <c r="K100" s="273"/>
      <c r="L100" s="273"/>
      <c r="M100" s="273"/>
      <c r="N100" s="193" t="s">
        <v>1723</v>
      </c>
      <c r="O100" s="194">
        <v>1</v>
      </c>
      <c r="P100" s="182">
        <v>1</v>
      </c>
      <c r="Q100" s="182"/>
      <c r="R100" s="195">
        <v>2</v>
      </c>
      <c r="S100" s="273"/>
      <c r="T100" s="273"/>
      <c r="U100" s="273"/>
      <c r="V100" s="273"/>
    </row>
    <row r="101" spans="1:22">
      <c r="A101" s="77">
        <v>44078</v>
      </c>
      <c r="B101" s="51" t="str">
        <f>TEXT(A101, "yyyymmdd")</f>
        <v>20200904</v>
      </c>
      <c r="C101" s="273" t="s">
        <v>24</v>
      </c>
      <c r="D101" s="273">
        <v>2</v>
      </c>
      <c r="E101" s="273" t="s">
        <v>1627</v>
      </c>
      <c r="F101" s="273" t="str">
        <f t="shared" si="9"/>
        <v>E2</v>
      </c>
      <c r="G101" s="273" t="str">
        <f t="shared" si="6"/>
        <v/>
      </c>
      <c r="H101" s="115">
        <f>('Nursery Quant.'!Q149)</f>
        <v>11581.911166527874</v>
      </c>
      <c r="I101" s="273"/>
      <c r="J101" s="273"/>
      <c r="K101" s="273"/>
      <c r="L101" s="273"/>
      <c r="M101" s="273"/>
      <c r="N101" s="193" t="s">
        <v>1724</v>
      </c>
      <c r="O101" s="194">
        <v>1</v>
      </c>
      <c r="P101" s="182">
        <v>1</v>
      </c>
      <c r="Q101" s="182"/>
      <c r="R101" s="195">
        <v>2</v>
      </c>
      <c r="S101" s="273"/>
      <c r="T101" s="273"/>
      <c r="U101" s="273"/>
      <c r="V101" s="273"/>
    </row>
    <row r="102" spans="1:22">
      <c r="A102" s="77">
        <v>44078</v>
      </c>
      <c r="B102" s="51" t="str">
        <f t="shared" ref="B102:B106" si="10">TEXT(A102, "yyyymmdd")</f>
        <v>20200904</v>
      </c>
      <c r="C102" s="273" t="s">
        <v>8</v>
      </c>
      <c r="D102" s="273">
        <v>1</v>
      </c>
      <c r="E102" s="273" t="s">
        <v>1627</v>
      </c>
      <c r="F102" s="273" t="str">
        <f t="shared" si="9"/>
        <v>A1</v>
      </c>
      <c r="G102" s="273" t="str">
        <f t="shared" si="6"/>
        <v/>
      </c>
      <c r="H102" s="273"/>
      <c r="I102" s="273"/>
      <c r="J102" s="273"/>
      <c r="K102" s="273"/>
      <c r="L102" s="273"/>
      <c r="M102" s="273"/>
      <c r="N102" s="193" t="s">
        <v>1725</v>
      </c>
      <c r="O102" s="194">
        <v>1</v>
      </c>
      <c r="P102" s="182">
        <v>1</v>
      </c>
      <c r="Q102" s="182"/>
      <c r="R102" s="195">
        <v>2</v>
      </c>
      <c r="S102" s="273"/>
      <c r="T102" s="273"/>
      <c r="U102" s="273"/>
      <c r="V102" s="273"/>
    </row>
    <row r="103" spans="1:22">
      <c r="A103" s="77">
        <v>44078</v>
      </c>
      <c r="B103" s="51" t="str">
        <f t="shared" si="10"/>
        <v>20200904</v>
      </c>
      <c r="C103" s="273" t="s">
        <v>8</v>
      </c>
      <c r="D103" s="273">
        <v>2</v>
      </c>
      <c r="E103" s="273" t="s">
        <v>1627</v>
      </c>
      <c r="F103" s="273" t="str">
        <f t="shared" si="9"/>
        <v>A2</v>
      </c>
      <c r="G103" s="273" t="str">
        <f t="shared" si="6"/>
        <v/>
      </c>
      <c r="H103" s="273"/>
      <c r="I103" s="273"/>
      <c r="J103" s="273"/>
      <c r="K103" s="273"/>
      <c r="L103" s="273"/>
      <c r="M103" s="273"/>
      <c r="N103" s="193" t="s">
        <v>1726</v>
      </c>
      <c r="O103" s="194">
        <v>1</v>
      </c>
      <c r="P103" s="182">
        <v>1</v>
      </c>
      <c r="Q103" s="182">
        <v>1</v>
      </c>
      <c r="R103" s="195">
        <v>3</v>
      </c>
      <c r="S103" s="273"/>
      <c r="T103" s="273"/>
      <c r="U103" s="273"/>
      <c r="V103" s="273"/>
    </row>
    <row r="104" spans="1:22">
      <c r="A104" s="77">
        <v>44078</v>
      </c>
      <c r="B104" s="51" t="str">
        <f t="shared" si="10"/>
        <v>20200904</v>
      </c>
      <c r="C104" s="273" t="s">
        <v>8</v>
      </c>
      <c r="D104" s="273">
        <v>3</v>
      </c>
      <c r="E104" s="273" t="s">
        <v>1627</v>
      </c>
      <c r="F104" s="273" t="str">
        <f t="shared" si="9"/>
        <v>A3</v>
      </c>
      <c r="G104" s="273" t="str">
        <f t="shared" si="6"/>
        <v/>
      </c>
      <c r="H104" s="273"/>
      <c r="I104" s="273"/>
      <c r="J104" s="273"/>
      <c r="K104" s="273"/>
      <c r="L104" s="273"/>
      <c r="M104" s="273"/>
      <c r="N104" s="193" t="s">
        <v>1727</v>
      </c>
      <c r="O104" s="194">
        <v>1</v>
      </c>
      <c r="P104" s="182">
        <v>1</v>
      </c>
      <c r="Q104" s="182"/>
      <c r="R104" s="195">
        <v>2</v>
      </c>
      <c r="S104" s="273"/>
      <c r="T104" s="273"/>
      <c r="U104" s="273"/>
      <c r="V104" s="273"/>
    </row>
    <row r="105" spans="1:22">
      <c r="A105" s="77">
        <v>44078</v>
      </c>
      <c r="B105" s="51" t="str">
        <f t="shared" si="10"/>
        <v>20200904</v>
      </c>
      <c r="C105" s="273" t="s">
        <v>8</v>
      </c>
      <c r="D105" s="273">
        <v>4</v>
      </c>
      <c r="E105" s="273" t="s">
        <v>1627</v>
      </c>
      <c r="F105" s="273" t="str">
        <f t="shared" si="9"/>
        <v>A4</v>
      </c>
      <c r="G105" s="273" t="str">
        <f t="shared" si="6"/>
        <v/>
      </c>
      <c r="H105" s="273"/>
      <c r="I105" s="273"/>
      <c r="J105" s="273"/>
      <c r="K105" s="273"/>
      <c r="L105" s="273"/>
      <c r="M105" s="273"/>
      <c r="N105" s="193" t="s">
        <v>1728</v>
      </c>
      <c r="O105" s="194">
        <v>1</v>
      </c>
      <c r="P105" s="182">
        <v>1</v>
      </c>
      <c r="Q105" s="182"/>
      <c r="R105" s="195">
        <v>2</v>
      </c>
      <c r="S105" s="273"/>
      <c r="T105" s="273"/>
      <c r="U105" s="273"/>
      <c r="V105" s="273"/>
    </row>
    <row r="106" spans="1:22">
      <c r="A106" s="77">
        <v>44078</v>
      </c>
      <c r="B106" s="51" t="str">
        <f t="shared" si="10"/>
        <v>20200904</v>
      </c>
      <c r="C106" s="273" t="s">
        <v>8</v>
      </c>
      <c r="D106" s="273">
        <v>5</v>
      </c>
      <c r="E106" s="273" t="s">
        <v>1627</v>
      </c>
      <c r="F106" s="273" t="str">
        <f t="shared" si="9"/>
        <v>A5</v>
      </c>
      <c r="G106" s="273" t="str">
        <f t="shared" si="6"/>
        <v/>
      </c>
      <c r="H106" s="273"/>
      <c r="I106" s="273"/>
      <c r="J106" s="273"/>
      <c r="K106" s="273"/>
      <c r="L106" s="273"/>
      <c r="M106" s="273"/>
      <c r="N106" s="193" t="s">
        <v>1729</v>
      </c>
      <c r="O106" s="194">
        <v>1</v>
      </c>
      <c r="P106" s="182">
        <v>1</v>
      </c>
      <c r="Q106" s="182"/>
      <c r="R106" s="195">
        <v>2</v>
      </c>
      <c r="S106" s="273"/>
      <c r="T106" s="273"/>
      <c r="U106" s="273"/>
      <c r="V106" s="273"/>
    </row>
    <row r="107" spans="1:22">
      <c r="A107" s="77">
        <v>44081</v>
      </c>
      <c r="B107" s="51" t="str">
        <f t="shared" ref="B107:B133" si="11">TEXT(A107, "yyyymmdd")</f>
        <v>20200907</v>
      </c>
      <c r="C107" s="273" t="s">
        <v>11</v>
      </c>
      <c r="D107" s="273">
        <v>14</v>
      </c>
      <c r="E107" s="273" t="s">
        <v>1627</v>
      </c>
      <c r="F107" s="273" t="str">
        <f t="shared" si="9"/>
        <v>C14</v>
      </c>
      <c r="G107" s="273" t="str">
        <f t="shared" si="6"/>
        <v/>
      </c>
      <c r="H107" s="273"/>
      <c r="I107" s="273"/>
      <c r="J107" s="273"/>
      <c r="K107" s="273"/>
      <c r="L107" s="273"/>
      <c r="M107" s="273"/>
      <c r="N107" s="193" t="s">
        <v>1730</v>
      </c>
      <c r="O107" s="194">
        <v>1</v>
      </c>
      <c r="P107" s="182">
        <v>1</v>
      </c>
      <c r="Q107" s="182"/>
      <c r="R107" s="195">
        <v>2</v>
      </c>
      <c r="S107" s="273"/>
      <c r="T107" s="273"/>
      <c r="U107" s="273"/>
      <c r="V107" s="273"/>
    </row>
    <row r="108" spans="1:22">
      <c r="A108" s="77">
        <v>44081</v>
      </c>
      <c r="B108" s="51" t="str">
        <f t="shared" si="11"/>
        <v>20200907</v>
      </c>
      <c r="C108" s="273" t="s">
        <v>11</v>
      </c>
      <c r="D108" s="273">
        <v>15</v>
      </c>
      <c r="E108" s="273" t="s">
        <v>1627</v>
      </c>
      <c r="F108" s="273" t="str">
        <f t="shared" si="9"/>
        <v>C15</v>
      </c>
      <c r="G108" s="273" t="str">
        <f t="shared" si="6"/>
        <v/>
      </c>
      <c r="H108" s="273"/>
      <c r="I108" s="273"/>
      <c r="J108" s="273"/>
      <c r="K108" s="273"/>
      <c r="L108" s="273"/>
      <c r="M108" s="273"/>
      <c r="N108" s="193" t="s">
        <v>1731</v>
      </c>
      <c r="O108" s="194">
        <v>1</v>
      </c>
      <c r="P108" s="182"/>
      <c r="Q108" s="182"/>
      <c r="R108" s="195">
        <v>1</v>
      </c>
      <c r="S108" s="273"/>
      <c r="T108" s="273"/>
      <c r="U108" s="273"/>
      <c r="V108" s="273"/>
    </row>
    <row r="109" spans="1:22">
      <c r="A109" s="77">
        <v>44081</v>
      </c>
      <c r="B109" s="51" t="str">
        <f t="shared" si="11"/>
        <v>20200907</v>
      </c>
      <c r="C109" s="273" t="s">
        <v>11</v>
      </c>
      <c r="D109" s="273">
        <v>16</v>
      </c>
      <c r="E109" s="273" t="s">
        <v>1627</v>
      </c>
      <c r="F109" s="273" t="str">
        <f t="shared" si="9"/>
        <v>C16</v>
      </c>
      <c r="G109" s="273" t="str">
        <f t="shared" si="6"/>
        <v/>
      </c>
      <c r="H109" s="273"/>
      <c r="I109" s="273"/>
      <c r="J109" s="273"/>
      <c r="K109" s="273"/>
      <c r="L109" s="273"/>
      <c r="M109" s="273"/>
      <c r="N109" s="193" t="s">
        <v>1732</v>
      </c>
      <c r="O109" s="194">
        <v>1</v>
      </c>
      <c r="P109" s="182"/>
      <c r="Q109" s="182"/>
      <c r="R109" s="195">
        <v>1</v>
      </c>
      <c r="S109" s="273"/>
      <c r="T109" s="273"/>
      <c r="U109" s="273"/>
      <c r="V109" s="273"/>
    </row>
    <row r="110" spans="1:22">
      <c r="A110" s="77">
        <v>44081</v>
      </c>
      <c r="B110" s="51" t="str">
        <f t="shared" si="11"/>
        <v>20200907</v>
      </c>
      <c r="C110" s="273" t="s">
        <v>11</v>
      </c>
      <c r="D110" s="273">
        <v>17</v>
      </c>
      <c r="E110" s="273" t="s">
        <v>1627</v>
      </c>
      <c r="F110" s="273" t="str">
        <f t="shared" si="9"/>
        <v>C17</v>
      </c>
      <c r="G110" s="273" t="str">
        <f t="shared" si="6"/>
        <v/>
      </c>
      <c r="H110" s="273"/>
      <c r="I110" s="273"/>
      <c r="J110" s="273"/>
      <c r="K110" s="273"/>
      <c r="L110" s="273"/>
      <c r="M110" s="273"/>
      <c r="N110" s="193" t="s">
        <v>1733</v>
      </c>
      <c r="O110" s="194">
        <v>1</v>
      </c>
      <c r="P110" s="182"/>
      <c r="Q110" s="182"/>
      <c r="R110" s="195">
        <v>1</v>
      </c>
      <c r="S110" s="273"/>
      <c r="T110" s="273"/>
      <c r="U110" s="273"/>
      <c r="V110" s="273"/>
    </row>
    <row r="111" spans="1:22">
      <c r="A111" s="77">
        <v>44081</v>
      </c>
      <c r="B111" s="51" t="str">
        <f t="shared" si="11"/>
        <v>20200907</v>
      </c>
      <c r="C111" s="273" t="s">
        <v>11</v>
      </c>
      <c r="D111" s="273">
        <v>18</v>
      </c>
      <c r="E111" s="273" t="s">
        <v>1627</v>
      </c>
      <c r="F111" s="273" t="str">
        <f t="shared" si="9"/>
        <v>C18</v>
      </c>
      <c r="G111" s="273" t="str">
        <f t="shared" si="6"/>
        <v/>
      </c>
      <c r="H111" s="273"/>
      <c r="I111" s="273"/>
      <c r="J111" s="273"/>
      <c r="K111" s="273"/>
      <c r="L111" s="273"/>
      <c r="M111" s="273"/>
      <c r="N111" s="193" t="s">
        <v>1734</v>
      </c>
      <c r="O111" s="194">
        <v>1</v>
      </c>
      <c r="P111" s="182"/>
      <c r="Q111" s="182"/>
      <c r="R111" s="195">
        <v>1</v>
      </c>
      <c r="S111" s="273"/>
      <c r="T111" s="273"/>
      <c r="U111" s="273"/>
      <c r="V111" s="273"/>
    </row>
    <row r="112" spans="1:22">
      <c r="A112" s="77">
        <v>44081</v>
      </c>
      <c r="B112" s="51" t="str">
        <f t="shared" si="11"/>
        <v>20200907</v>
      </c>
      <c r="C112" s="273" t="s">
        <v>8</v>
      </c>
      <c r="D112" s="273">
        <v>6</v>
      </c>
      <c r="E112" s="273" t="s">
        <v>1627</v>
      </c>
      <c r="F112" s="273" t="str">
        <f t="shared" si="9"/>
        <v>A6</v>
      </c>
      <c r="G112" s="273" t="str">
        <f t="shared" si="6"/>
        <v/>
      </c>
      <c r="H112" s="273"/>
      <c r="I112" s="273"/>
      <c r="J112" s="273"/>
      <c r="K112" s="273"/>
      <c r="L112" s="273"/>
      <c r="M112" s="273"/>
      <c r="N112" s="193" t="s">
        <v>1735</v>
      </c>
      <c r="O112" s="194">
        <v>1</v>
      </c>
      <c r="P112" s="182">
        <v>1</v>
      </c>
      <c r="Q112" s="182">
        <v>1</v>
      </c>
      <c r="R112" s="195">
        <v>3</v>
      </c>
      <c r="S112" s="273"/>
      <c r="T112" s="273"/>
      <c r="U112" s="273"/>
      <c r="V112" s="273"/>
    </row>
    <row r="113" spans="1:19">
      <c r="A113" s="77">
        <v>44081</v>
      </c>
      <c r="B113" s="51" t="str">
        <f t="shared" si="11"/>
        <v>20200907</v>
      </c>
      <c r="C113" s="273" t="s">
        <v>8</v>
      </c>
      <c r="D113" s="273">
        <v>7</v>
      </c>
      <c r="E113" s="273" t="s">
        <v>1627</v>
      </c>
      <c r="F113" s="273" t="str">
        <f t="shared" si="9"/>
        <v>A7</v>
      </c>
      <c r="G113" s="273" t="str">
        <f t="shared" si="6"/>
        <v/>
      </c>
      <c r="H113" s="273"/>
      <c r="I113" s="273"/>
      <c r="J113" s="273"/>
      <c r="K113" s="273"/>
      <c r="L113" s="273"/>
      <c r="M113" s="273"/>
      <c r="N113" s="193" t="s">
        <v>1736</v>
      </c>
      <c r="O113" s="194">
        <v>1</v>
      </c>
      <c r="P113" s="182">
        <v>1</v>
      </c>
      <c r="Q113" s="182">
        <v>1</v>
      </c>
      <c r="R113" s="195">
        <v>3</v>
      </c>
      <c r="S113" s="273"/>
    </row>
    <row r="114" spans="1:19">
      <c r="A114" s="77">
        <v>44081</v>
      </c>
      <c r="B114" s="51" t="str">
        <f t="shared" si="11"/>
        <v>20200907</v>
      </c>
      <c r="C114" s="273" t="s">
        <v>8</v>
      </c>
      <c r="D114" s="273">
        <v>8</v>
      </c>
      <c r="E114" s="273" t="s">
        <v>1627</v>
      </c>
      <c r="F114" s="273" t="str">
        <f t="shared" si="9"/>
        <v>A8</v>
      </c>
      <c r="G114" s="273" t="str">
        <f t="shared" si="6"/>
        <v/>
      </c>
      <c r="H114" s="273"/>
      <c r="I114" s="273"/>
      <c r="J114" s="273"/>
      <c r="K114" s="273"/>
      <c r="L114" s="273"/>
      <c r="M114" s="273"/>
      <c r="N114" s="193" t="s">
        <v>1737</v>
      </c>
      <c r="O114" s="194">
        <v>1</v>
      </c>
      <c r="P114" s="182">
        <v>1</v>
      </c>
      <c r="Q114" s="182">
        <v>1</v>
      </c>
      <c r="R114" s="195">
        <v>3</v>
      </c>
      <c r="S114" s="273"/>
    </row>
    <row r="115" spans="1:19">
      <c r="A115" s="77">
        <v>44081</v>
      </c>
      <c r="B115" s="51" t="str">
        <f t="shared" si="11"/>
        <v>20200907</v>
      </c>
      <c r="C115" s="273" t="s">
        <v>8</v>
      </c>
      <c r="D115" s="273">
        <v>9</v>
      </c>
      <c r="E115" s="273" t="s">
        <v>1627</v>
      </c>
      <c r="F115" s="273" t="str">
        <f t="shared" si="9"/>
        <v>A9</v>
      </c>
      <c r="G115" s="273" t="str">
        <f t="shared" si="6"/>
        <v/>
      </c>
      <c r="H115" s="273"/>
      <c r="I115" s="273"/>
      <c r="J115" s="273"/>
      <c r="K115" s="273"/>
      <c r="L115" s="273"/>
      <c r="M115" s="273"/>
      <c r="N115" s="193" t="s">
        <v>1738</v>
      </c>
      <c r="O115" s="194">
        <v>1</v>
      </c>
      <c r="P115" s="182">
        <v>1</v>
      </c>
      <c r="Q115" s="182">
        <v>1</v>
      </c>
      <c r="R115" s="195">
        <v>3</v>
      </c>
      <c r="S115" s="273"/>
    </row>
    <row r="116" spans="1:19">
      <c r="A116" s="77">
        <v>44081</v>
      </c>
      <c r="B116" s="51" t="str">
        <f t="shared" si="11"/>
        <v>20200907</v>
      </c>
      <c r="C116" s="273" t="s">
        <v>8</v>
      </c>
      <c r="D116" s="273">
        <v>10</v>
      </c>
      <c r="E116" s="273" t="s">
        <v>1627</v>
      </c>
      <c r="F116" s="273" t="str">
        <f t="shared" si="9"/>
        <v>A10</v>
      </c>
      <c r="G116" s="273" t="str">
        <f t="shared" si="6"/>
        <v/>
      </c>
      <c r="H116" s="273"/>
      <c r="I116" s="273"/>
      <c r="J116" s="273"/>
      <c r="K116" s="273"/>
      <c r="L116" s="273"/>
      <c r="M116" s="273"/>
      <c r="N116" s="193" t="s">
        <v>1739</v>
      </c>
      <c r="O116" s="194">
        <v>1</v>
      </c>
      <c r="P116" s="182">
        <v>1</v>
      </c>
      <c r="Q116" s="182">
        <v>1</v>
      </c>
      <c r="R116" s="195">
        <v>3</v>
      </c>
      <c r="S116" s="273"/>
    </row>
    <row r="117" spans="1:19">
      <c r="A117" s="77">
        <v>44081</v>
      </c>
      <c r="B117" s="51" t="str">
        <f t="shared" si="11"/>
        <v>20200907</v>
      </c>
      <c r="C117" s="273" t="s">
        <v>11</v>
      </c>
      <c r="D117" s="273">
        <v>9</v>
      </c>
      <c r="E117" s="273" t="s">
        <v>1629</v>
      </c>
      <c r="F117" s="273" t="str">
        <f t="shared" si="9"/>
        <v>C9</v>
      </c>
      <c r="G117" s="273">
        <f t="shared" ca="1" si="6"/>
        <v>145</v>
      </c>
      <c r="H117" s="273"/>
      <c r="I117" s="273"/>
      <c r="J117" s="273"/>
      <c r="K117" s="273"/>
      <c r="L117" s="273"/>
      <c r="M117" s="273"/>
      <c r="N117" s="193" t="s">
        <v>24</v>
      </c>
      <c r="O117" s="194">
        <v>3</v>
      </c>
      <c r="P117" s="182">
        <v>3</v>
      </c>
      <c r="Q117" s="182">
        <v>3</v>
      </c>
      <c r="R117" s="195">
        <v>9</v>
      </c>
      <c r="S117" s="273"/>
    </row>
    <row r="118" spans="1:19">
      <c r="A118" s="77">
        <v>44081</v>
      </c>
      <c r="B118" s="51" t="str">
        <f t="shared" si="11"/>
        <v>20200907</v>
      </c>
      <c r="C118" s="273" t="s">
        <v>11</v>
      </c>
      <c r="D118" s="273">
        <v>10</v>
      </c>
      <c r="E118" s="273" t="s">
        <v>1629</v>
      </c>
      <c r="F118" s="273" t="str">
        <f t="shared" si="9"/>
        <v>C10</v>
      </c>
      <c r="G118" s="273">
        <f t="shared" ca="1" si="6"/>
        <v>145</v>
      </c>
      <c r="H118" s="273"/>
      <c r="I118" s="273"/>
      <c r="J118" s="273"/>
      <c r="K118" s="273"/>
      <c r="L118" s="273"/>
      <c r="M118" s="273"/>
      <c r="N118" s="193" t="s">
        <v>1740</v>
      </c>
      <c r="O118" s="194">
        <v>1</v>
      </c>
      <c r="P118" s="182">
        <v>1</v>
      </c>
      <c r="Q118" s="182">
        <v>1</v>
      </c>
      <c r="R118" s="195">
        <v>3</v>
      </c>
      <c r="S118" s="273"/>
    </row>
    <row r="119" spans="1:19">
      <c r="A119" s="77">
        <v>44081</v>
      </c>
      <c r="B119" s="51" t="str">
        <f t="shared" si="11"/>
        <v>20200907</v>
      </c>
      <c r="C119" s="273" t="s">
        <v>11</v>
      </c>
      <c r="D119" s="273">
        <v>11</v>
      </c>
      <c r="E119" s="273" t="s">
        <v>1629</v>
      </c>
      <c r="F119" s="273" t="str">
        <f t="shared" si="9"/>
        <v>C11</v>
      </c>
      <c r="G119" s="273">
        <f t="shared" ca="1" si="6"/>
        <v>145</v>
      </c>
      <c r="H119" s="273"/>
      <c r="I119" s="273"/>
      <c r="J119" s="273"/>
      <c r="K119" s="273"/>
      <c r="L119" s="273"/>
      <c r="M119" s="273"/>
      <c r="N119" s="193" t="s">
        <v>1741</v>
      </c>
      <c r="O119" s="194">
        <v>1</v>
      </c>
      <c r="P119" s="182">
        <v>1</v>
      </c>
      <c r="Q119" s="182">
        <v>1</v>
      </c>
      <c r="R119" s="195">
        <v>3</v>
      </c>
      <c r="S119" s="273"/>
    </row>
    <row r="120" spans="1:19">
      <c r="A120" s="77">
        <v>44081</v>
      </c>
      <c r="B120" s="51" t="str">
        <f t="shared" si="11"/>
        <v>20200907</v>
      </c>
      <c r="C120" s="273" t="s">
        <v>11</v>
      </c>
      <c r="D120" s="273">
        <v>12</v>
      </c>
      <c r="E120" s="273" t="s">
        <v>1629</v>
      </c>
      <c r="F120" s="273" t="str">
        <f t="shared" si="9"/>
        <v>C12</v>
      </c>
      <c r="G120" s="273">
        <f t="shared" ca="1" si="6"/>
        <v>145</v>
      </c>
      <c r="H120" s="273"/>
      <c r="I120" s="273"/>
      <c r="J120" s="273"/>
      <c r="K120" s="273"/>
      <c r="L120" s="273"/>
      <c r="M120" s="273"/>
      <c r="N120" s="193" t="s">
        <v>1742</v>
      </c>
      <c r="O120" s="194">
        <v>1</v>
      </c>
      <c r="P120" s="182"/>
      <c r="Q120" s="182"/>
      <c r="R120" s="195">
        <v>1</v>
      </c>
      <c r="S120" s="273"/>
    </row>
    <row r="121" spans="1:19">
      <c r="A121" s="77">
        <v>44081</v>
      </c>
      <c r="B121" s="51" t="str">
        <f t="shared" si="11"/>
        <v>20200907</v>
      </c>
      <c r="C121" s="273" t="s">
        <v>11</v>
      </c>
      <c r="D121" s="273">
        <v>13</v>
      </c>
      <c r="E121" s="273" t="s">
        <v>1629</v>
      </c>
      <c r="F121" s="273" t="str">
        <f t="shared" si="9"/>
        <v>C13</v>
      </c>
      <c r="G121" s="273">
        <f t="shared" ca="1" si="6"/>
        <v>145</v>
      </c>
      <c r="H121" s="273"/>
      <c r="I121" s="273"/>
      <c r="J121" s="273"/>
      <c r="K121" s="273"/>
      <c r="L121" s="273"/>
      <c r="M121" s="273"/>
      <c r="N121" s="193" t="s">
        <v>1743</v>
      </c>
      <c r="O121" s="194">
        <v>1</v>
      </c>
      <c r="P121" s="182"/>
      <c r="Q121" s="182"/>
      <c r="R121" s="195">
        <v>1</v>
      </c>
      <c r="S121" s="273"/>
    </row>
    <row r="122" spans="1:19">
      <c r="A122" s="77">
        <v>44081</v>
      </c>
      <c r="B122" s="51" t="str">
        <f t="shared" si="11"/>
        <v>20200907</v>
      </c>
      <c r="C122" s="273" t="s">
        <v>16</v>
      </c>
      <c r="D122" s="273">
        <v>13</v>
      </c>
      <c r="E122" s="273" t="s">
        <v>1629</v>
      </c>
      <c r="F122" s="273" t="str">
        <f t="shared" ref="F122:F153" si="12">_xlfn.CONCAT(C122:D122)</f>
        <v>D13</v>
      </c>
      <c r="G122" s="273">
        <f t="shared" ca="1" si="6"/>
        <v>145</v>
      </c>
      <c r="H122" s="273"/>
      <c r="I122" s="273"/>
      <c r="J122" s="273"/>
      <c r="K122" s="273"/>
      <c r="L122" s="273"/>
      <c r="M122" s="273"/>
      <c r="N122" s="196" t="s">
        <v>1639</v>
      </c>
      <c r="O122" s="197">
        <v>119</v>
      </c>
      <c r="P122" s="198">
        <v>111</v>
      </c>
      <c r="Q122" s="198">
        <v>90</v>
      </c>
      <c r="R122" s="199">
        <v>320</v>
      </c>
      <c r="S122" s="273"/>
    </row>
    <row r="123" spans="1:19">
      <c r="A123" s="77">
        <v>44081</v>
      </c>
      <c r="B123" s="51" t="str">
        <f t="shared" si="11"/>
        <v>20200907</v>
      </c>
      <c r="C123" s="273" t="s">
        <v>16</v>
      </c>
      <c r="D123" s="273">
        <v>16</v>
      </c>
      <c r="E123" s="273" t="s">
        <v>1629</v>
      </c>
      <c r="F123" s="273" t="str">
        <f t="shared" si="12"/>
        <v>D16</v>
      </c>
      <c r="G123" s="273">
        <f t="shared" ca="1" si="6"/>
        <v>145</v>
      </c>
      <c r="H123" s="273"/>
      <c r="I123" s="273"/>
      <c r="J123" s="273"/>
      <c r="K123" s="273"/>
      <c r="L123" s="273"/>
      <c r="M123" s="273"/>
      <c r="N123" s="273"/>
      <c r="O123" s="273"/>
      <c r="P123" s="273"/>
      <c r="Q123" s="273"/>
      <c r="R123" s="273"/>
      <c r="S123" s="273"/>
    </row>
    <row r="124" spans="1:19">
      <c r="A124" s="77">
        <v>44081</v>
      </c>
      <c r="B124" s="51" t="str">
        <f t="shared" si="11"/>
        <v>20200907</v>
      </c>
      <c r="C124" s="273" t="s">
        <v>8</v>
      </c>
      <c r="D124" s="273">
        <v>5</v>
      </c>
      <c r="E124" s="273" t="s">
        <v>1629</v>
      </c>
      <c r="F124" s="273" t="str">
        <f t="shared" si="12"/>
        <v>A5</v>
      </c>
      <c r="G124" s="273">
        <f t="shared" ca="1" si="6"/>
        <v>145</v>
      </c>
      <c r="H124" s="273"/>
      <c r="I124" s="273"/>
      <c r="J124" s="273"/>
      <c r="K124" s="273"/>
      <c r="L124" s="273"/>
      <c r="M124" s="273"/>
      <c r="N124" s="273"/>
      <c r="O124" s="273"/>
      <c r="P124" s="273"/>
      <c r="Q124" s="273"/>
      <c r="R124" s="273"/>
      <c r="S124" s="273"/>
    </row>
    <row r="125" spans="1:19">
      <c r="A125" s="77">
        <v>44081</v>
      </c>
      <c r="B125" s="51" t="str">
        <f t="shared" si="11"/>
        <v>20200907</v>
      </c>
      <c r="C125" s="273" t="s">
        <v>19</v>
      </c>
      <c r="D125" s="273">
        <v>2</v>
      </c>
      <c r="E125" s="273" t="s">
        <v>1629</v>
      </c>
      <c r="F125" s="273" t="str">
        <f t="shared" si="12"/>
        <v>B2</v>
      </c>
      <c r="G125" s="273">
        <f t="shared" ca="1" si="6"/>
        <v>145</v>
      </c>
      <c r="H125" s="273"/>
      <c r="I125" s="273"/>
      <c r="J125" s="273"/>
      <c r="K125" s="273"/>
      <c r="L125" s="273"/>
      <c r="M125" s="273"/>
      <c r="N125" s="273"/>
      <c r="O125" s="273"/>
      <c r="P125" s="273"/>
      <c r="Q125" s="273"/>
      <c r="R125" s="273"/>
      <c r="S125" s="273"/>
    </row>
    <row r="126" spans="1:19">
      <c r="A126" s="77">
        <v>44081</v>
      </c>
      <c r="B126" s="51" t="str">
        <f t="shared" si="11"/>
        <v>20200907</v>
      </c>
      <c r="C126" s="273" t="s">
        <v>19</v>
      </c>
      <c r="D126" s="273">
        <v>3</v>
      </c>
      <c r="E126" s="273" t="s">
        <v>1629</v>
      </c>
      <c r="F126" s="273" t="str">
        <f t="shared" si="12"/>
        <v>B3</v>
      </c>
      <c r="G126" s="273">
        <f t="shared" ca="1" si="6"/>
        <v>145</v>
      </c>
      <c r="H126" s="273"/>
      <c r="I126" s="273"/>
      <c r="J126" s="273"/>
      <c r="K126" s="273"/>
      <c r="L126" s="273"/>
      <c r="M126" s="273"/>
      <c r="N126" s="273"/>
      <c r="O126" s="273"/>
      <c r="P126" s="273"/>
      <c r="Q126" s="273"/>
      <c r="R126" s="273"/>
      <c r="S126" s="273"/>
    </row>
    <row r="127" spans="1:19">
      <c r="A127" s="77">
        <v>44081</v>
      </c>
      <c r="B127" s="51" t="str">
        <f t="shared" si="11"/>
        <v>20200907</v>
      </c>
      <c r="C127" s="273" t="s">
        <v>11</v>
      </c>
      <c r="D127" s="273">
        <v>2</v>
      </c>
      <c r="E127" s="273" t="s">
        <v>1638</v>
      </c>
      <c r="F127" s="273" t="str">
        <f t="shared" si="12"/>
        <v>C2</v>
      </c>
      <c r="G127" s="273" t="str">
        <f t="shared" si="6"/>
        <v/>
      </c>
      <c r="H127" s="273"/>
      <c r="I127" s="273"/>
      <c r="J127" s="273"/>
      <c r="K127" s="273"/>
      <c r="L127" s="273"/>
      <c r="M127" s="273"/>
      <c r="N127" s="273"/>
      <c r="O127" s="273"/>
      <c r="P127" s="273"/>
      <c r="Q127" s="273"/>
      <c r="R127" s="273"/>
      <c r="S127" s="273"/>
    </row>
    <row r="128" spans="1:19">
      <c r="A128" s="77">
        <v>44081</v>
      </c>
      <c r="B128" s="51" t="str">
        <f t="shared" si="11"/>
        <v>20200907</v>
      </c>
      <c r="C128" s="273" t="s">
        <v>11</v>
      </c>
      <c r="D128" s="273">
        <v>3</v>
      </c>
      <c r="E128" s="273" t="s">
        <v>1638</v>
      </c>
      <c r="F128" s="273" t="str">
        <f t="shared" si="12"/>
        <v>C3</v>
      </c>
      <c r="G128" s="273" t="str">
        <f t="shared" si="6"/>
        <v/>
      </c>
      <c r="H128" s="273"/>
      <c r="I128" s="273"/>
      <c r="J128" s="273"/>
      <c r="K128" s="273"/>
      <c r="L128" s="273"/>
      <c r="M128" s="273"/>
      <c r="N128" s="273"/>
      <c r="O128" s="273"/>
      <c r="P128" s="273"/>
      <c r="Q128" s="273"/>
      <c r="R128" s="273"/>
      <c r="S128" s="273"/>
    </row>
    <row r="129" spans="1:19">
      <c r="A129" s="77">
        <v>44081</v>
      </c>
      <c r="B129" s="51" t="str">
        <f t="shared" si="11"/>
        <v>20200907</v>
      </c>
      <c r="C129" s="273" t="s">
        <v>11</v>
      </c>
      <c r="D129" s="273">
        <v>4</v>
      </c>
      <c r="E129" s="273" t="s">
        <v>1638</v>
      </c>
      <c r="F129" s="273" t="str">
        <f t="shared" si="12"/>
        <v>C4</v>
      </c>
      <c r="G129" s="273" t="str">
        <f t="shared" si="6"/>
        <v/>
      </c>
      <c r="H129" s="273"/>
      <c r="I129" s="273"/>
      <c r="J129" s="273"/>
      <c r="K129" s="273"/>
      <c r="L129" s="273"/>
      <c r="M129" s="273"/>
      <c r="N129" s="273"/>
      <c r="O129" s="273"/>
      <c r="P129" s="273"/>
      <c r="Q129" s="273"/>
      <c r="R129" s="273"/>
      <c r="S129" s="273"/>
    </row>
    <row r="130" spans="1:19">
      <c r="A130" s="77">
        <v>44081</v>
      </c>
      <c r="B130" s="51" t="str">
        <f t="shared" si="11"/>
        <v>20200907</v>
      </c>
      <c r="C130" s="273" t="s">
        <v>11</v>
      </c>
      <c r="D130" s="273">
        <v>7</v>
      </c>
      <c r="E130" s="273" t="s">
        <v>1638</v>
      </c>
      <c r="F130" s="273" t="str">
        <f t="shared" si="12"/>
        <v>C7</v>
      </c>
      <c r="G130" s="273" t="str">
        <f t="shared" si="6"/>
        <v/>
      </c>
      <c r="H130" s="273"/>
      <c r="I130" s="273"/>
      <c r="J130" s="273"/>
      <c r="K130" s="273"/>
      <c r="L130" s="273"/>
      <c r="M130" s="273"/>
      <c r="N130" s="273"/>
      <c r="O130" s="273"/>
      <c r="P130" s="273"/>
      <c r="Q130" s="273"/>
      <c r="R130" s="273"/>
      <c r="S130" s="273"/>
    </row>
    <row r="131" spans="1:19">
      <c r="A131" s="77">
        <v>44081</v>
      </c>
      <c r="B131" s="51" t="str">
        <f t="shared" si="11"/>
        <v>20200907</v>
      </c>
      <c r="C131" s="273" t="s">
        <v>16</v>
      </c>
      <c r="D131" s="273">
        <v>2</v>
      </c>
      <c r="E131" s="273" t="s">
        <v>1638</v>
      </c>
      <c r="F131" s="273" t="str">
        <f t="shared" si="12"/>
        <v>D2</v>
      </c>
      <c r="G131" s="273" t="str">
        <f t="shared" ref="G131:G166" si="13">IF(E131="Light",$O$8-A131,"")</f>
        <v/>
      </c>
      <c r="H131" s="273"/>
      <c r="I131" s="273"/>
      <c r="J131" s="273"/>
      <c r="K131" s="273"/>
      <c r="L131" s="273"/>
      <c r="M131" s="273"/>
      <c r="N131" s="273"/>
      <c r="O131" s="273"/>
      <c r="P131" s="273"/>
      <c r="Q131" s="273"/>
      <c r="R131" s="273"/>
      <c r="S131" s="273"/>
    </row>
    <row r="132" spans="1:19">
      <c r="A132" s="77">
        <v>44081</v>
      </c>
      <c r="B132" s="51" t="str">
        <f t="shared" si="11"/>
        <v>20200907</v>
      </c>
      <c r="C132" s="273" t="s">
        <v>16</v>
      </c>
      <c r="D132" s="273">
        <v>8</v>
      </c>
      <c r="E132" s="273" t="s">
        <v>1638</v>
      </c>
      <c r="F132" s="273" t="str">
        <f t="shared" si="12"/>
        <v>D8</v>
      </c>
      <c r="G132" s="273" t="str">
        <f t="shared" si="13"/>
        <v/>
      </c>
      <c r="H132" s="273"/>
      <c r="I132" s="273"/>
      <c r="J132" s="273"/>
      <c r="K132" s="273"/>
      <c r="L132" s="273"/>
      <c r="M132" s="273"/>
      <c r="N132" s="273"/>
      <c r="O132" s="273"/>
      <c r="P132" s="273"/>
      <c r="Q132" s="273"/>
      <c r="R132" s="273"/>
      <c r="S132" s="273"/>
    </row>
    <row r="133" spans="1:19">
      <c r="A133" s="77">
        <v>44082</v>
      </c>
      <c r="B133" s="51" t="str">
        <f t="shared" si="11"/>
        <v>20200908</v>
      </c>
      <c r="C133" s="273" t="s">
        <v>16</v>
      </c>
      <c r="D133" s="273">
        <v>17</v>
      </c>
      <c r="E133" s="273" t="s">
        <v>1627</v>
      </c>
      <c r="F133" s="273" t="str">
        <f t="shared" si="12"/>
        <v>D17</v>
      </c>
      <c r="G133" s="273" t="str">
        <f t="shared" si="13"/>
        <v/>
      </c>
      <c r="H133" s="273"/>
      <c r="I133" s="273"/>
      <c r="J133" s="273"/>
      <c r="K133" s="273"/>
      <c r="L133" s="273"/>
      <c r="M133" s="273"/>
      <c r="N133" s="273"/>
      <c r="O133" s="273"/>
      <c r="P133" s="273"/>
      <c r="Q133" s="273"/>
      <c r="R133" s="273"/>
      <c r="S133" s="273"/>
    </row>
    <row r="134" spans="1:19">
      <c r="A134" s="77">
        <v>44082</v>
      </c>
      <c r="B134" s="51" t="str">
        <f t="shared" ref="B134:B139" si="14">TEXT(A134, "yyyymmdd")</f>
        <v>20200908</v>
      </c>
      <c r="C134" s="273" t="s">
        <v>16</v>
      </c>
      <c r="D134" s="273">
        <v>18</v>
      </c>
      <c r="E134" s="273" t="s">
        <v>1627</v>
      </c>
      <c r="F134" s="273" t="str">
        <f t="shared" si="12"/>
        <v>D18</v>
      </c>
      <c r="G134" s="273" t="str">
        <f t="shared" si="13"/>
        <v/>
      </c>
      <c r="H134" s="273"/>
      <c r="I134" s="273"/>
      <c r="J134" s="273"/>
      <c r="K134" s="273"/>
      <c r="L134" s="273"/>
      <c r="M134" s="273"/>
      <c r="N134" s="273"/>
      <c r="O134" s="273"/>
      <c r="P134" s="273"/>
      <c r="Q134" s="273"/>
      <c r="R134" s="273"/>
      <c r="S134" s="273"/>
    </row>
    <row r="135" spans="1:19">
      <c r="A135" s="77">
        <v>44082</v>
      </c>
      <c r="B135" s="51" t="str">
        <f t="shared" si="14"/>
        <v>20200908</v>
      </c>
      <c r="C135" s="273" t="s">
        <v>16</v>
      </c>
      <c r="D135" s="273">
        <v>19</v>
      </c>
      <c r="E135" s="273" t="s">
        <v>1627</v>
      </c>
      <c r="F135" s="273" t="str">
        <f t="shared" si="12"/>
        <v>D19</v>
      </c>
      <c r="G135" s="273" t="str">
        <f t="shared" si="13"/>
        <v/>
      </c>
      <c r="H135" s="273"/>
      <c r="I135" s="273"/>
      <c r="J135" s="273"/>
      <c r="K135" s="273"/>
      <c r="L135" s="273"/>
      <c r="M135" s="273"/>
      <c r="N135" s="273"/>
      <c r="O135" s="273"/>
      <c r="P135" s="273"/>
      <c r="Q135" s="273"/>
      <c r="R135" s="273"/>
      <c r="S135" s="273"/>
    </row>
    <row r="136" spans="1:19">
      <c r="A136" s="77">
        <v>44082</v>
      </c>
      <c r="B136" s="51" t="str">
        <f t="shared" si="14"/>
        <v>20200908</v>
      </c>
      <c r="C136" s="273" t="s">
        <v>16</v>
      </c>
      <c r="D136" s="273">
        <v>20</v>
      </c>
      <c r="E136" s="273" t="s">
        <v>1627</v>
      </c>
      <c r="F136" s="273" t="str">
        <f t="shared" si="12"/>
        <v>D20</v>
      </c>
      <c r="G136" s="273" t="str">
        <f t="shared" si="13"/>
        <v/>
      </c>
      <c r="H136" s="273"/>
      <c r="I136" s="273"/>
      <c r="J136" s="273"/>
      <c r="K136" s="273"/>
      <c r="L136" s="273"/>
      <c r="M136" s="273"/>
      <c r="N136" s="273"/>
      <c r="O136" s="273"/>
      <c r="P136" s="273"/>
      <c r="Q136" s="273"/>
      <c r="R136" s="273"/>
      <c r="S136" s="273"/>
    </row>
    <row r="137" spans="1:19">
      <c r="A137" s="77">
        <v>44082</v>
      </c>
      <c r="B137" s="51" t="str">
        <f t="shared" si="14"/>
        <v>20200908</v>
      </c>
      <c r="C137" s="273" t="s">
        <v>16</v>
      </c>
      <c r="D137" s="273">
        <v>21</v>
      </c>
      <c r="E137" s="273" t="s">
        <v>1627</v>
      </c>
      <c r="F137" s="273" t="str">
        <f t="shared" si="12"/>
        <v>D21</v>
      </c>
      <c r="G137" s="273" t="str">
        <f t="shared" si="13"/>
        <v/>
      </c>
      <c r="H137" s="273"/>
      <c r="I137" s="273"/>
      <c r="J137" s="273"/>
      <c r="K137" s="273"/>
      <c r="L137" s="273"/>
      <c r="M137" s="273"/>
      <c r="N137" s="273"/>
      <c r="O137" s="273"/>
      <c r="P137" s="273"/>
      <c r="Q137" s="273"/>
      <c r="R137" s="273"/>
      <c r="S137" s="273"/>
    </row>
    <row r="138" spans="1:19">
      <c r="A138" s="77">
        <v>44082</v>
      </c>
      <c r="B138" s="51" t="str">
        <f t="shared" si="14"/>
        <v>20200908</v>
      </c>
      <c r="C138" s="273" t="s">
        <v>16</v>
      </c>
      <c r="D138" s="273">
        <v>22</v>
      </c>
      <c r="E138" s="273" t="s">
        <v>1627</v>
      </c>
      <c r="F138" s="273" t="str">
        <f t="shared" si="12"/>
        <v>D22</v>
      </c>
      <c r="G138" s="273" t="str">
        <f t="shared" si="13"/>
        <v/>
      </c>
      <c r="H138" s="273"/>
      <c r="I138" s="273"/>
      <c r="J138" s="273"/>
      <c r="K138" s="273"/>
      <c r="L138" s="273"/>
      <c r="M138" s="273"/>
      <c r="N138" s="273"/>
      <c r="O138" s="273"/>
      <c r="P138" s="273"/>
      <c r="Q138" s="273"/>
      <c r="R138" s="273"/>
      <c r="S138" s="273"/>
    </row>
    <row r="139" spans="1:19">
      <c r="A139" s="77">
        <v>44082</v>
      </c>
      <c r="B139" s="51" t="str">
        <f t="shared" si="14"/>
        <v>20200908</v>
      </c>
      <c r="C139" s="273" t="s">
        <v>16</v>
      </c>
      <c r="D139" s="273">
        <v>17</v>
      </c>
      <c r="E139" s="273" t="s">
        <v>1629</v>
      </c>
      <c r="F139" s="273" t="str">
        <f t="shared" si="12"/>
        <v>D17</v>
      </c>
      <c r="G139" s="273">
        <f t="shared" ca="1" si="13"/>
        <v>144</v>
      </c>
      <c r="H139" s="273"/>
      <c r="I139" s="273"/>
      <c r="J139" s="273"/>
      <c r="K139" s="273"/>
      <c r="L139" s="273"/>
      <c r="M139" s="273"/>
      <c r="N139" s="273"/>
      <c r="O139" s="273"/>
      <c r="P139" s="273"/>
      <c r="Q139" s="273"/>
      <c r="R139" s="273"/>
      <c r="S139" s="273"/>
    </row>
    <row r="140" spans="1:19">
      <c r="A140" s="77">
        <v>44082</v>
      </c>
      <c r="B140" s="51" t="str">
        <f t="shared" ref="B140:B144" si="15">TEXT(A140, "yyyymmdd")</f>
        <v>20200908</v>
      </c>
      <c r="C140" s="273" t="s">
        <v>16</v>
      </c>
      <c r="D140" s="273">
        <v>23</v>
      </c>
      <c r="E140" s="273" t="s">
        <v>1627</v>
      </c>
      <c r="F140" s="273" t="str">
        <f t="shared" si="12"/>
        <v>D23</v>
      </c>
      <c r="G140" s="273" t="str">
        <f t="shared" si="13"/>
        <v/>
      </c>
      <c r="H140" s="273"/>
      <c r="I140" s="273"/>
      <c r="J140" s="273"/>
      <c r="K140" s="273"/>
      <c r="L140" s="273"/>
      <c r="M140" s="273"/>
      <c r="N140" s="273"/>
      <c r="O140" s="273"/>
      <c r="P140" s="273"/>
      <c r="Q140" s="273"/>
      <c r="R140" s="273"/>
      <c r="S140" s="273"/>
    </row>
    <row r="141" spans="1:19">
      <c r="A141" s="77">
        <v>44082</v>
      </c>
      <c r="B141" s="51" t="str">
        <f t="shared" si="15"/>
        <v>20200908</v>
      </c>
      <c r="C141" s="273" t="s">
        <v>16</v>
      </c>
      <c r="D141" s="273">
        <v>24</v>
      </c>
      <c r="E141" s="273" t="s">
        <v>1627</v>
      </c>
      <c r="F141" s="273" t="str">
        <f t="shared" si="12"/>
        <v>D24</v>
      </c>
      <c r="G141" s="273" t="str">
        <f t="shared" si="13"/>
        <v/>
      </c>
      <c r="H141" s="273"/>
      <c r="I141" s="273"/>
      <c r="J141" s="273"/>
      <c r="K141" s="273"/>
      <c r="L141" s="273"/>
      <c r="M141" s="273"/>
      <c r="N141" s="273"/>
      <c r="O141" s="273"/>
      <c r="P141" s="273"/>
      <c r="Q141" s="273"/>
      <c r="R141" s="273"/>
      <c r="S141" s="273"/>
    </row>
    <row r="142" spans="1:19">
      <c r="A142" s="77">
        <v>44082</v>
      </c>
      <c r="B142" s="51" t="str">
        <f t="shared" si="15"/>
        <v>20200908</v>
      </c>
      <c r="C142" s="273" t="s">
        <v>16</v>
      </c>
      <c r="D142" s="273">
        <v>25</v>
      </c>
      <c r="E142" s="273" t="s">
        <v>1627</v>
      </c>
      <c r="F142" s="273" t="str">
        <f t="shared" si="12"/>
        <v>D25</v>
      </c>
      <c r="G142" s="273" t="str">
        <f t="shared" si="13"/>
        <v/>
      </c>
      <c r="H142" s="273"/>
      <c r="I142" s="273"/>
      <c r="J142" s="273"/>
      <c r="K142" s="273"/>
      <c r="L142" s="273"/>
      <c r="M142" s="273"/>
      <c r="N142" s="273"/>
      <c r="O142" s="273"/>
      <c r="P142" s="273"/>
      <c r="Q142" s="273"/>
      <c r="R142" s="273"/>
      <c r="S142" s="273"/>
    </row>
    <row r="143" spans="1:19">
      <c r="A143" s="77">
        <v>44082</v>
      </c>
      <c r="B143" s="51" t="str">
        <f t="shared" si="15"/>
        <v>20200908</v>
      </c>
      <c r="C143" s="273" t="s">
        <v>16</v>
      </c>
      <c r="D143" s="273">
        <v>26</v>
      </c>
      <c r="E143" s="273" t="s">
        <v>1627</v>
      </c>
      <c r="F143" s="273" t="str">
        <f t="shared" si="12"/>
        <v>D26</v>
      </c>
      <c r="G143" s="273" t="str">
        <f t="shared" si="13"/>
        <v/>
      </c>
      <c r="H143" s="273"/>
      <c r="I143" s="273"/>
      <c r="J143" s="273"/>
      <c r="K143" s="273"/>
      <c r="L143" s="273"/>
      <c r="M143" s="273"/>
      <c r="N143" s="273"/>
      <c r="O143" s="273"/>
      <c r="P143" s="273"/>
      <c r="Q143" s="273"/>
      <c r="R143" s="273"/>
      <c r="S143" s="273"/>
    </row>
    <row r="144" spans="1:19">
      <c r="A144" s="77">
        <v>44082</v>
      </c>
      <c r="B144" s="51" t="str">
        <f t="shared" si="15"/>
        <v>20200908</v>
      </c>
      <c r="C144" s="273" t="s">
        <v>16</v>
      </c>
      <c r="D144" s="273">
        <v>27</v>
      </c>
      <c r="E144" s="273" t="s">
        <v>1627</v>
      </c>
      <c r="F144" s="273" t="str">
        <f t="shared" si="12"/>
        <v>D27</v>
      </c>
      <c r="G144" s="273" t="str">
        <f t="shared" si="13"/>
        <v/>
      </c>
      <c r="H144" s="273"/>
      <c r="I144" s="273"/>
      <c r="J144" s="273"/>
      <c r="K144" s="273"/>
      <c r="L144" s="273"/>
      <c r="M144" s="273"/>
      <c r="N144" s="273"/>
      <c r="O144" s="273"/>
      <c r="P144" s="273"/>
      <c r="Q144" s="273"/>
      <c r="R144" s="273"/>
      <c r="S144" s="273"/>
    </row>
    <row r="145" spans="1:19">
      <c r="A145" s="77">
        <v>44082</v>
      </c>
      <c r="B145" s="51" t="str">
        <f t="shared" ref="B145:B150" si="16">TEXT(A145, "yyyymmdd")</f>
        <v>20200908</v>
      </c>
      <c r="C145" s="273" t="s">
        <v>16</v>
      </c>
      <c r="D145" s="273">
        <v>27</v>
      </c>
      <c r="E145" s="273" t="s">
        <v>1629</v>
      </c>
      <c r="F145" s="273" t="str">
        <f t="shared" si="12"/>
        <v>D27</v>
      </c>
      <c r="G145" s="273">
        <f t="shared" ca="1" si="13"/>
        <v>144</v>
      </c>
      <c r="H145" s="273"/>
      <c r="I145" s="273"/>
      <c r="J145" s="273"/>
      <c r="K145" s="273"/>
      <c r="L145" s="273"/>
      <c r="M145" s="273"/>
      <c r="N145" s="273"/>
      <c r="O145" s="273"/>
      <c r="P145" s="273"/>
      <c r="Q145" s="273"/>
      <c r="R145" s="273"/>
      <c r="S145" s="273"/>
    </row>
    <row r="146" spans="1:19">
      <c r="A146" s="77">
        <v>44082</v>
      </c>
      <c r="B146" s="51" t="str">
        <f t="shared" si="16"/>
        <v>20200908</v>
      </c>
      <c r="C146" s="273" t="s">
        <v>11</v>
      </c>
      <c r="D146" s="273">
        <v>19</v>
      </c>
      <c r="E146" s="273" t="s">
        <v>1627</v>
      </c>
      <c r="F146" s="273" t="str">
        <f t="shared" si="12"/>
        <v>C19</v>
      </c>
      <c r="G146" s="273" t="str">
        <f t="shared" si="13"/>
        <v/>
      </c>
      <c r="H146" s="273"/>
      <c r="I146" s="273"/>
      <c r="J146" s="273"/>
      <c r="K146" s="273"/>
      <c r="L146" s="273"/>
      <c r="M146" s="273"/>
      <c r="N146" s="273"/>
      <c r="O146" s="273"/>
      <c r="P146" s="273"/>
      <c r="Q146" s="273"/>
      <c r="R146" s="273"/>
      <c r="S146" s="273"/>
    </row>
    <row r="147" spans="1:19">
      <c r="A147" s="77">
        <v>44082</v>
      </c>
      <c r="B147" s="51" t="str">
        <f t="shared" si="16"/>
        <v>20200908</v>
      </c>
      <c r="C147" s="273" t="s">
        <v>11</v>
      </c>
      <c r="D147" s="273">
        <v>20</v>
      </c>
      <c r="E147" s="273" t="s">
        <v>1627</v>
      </c>
      <c r="F147" s="273" t="str">
        <f t="shared" si="12"/>
        <v>C20</v>
      </c>
      <c r="G147" s="273" t="str">
        <f t="shared" si="13"/>
        <v/>
      </c>
      <c r="H147" s="273"/>
      <c r="I147" s="273"/>
      <c r="J147" s="273"/>
      <c r="K147" s="273"/>
      <c r="L147" s="273"/>
      <c r="M147" s="273"/>
      <c r="N147" s="273"/>
      <c r="O147" s="273"/>
      <c r="P147" s="273"/>
      <c r="Q147" s="273"/>
      <c r="R147" s="273"/>
      <c r="S147" s="273"/>
    </row>
    <row r="148" spans="1:19">
      <c r="A148" s="77">
        <v>44082</v>
      </c>
      <c r="B148" s="51" t="str">
        <f t="shared" si="16"/>
        <v>20200908</v>
      </c>
      <c r="C148" s="273" t="s">
        <v>11</v>
      </c>
      <c r="D148" s="273">
        <v>21</v>
      </c>
      <c r="E148" s="273" t="s">
        <v>1627</v>
      </c>
      <c r="F148" s="273" t="str">
        <f t="shared" si="12"/>
        <v>C21</v>
      </c>
      <c r="G148" s="273" t="str">
        <f t="shared" si="13"/>
        <v/>
      </c>
      <c r="H148" s="273"/>
      <c r="I148" s="273"/>
      <c r="J148" s="273"/>
      <c r="K148" s="273"/>
      <c r="L148" s="273"/>
      <c r="M148" s="273"/>
      <c r="N148" s="273"/>
      <c r="O148" s="273"/>
      <c r="P148" s="273"/>
      <c r="Q148" s="273"/>
      <c r="R148" s="273"/>
      <c r="S148" s="273"/>
    </row>
    <row r="149" spans="1:19">
      <c r="A149" s="77">
        <v>44082</v>
      </c>
      <c r="B149" s="51" t="str">
        <f t="shared" si="16"/>
        <v>20200908</v>
      </c>
      <c r="C149" s="273" t="s">
        <v>11</v>
      </c>
      <c r="D149" s="273">
        <v>21</v>
      </c>
      <c r="E149" s="273" t="s">
        <v>1629</v>
      </c>
      <c r="F149" s="273" t="str">
        <f t="shared" si="12"/>
        <v>C21</v>
      </c>
      <c r="G149" s="273">
        <f t="shared" ca="1" si="13"/>
        <v>144</v>
      </c>
      <c r="H149" s="273"/>
      <c r="I149" s="273"/>
      <c r="J149" s="273"/>
      <c r="K149" s="273"/>
      <c r="L149" s="273"/>
      <c r="M149" s="273"/>
      <c r="N149" s="273"/>
      <c r="O149" s="273"/>
      <c r="P149" s="273"/>
      <c r="Q149" s="273"/>
      <c r="R149" s="273"/>
      <c r="S149" s="273"/>
    </row>
    <row r="150" spans="1:19">
      <c r="A150" s="77">
        <v>44083</v>
      </c>
      <c r="B150" s="51" t="str">
        <f t="shared" si="16"/>
        <v>20200909</v>
      </c>
      <c r="C150" s="273" t="s">
        <v>8</v>
      </c>
      <c r="D150" s="273">
        <v>1</v>
      </c>
      <c r="E150" s="273" t="s">
        <v>1629</v>
      </c>
      <c r="F150" s="273" t="str">
        <f t="shared" si="12"/>
        <v>A1</v>
      </c>
      <c r="G150" s="273">
        <f t="shared" ca="1" si="13"/>
        <v>143</v>
      </c>
      <c r="H150" s="273"/>
      <c r="I150" s="273"/>
      <c r="J150" s="273"/>
      <c r="K150" s="273"/>
      <c r="L150" s="273"/>
      <c r="M150" s="273"/>
      <c r="N150" s="273"/>
      <c r="O150" s="273"/>
      <c r="P150" s="273"/>
      <c r="Q150" s="273"/>
      <c r="R150" s="273"/>
      <c r="S150" s="273"/>
    </row>
    <row r="151" spans="1:19">
      <c r="A151" s="77">
        <v>44083</v>
      </c>
      <c r="B151" s="51" t="str">
        <f t="shared" ref="B151:B165" si="17">TEXT(A151, "yyyymmdd")</f>
        <v>20200909</v>
      </c>
      <c r="C151" s="273" t="s">
        <v>8</v>
      </c>
      <c r="D151" s="273">
        <v>2</v>
      </c>
      <c r="E151" s="273" t="s">
        <v>1629</v>
      </c>
      <c r="F151" s="273" t="str">
        <f t="shared" si="12"/>
        <v>A2</v>
      </c>
      <c r="G151" s="273">
        <f t="shared" ca="1" si="13"/>
        <v>143</v>
      </c>
      <c r="H151" s="273"/>
      <c r="I151" s="273"/>
      <c r="J151" s="273"/>
      <c r="K151" s="273"/>
      <c r="L151" s="273"/>
      <c r="M151" s="273"/>
      <c r="N151" s="273"/>
      <c r="O151" s="273"/>
      <c r="P151" s="273"/>
      <c r="Q151" s="273"/>
      <c r="R151" s="273"/>
      <c r="S151" s="273"/>
    </row>
    <row r="152" spans="1:19">
      <c r="A152" s="77">
        <v>44083</v>
      </c>
      <c r="B152" s="51" t="str">
        <f t="shared" si="17"/>
        <v>20200909</v>
      </c>
      <c r="C152" s="273" t="s">
        <v>8</v>
      </c>
      <c r="D152" s="273">
        <v>3</v>
      </c>
      <c r="E152" s="273" t="s">
        <v>1629</v>
      </c>
      <c r="F152" s="273" t="str">
        <f t="shared" si="12"/>
        <v>A3</v>
      </c>
      <c r="G152" s="273">
        <f t="shared" ca="1" si="13"/>
        <v>143</v>
      </c>
      <c r="H152" s="273"/>
      <c r="I152" s="273"/>
      <c r="J152" s="273"/>
      <c r="K152" s="273"/>
      <c r="L152" s="273"/>
      <c r="M152" s="273"/>
      <c r="N152" s="273"/>
      <c r="O152" s="273"/>
      <c r="P152" s="273"/>
      <c r="Q152" s="273"/>
      <c r="R152" s="273"/>
      <c r="S152" s="273"/>
    </row>
    <row r="153" spans="1:19">
      <c r="A153" s="77">
        <v>44083</v>
      </c>
      <c r="B153" s="51" t="str">
        <f t="shared" si="17"/>
        <v>20200909</v>
      </c>
      <c r="C153" s="273" t="s">
        <v>8</v>
      </c>
      <c r="D153" s="273">
        <v>10</v>
      </c>
      <c r="E153" s="273" t="s">
        <v>1629</v>
      </c>
      <c r="F153" s="273" t="str">
        <f t="shared" si="12"/>
        <v>A10</v>
      </c>
      <c r="G153" s="273">
        <f t="shared" ca="1" si="13"/>
        <v>143</v>
      </c>
      <c r="H153" s="273"/>
      <c r="I153" s="273"/>
      <c r="J153" s="273"/>
      <c r="K153" s="273"/>
      <c r="L153" s="273"/>
      <c r="M153" s="273"/>
      <c r="N153" s="273"/>
      <c r="O153" s="273"/>
      <c r="P153" s="273"/>
      <c r="Q153" s="273"/>
      <c r="R153" s="273"/>
      <c r="S153" s="273"/>
    </row>
    <row r="154" spans="1:19">
      <c r="A154" s="77">
        <v>44083</v>
      </c>
      <c r="B154" s="51" t="str">
        <f t="shared" si="17"/>
        <v>20200909</v>
      </c>
      <c r="C154" s="273" t="s">
        <v>11</v>
      </c>
      <c r="D154" s="273">
        <v>18</v>
      </c>
      <c r="E154" s="273" t="s">
        <v>1629</v>
      </c>
      <c r="F154" s="273" t="str">
        <f t="shared" ref="F154:F185" si="18">_xlfn.CONCAT(C154:D154)</f>
        <v>C18</v>
      </c>
      <c r="G154" s="273">
        <f t="shared" ca="1" si="13"/>
        <v>143</v>
      </c>
      <c r="H154" s="273"/>
      <c r="I154" s="273"/>
      <c r="J154" s="273"/>
      <c r="K154" s="273"/>
      <c r="L154" s="273"/>
      <c r="M154" s="273"/>
      <c r="N154" s="273"/>
      <c r="O154" s="273"/>
      <c r="P154" s="273"/>
      <c r="Q154" s="273"/>
      <c r="R154" s="273"/>
      <c r="S154" s="273"/>
    </row>
    <row r="155" spans="1:19">
      <c r="A155" s="77">
        <v>44083</v>
      </c>
      <c r="B155" s="51" t="str">
        <f t="shared" si="17"/>
        <v>20200909</v>
      </c>
      <c r="C155" s="273" t="s">
        <v>24</v>
      </c>
      <c r="D155" s="273">
        <v>1</v>
      </c>
      <c r="E155" s="273" t="s">
        <v>1629</v>
      </c>
      <c r="F155" s="273" t="str">
        <f t="shared" si="18"/>
        <v>E1</v>
      </c>
      <c r="G155" s="273">
        <f t="shared" ca="1" si="13"/>
        <v>143</v>
      </c>
      <c r="H155" s="273"/>
      <c r="I155" s="273"/>
      <c r="J155" s="273"/>
      <c r="K155" s="273"/>
      <c r="L155" s="273"/>
      <c r="M155" s="273"/>
      <c r="N155" s="273"/>
      <c r="O155" s="273"/>
      <c r="P155" s="273"/>
      <c r="Q155" s="273"/>
      <c r="R155" s="273"/>
      <c r="S155" s="273"/>
    </row>
    <row r="156" spans="1:19">
      <c r="A156" s="77">
        <v>44083</v>
      </c>
      <c r="B156" s="51" t="str">
        <f t="shared" si="17"/>
        <v>20200909</v>
      </c>
      <c r="C156" s="273" t="s">
        <v>16</v>
      </c>
      <c r="D156" s="273">
        <v>4</v>
      </c>
      <c r="E156" s="273" t="s">
        <v>1638</v>
      </c>
      <c r="F156" s="273" t="str">
        <f t="shared" si="18"/>
        <v>D4</v>
      </c>
      <c r="G156" s="273" t="str">
        <f t="shared" si="13"/>
        <v/>
      </c>
      <c r="H156" s="273"/>
      <c r="I156" s="273"/>
      <c r="J156" s="273"/>
      <c r="K156" s="273"/>
      <c r="L156" s="273"/>
      <c r="M156" s="273"/>
      <c r="N156" s="273"/>
      <c r="O156" s="273"/>
      <c r="P156" s="273"/>
      <c r="Q156" s="273"/>
      <c r="R156" s="273"/>
      <c r="S156" s="273"/>
    </row>
    <row r="157" spans="1:19">
      <c r="A157" s="77">
        <v>44083</v>
      </c>
      <c r="B157" s="51" t="str">
        <f t="shared" si="17"/>
        <v>20200909</v>
      </c>
      <c r="C157" s="273" t="s">
        <v>16</v>
      </c>
      <c r="D157" s="273">
        <v>5</v>
      </c>
      <c r="E157" s="273" t="s">
        <v>1638</v>
      </c>
      <c r="F157" s="273" t="str">
        <f t="shared" si="18"/>
        <v>D5</v>
      </c>
      <c r="G157" s="273" t="str">
        <f t="shared" si="13"/>
        <v/>
      </c>
      <c r="H157" s="273"/>
      <c r="I157" s="273"/>
      <c r="J157" s="273"/>
      <c r="K157" s="273"/>
      <c r="L157" s="273"/>
      <c r="M157" s="273"/>
      <c r="N157" s="273"/>
      <c r="O157" s="273"/>
      <c r="P157" s="273"/>
      <c r="Q157" s="273"/>
      <c r="R157" s="273"/>
      <c r="S157" s="273"/>
    </row>
    <row r="158" spans="1:19">
      <c r="A158" s="77">
        <v>44083</v>
      </c>
      <c r="B158" s="51" t="str">
        <f t="shared" si="17"/>
        <v>20200909</v>
      </c>
      <c r="C158" s="273" t="s">
        <v>16</v>
      </c>
      <c r="D158" s="273">
        <v>10</v>
      </c>
      <c r="E158" s="273" t="s">
        <v>1638</v>
      </c>
      <c r="F158" s="273" t="str">
        <f t="shared" si="18"/>
        <v>D10</v>
      </c>
      <c r="G158" s="273" t="str">
        <f t="shared" si="13"/>
        <v/>
      </c>
      <c r="H158" s="273"/>
      <c r="I158" s="273"/>
      <c r="J158" s="273"/>
      <c r="K158" s="273"/>
      <c r="L158" s="273"/>
      <c r="M158" s="273"/>
      <c r="N158" s="273"/>
      <c r="O158" s="273"/>
      <c r="P158" s="273"/>
      <c r="Q158" s="273"/>
      <c r="R158" s="273"/>
      <c r="S158" s="273"/>
    </row>
    <row r="159" spans="1:19">
      <c r="A159" s="125">
        <v>44085</v>
      </c>
      <c r="B159" s="51" t="str">
        <f t="shared" si="17"/>
        <v>20200911</v>
      </c>
      <c r="C159" s="273" t="s">
        <v>11</v>
      </c>
      <c r="D159" s="273">
        <v>5</v>
      </c>
      <c r="E159" s="273" t="s">
        <v>1638</v>
      </c>
      <c r="F159" s="273" t="str">
        <f t="shared" si="18"/>
        <v>C5</v>
      </c>
      <c r="G159" s="273" t="str">
        <f t="shared" si="13"/>
        <v/>
      </c>
      <c r="H159" s="273"/>
      <c r="I159" s="273"/>
      <c r="J159" s="273"/>
      <c r="K159" s="273"/>
      <c r="L159" s="273"/>
      <c r="M159" s="273"/>
      <c r="N159" s="273"/>
      <c r="O159" s="273"/>
      <c r="P159" s="273"/>
      <c r="Q159" s="273"/>
      <c r="R159" s="273"/>
      <c r="S159" s="273"/>
    </row>
    <row r="160" spans="1:19">
      <c r="A160" s="125">
        <v>44085</v>
      </c>
      <c r="B160" s="51" t="str">
        <f t="shared" si="17"/>
        <v>20200911</v>
      </c>
      <c r="C160" s="273" t="s">
        <v>11</v>
      </c>
      <c r="D160" s="273">
        <v>6</v>
      </c>
      <c r="E160" s="273" t="s">
        <v>1638</v>
      </c>
      <c r="F160" s="273" t="str">
        <f t="shared" si="18"/>
        <v>C6</v>
      </c>
      <c r="G160" s="273" t="str">
        <f t="shared" si="13"/>
        <v/>
      </c>
      <c r="H160" s="273"/>
      <c r="I160" s="273"/>
      <c r="J160" s="273"/>
      <c r="K160" s="273"/>
      <c r="L160" s="273"/>
      <c r="M160" s="273"/>
      <c r="N160" s="273"/>
      <c r="O160" s="273"/>
      <c r="P160" s="273"/>
      <c r="Q160" s="273"/>
      <c r="R160" s="273"/>
      <c r="S160" s="273"/>
    </row>
    <row r="161" spans="1:19">
      <c r="A161" s="125">
        <v>44085</v>
      </c>
      <c r="B161" s="51" t="str">
        <f t="shared" si="17"/>
        <v>20200911</v>
      </c>
      <c r="C161" s="273" t="s">
        <v>16</v>
      </c>
      <c r="D161" s="273">
        <v>20</v>
      </c>
      <c r="E161" s="273" t="s">
        <v>1629</v>
      </c>
      <c r="F161" s="273" t="str">
        <f t="shared" si="18"/>
        <v>D20</v>
      </c>
      <c r="G161" s="273">
        <f t="shared" ca="1" si="13"/>
        <v>141</v>
      </c>
      <c r="H161" s="273"/>
      <c r="I161" s="273"/>
      <c r="J161" s="273"/>
      <c r="K161" s="273"/>
      <c r="L161" s="273"/>
      <c r="M161" s="273"/>
      <c r="N161" s="273"/>
      <c r="O161" s="273"/>
      <c r="P161" s="273"/>
      <c r="Q161" s="273"/>
      <c r="R161" s="273"/>
      <c r="S161" s="273"/>
    </row>
    <row r="162" spans="1:19">
      <c r="A162" s="125">
        <v>44085</v>
      </c>
      <c r="B162" s="51" t="str">
        <f t="shared" si="17"/>
        <v>20200911</v>
      </c>
      <c r="C162" s="273" t="s">
        <v>8</v>
      </c>
      <c r="D162" s="273">
        <v>4</v>
      </c>
      <c r="E162" s="273" t="s">
        <v>1629</v>
      </c>
      <c r="F162" s="273" t="str">
        <f t="shared" si="18"/>
        <v>A4</v>
      </c>
      <c r="G162" s="273">
        <f t="shared" ca="1" si="13"/>
        <v>141</v>
      </c>
      <c r="H162" s="273"/>
      <c r="I162" s="273"/>
      <c r="J162" s="273"/>
      <c r="K162" s="273"/>
      <c r="L162" s="273"/>
      <c r="M162" s="273"/>
      <c r="N162" s="273"/>
      <c r="O162" s="273"/>
      <c r="P162" s="273"/>
      <c r="Q162" s="273"/>
      <c r="R162" s="273"/>
      <c r="S162" s="273"/>
    </row>
    <row r="163" spans="1:19">
      <c r="A163" s="125">
        <v>44085</v>
      </c>
      <c r="B163" s="51" t="str">
        <f t="shared" si="17"/>
        <v>20200911</v>
      </c>
      <c r="C163" s="273" t="s">
        <v>8</v>
      </c>
      <c r="D163" s="273">
        <v>9</v>
      </c>
      <c r="E163" s="273" t="s">
        <v>1629</v>
      </c>
      <c r="F163" s="273" t="str">
        <f t="shared" si="18"/>
        <v>A9</v>
      </c>
      <c r="G163" s="273">
        <f t="shared" ca="1" si="13"/>
        <v>141</v>
      </c>
      <c r="H163" s="273"/>
      <c r="I163" s="273"/>
      <c r="J163" s="273"/>
      <c r="K163" s="273"/>
      <c r="L163" s="273"/>
      <c r="M163" s="273"/>
      <c r="N163" s="273"/>
      <c r="O163" s="273"/>
      <c r="P163" s="273"/>
      <c r="Q163" s="273"/>
      <c r="R163" s="273"/>
      <c r="S163" s="273"/>
    </row>
    <row r="164" spans="1:19">
      <c r="A164" s="125">
        <v>44085</v>
      </c>
      <c r="B164" s="51" t="str">
        <f t="shared" si="17"/>
        <v>20200911</v>
      </c>
      <c r="C164" s="273" t="s">
        <v>11</v>
      </c>
      <c r="D164" s="273">
        <v>15</v>
      </c>
      <c r="E164" s="273" t="s">
        <v>1629</v>
      </c>
      <c r="F164" s="273" t="str">
        <f t="shared" si="18"/>
        <v>C15</v>
      </c>
      <c r="G164" s="273">
        <f t="shared" ca="1" si="13"/>
        <v>141</v>
      </c>
      <c r="H164" s="273"/>
      <c r="I164" s="273"/>
      <c r="J164" s="273"/>
      <c r="K164" s="273"/>
      <c r="L164" s="273"/>
      <c r="M164" s="273"/>
      <c r="N164" s="273"/>
      <c r="O164" s="273"/>
      <c r="P164" s="273"/>
      <c r="Q164" s="273"/>
      <c r="R164" s="273"/>
      <c r="S164" s="273"/>
    </row>
    <row r="165" spans="1:19">
      <c r="A165" s="125">
        <v>44085</v>
      </c>
      <c r="B165" s="51" t="str">
        <f t="shared" si="17"/>
        <v>20200911</v>
      </c>
      <c r="C165" s="273" t="s">
        <v>11</v>
      </c>
      <c r="D165" s="273">
        <v>16</v>
      </c>
      <c r="E165" s="273" t="s">
        <v>1629</v>
      </c>
      <c r="F165" s="273" t="str">
        <f t="shared" si="18"/>
        <v>C16</v>
      </c>
      <c r="G165" s="273">
        <f t="shared" ca="1" si="13"/>
        <v>141</v>
      </c>
      <c r="H165" s="273"/>
      <c r="I165" s="273"/>
      <c r="J165" s="273"/>
      <c r="K165" s="273"/>
      <c r="L165" s="273"/>
      <c r="M165" s="273"/>
      <c r="N165" s="273"/>
      <c r="O165" s="273"/>
      <c r="P165" s="273"/>
      <c r="Q165" s="273"/>
      <c r="R165" s="273"/>
      <c r="S165" s="273"/>
    </row>
    <row r="166" spans="1:19">
      <c r="A166" s="125">
        <v>44085</v>
      </c>
      <c r="B166" s="51" t="str">
        <f t="shared" ref="B166:B167" si="19">TEXT(A166, "yyyymmdd")</f>
        <v>20200911</v>
      </c>
      <c r="C166" s="273" t="s">
        <v>24</v>
      </c>
      <c r="D166" s="273">
        <v>2</v>
      </c>
      <c r="E166" s="273" t="s">
        <v>1629</v>
      </c>
      <c r="F166" s="273" t="str">
        <f t="shared" si="18"/>
        <v>E2</v>
      </c>
      <c r="G166" s="273">
        <f t="shared" ca="1" si="13"/>
        <v>141</v>
      </c>
      <c r="H166" s="273"/>
      <c r="I166" s="273"/>
      <c r="J166" s="273"/>
      <c r="K166" s="273"/>
      <c r="L166" s="273"/>
      <c r="M166" s="273"/>
      <c r="N166" s="273"/>
      <c r="O166" s="273"/>
      <c r="P166" s="273"/>
      <c r="Q166" s="273"/>
      <c r="R166" s="273"/>
      <c r="S166" s="273"/>
    </row>
    <row r="167" spans="1:19">
      <c r="A167" s="125">
        <v>44088</v>
      </c>
      <c r="B167" s="51" t="str">
        <f t="shared" si="19"/>
        <v>20200914</v>
      </c>
      <c r="C167" s="273" t="s">
        <v>16</v>
      </c>
      <c r="D167" s="273">
        <v>15</v>
      </c>
      <c r="E167" s="273" t="s">
        <v>1629</v>
      </c>
      <c r="F167" s="273" t="str">
        <f t="shared" si="18"/>
        <v>D15</v>
      </c>
      <c r="G167" s="273">
        <f t="shared" ref="G167:G204" ca="1" si="20">IF(E167="Light",$O$8-A167,"")</f>
        <v>138</v>
      </c>
      <c r="H167" s="273"/>
      <c r="I167" s="273"/>
      <c r="J167" s="273"/>
      <c r="K167" s="273"/>
      <c r="L167" s="273"/>
      <c r="M167" s="273"/>
      <c r="N167" s="273"/>
      <c r="O167" s="273"/>
      <c r="P167" s="273"/>
      <c r="Q167" s="273"/>
      <c r="R167" s="273"/>
      <c r="S167" s="273"/>
    </row>
    <row r="168" spans="1:19">
      <c r="A168" s="125">
        <v>44088</v>
      </c>
      <c r="B168" s="51" t="str">
        <f t="shared" ref="B168:B171" si="21">TEXT(A168, "yyyymmdd")</f>
        <v>20200914</v>
      </c>
      <c r="C168" s="273" t="s">
        <v>8</v>
      </c>
      <c r="D168" s="273">
        <v>6</v>
      </c>
      <c r="E168" s="273" t="s">
        <v>1629</v>
      </c>
      <c r="F168" s="273" t="str">
        <f t="shared" si="18"/>
        <v>A6</v>
      </c>
      <c r="G168" s="273">
        <f t="shared" ca="1" si="20"/>
        <v>138</v>
      </c>
      <c r="H168" s="273"/>
      <c r="I168" s="273"/>
      <c r="J168" s="273"/>
      <c r="K168" s="273"/>
      <c r="L168" s="273"/>
      <c r="M168" s="273"/>
      <c r="N168" s="273"/>
      <c r="O168" s="273"/>
      <c r="P168" s="273"/>
      <c r="Q168" s="273"/>
      <c r="R168" s="273"/>
      <c r="S168" s="273"/>
    </row>
    <row r="169" spans="1:19">
      <c r="A169" s="125">
        <v>44088</v>
      </c>
      <c r="B169" s="51" t="str">
        <f t="shared" si="21"/>
        <v>20200914</v>
      </c>
      <c r="C169" s="273" t="s">
        <v>8</v>
      </c>
      <c r="D169" s="273">
        <v>7</v>
      </c>
      <c r="E169" s="273" t="s">
        <v>1629</v>
      </c>
      <c r="F169" s="273" t="str">
        <f t="shared" si="18"/>
        <v>A7</v>
      </c>
      <c r="G169" s="273">
        <f t="shared" ca="1" si="20"/>
        <v>138</v>
      </c>
      <c r="H169" s="273"/>
      <c r="I169" s="273"/>
      <c r="J169" s="273"/>
      <c r="K169" s="273"/>
      <c r="L169" s="273"/>
      <c r="M169" s="273"/>
      <c r="N169" s="273"/>
      <c r="O169" s="273"/>
      <c r="P169" s="273"/>
      <c r="Q169" s="273"/>
      <c r="R169" s="273"/>
      <c r="S169" s="273"/>
    </row>
    <row r="170" spans="1:19">
      <c r="A170" s="125">
        <v>44088</v>
      </c>
      <c r="B170" s="51" t="str">
        <f t="shared" si="21"/>
        <v>20200914</v>
      </c>
      <c r="C170" s="273" t="s">
        <v>11</v>
      </c>
      <c r="D170" s="273">
        <v>14</v>
      </c>
      <c r="E170" s="273" t="s">
        <v>1629</v>
      </c>
      <c r="F170" s="273" t="str">
        <f t="shared" si="18"/>
        <v>C14</v>
      </c>
      <c r="G170" s="273">
        <f t="shared" ca="1" si="20"/>
        <v>138</v>
      </c>
      <c r="H170" s="273"/>
      <c r="I170" s="273"/>
      <c r="J170" s="273"/>
      <c r="K170" s="273"/>
      <c r="L170" s="273"/>
      <c r="M170" s="273"/>
      <c r="N170" s="273"/>
      <c r="O170" s="273"/>
      <c r="P170" s="273"/>
      <c r="Q170" s="273"/>
      <c r="R170" s="273"/>
      <c r="S170" s="273"/>
    </row>
    <row r="171" spans="1:19">
      <c r="A171" s="125">
        <v>44088</v>
      </c>
      <c r="B171" s="51" t="str">
        <f t="shared" si="21"/>
        <v>20200914</v>
      </c>
      <c r="C171" s="273" t="s">
        <v>11</v>
      </c>
      <c r="D171" s="273">
        <v>17</v>
      </c>
      <c r="E171" s="273" t="s">
        <v>1629</v>
      </c>
      <c r="F171" s="273" t="str">
        <f t="shared" si="18"/>
        <v>C17</v>
      </c>
      <c r="G171" s="273">
        <f t="shared" ca="1" si="20"/>
        <v>138</v>
      </c>
      <c r="H171" s="273"/>
      <c r="I171" s="273"/>
      <c r="J171" s="273"/>
      <c r="K171" s="273"/>
      <c r="L171" s="273"/>
      <c r="M171" s="273"/>
      <c r="N171" s="273"/>
      <c r="O171" s="273"/>
      <c r="P171" s="273"/>
      <c r="Q171" s="273"/>
      <c r="R171" s="273"/>
      <c r="S171" s="273"/>
    </row>
    <row r="172" spans="1:19">
      <c r="A172" s="125">
        <v>44088</v>
      </c>
      <c r="B172" s="51" t="str">
        <f t="shared" ref="B172:B187" si="22">TEXT(A172, "yyyymmdd")</f>
        <v>20200914</v>
      </c>
      <c r="C172" s="273" t="s">
        <v>16</v>
      </c>
      <c r="D172" s="273">
        <v>25</v>
      </c>
      <c r="E172" s="273" t="s">
        <v>1629</v>
      </c>
      <c r="F172" s="273" t="str">
        <f t="shared" si="18"/>
        <v>D25</v>
      </c>
      <c r="G172" s="273">
        <f t="shared" ca="1" si="20"/>
        <v>138</v>
      </c>
      <c r="H172" s="273"/>
      <c r="I172" s="273"/>
      <c r="J172" s="273"/>
      <c r="K172" s="273"/>
      <c r="L172" s="273"/>
      <c r="M172" s="273"/>
      <c r="N172" s="273"/>
      <c r="O172" s="273"/>
      <c r="P172" s="273"/>
      <c r="Q172" s="273"/>
      <c r="R172" s="273"/>
      <c r="S172" s="273"/>
    </row>
    <row r="173" spans="1:19">
      <c r="A173" s="125">
        <v>44088</v>
      </c>
      <c r="B173" s="51" t="str">
        <f t="shared" si="22"/>
        <v>20200914</v>
      </c>
      <c r="C173" s="273" t="s">
        <v>16</v>
      </c>
      <c r="D173" s="273">
        <v>26</v>
      </c>
      <c r="E173" s="273" t="s">
        <v>1629</v>
      </c>
      <c r="F173" s="273" t="str">
        <f t="shared" si="18"/>
        <v>D26</v>
      </c>
      <c r="G173" s="273">
        <f t="shared" ca="1" si="20"/>
        <v>138</v>
      </c>
      <c r="H173" s="273"/>
      <c r="I173" s="273"/>
      <c r="J173" s="273"/>
      <c r="K173" s="273"/>
      <c r="L173" s="273"/>
      <c r="M173" s="273"/>
      <c r="N173" s="273"/>
      <c r="O173" s="273"/>
      <c r="P173" s="273"/>
      <c r="Q173" s="273"/>
      <c r="R173" s="273"/>
      <c r="S173" s="273"/>
    </row>
    <row r="174" spans="1:19">
      <c r="A174" s="77">
        <v>44092</v>
      </c>
      <c r="B174" s="51" t="str">
        <f t="shared" si="22"/>
        <v>20200918</v>
      </c>
      <c r="C174" s="273" t="s">
        <v>8</v>
      </c>
      <c r="D174" s="273">
        <v>8</v>
      </c>
      <c r="E174" s="273" t="s">
        <v>1629</v>
      </c>
      <c r="F174" s="273" t="str">
        <f t="shared" si="18"/>
        <v>A8</v>
      </c>
      <c r="G174" s="273">
        <f t="shared" ca="1" si="20"/>
        <v>134</v>
      </c>
      <c r="H174" s="273"/>
      <c r="I174" s="273"/>
      <c r="J174" s="273"/>
      <c r="K174" s="273"/>
      <c r="L174" s="273"/>
      <c r="M174" s="273"/>
      <c r="N174" s="273"/>
      <c r="O174" s="273"/>
      <c r="P174" s="273"/>
      <c r="Q174" s="273"/>
      <c r="R174" s="273"/>
      <c r="S174" s="273"/>
    </row>
    <row r="175" spans="1:19">
      <c r="A175" s="77">
        <v>44092</v>
      </c>
      <c r="B175" s="51" t="str">
        <f t="shared" si="22"/>
        <v>20200918</v>
      </c>
      <c r="C175" s="273" t="s">
        <v>11</v>
      </c>
      <c r="D175" s="273">
        <v>8</v>
      </c>
      <c r="E175" s="273" t="s">
        <v>1629</v>
      </c>
      <c r="F175" s="273" t="str">
        <f t="shared" si="18"/>
        <v>C8</v>
      </c>
      <c r="G175" s="273">
        <f t="shared" ca="1" si="20"/>
        <v>134</v>
      </c>
      <c r="H175" s="273"/>
      <c r="I175" s="273"/>
      <c r="J175" s="273"/>
      <c r="K175" s="273"/>
      <c r="L175" s="273"/>
      <c r="M175" s="273"/>
      <c r="N175" s="273"/>
      <c r="O175" s="273"/>
      <c r="P175" s="273"/>
      <c r="Q175" s="273"/>
      <c r="R175" s="273"/>
      <c r="S175" s="273"/>
    </row>
    <row r="176" spans="1:19">
      <c r="A176" s="77">
        <v>44092</v>
      </c>
      <c r="B176" s="51" t="str">
        <f t="shared" si="22"/>
        <v>20200918</v>
      </c>
      <c r="C176" s="273" t="s">
        <v>11</v>
      </c>
      <c r="D176" s="273">
        <v>20</v>
      </c>
      <c r="E176" s="273" t="s">
        <v>1629</v>
      </c>
      <c r="F176" s="273" t="str">
        <f t="shared" si="18"/>
        <v>C20</v>
      </c>
      <c r="G176" s="273">
        <f t="shared" ca="1" si="20"/>
        <v>134</v>
      </c>
      <c r="H176" s="273"/>
      <c r="I176" s="273"/>
      <c r="J176" s="273"/>
      <c r="K176" s="273"/>
      <c r="L176" s="273"/>
      <c r="M176" s="273"/>
      <c r="N176" s="273"/>
      <c r="O176" s="273"/>
      <c r="P176" s="273"/>
      <c r="Q176" s="273"/>
      <c r="R176" s="273"/>
      <c r="S176" s="273"/>
    </row>
    <row r="177" spans="1:19">
      <c r="A177" s="77">
        <v>44092</v>
      </c>
      <c r="B177" s="51" t="str">
        <f t="shared" si="22"/>
        <v>20200918</v>
      </c>
      <c r="C177" s="273" t="s">
        <v>11</v>
      </c>
      <c r="D177" s="273">
        <v>19</v>
      </c>
      <c r="E177" s="273" t="s">
        <v>1629</v>
      </c>
      <c r="F177" s="273" t="str">
        <f t="shared" si="18"/>
        <v>C19</v>
      </c>
      <c r="G177" s="273">
        <f t="shared" ca="1" si="20"/>
        <v>134</v>
      </c>
      <c r="H177" s="273"/>
      <c r="I177" s="273"/>
      <c r="J177" s="273"/>
      <c r="K177" s="273"/>
      <c r="L177" s="273"/>
      <c r="M177" s="273"/>
      <c r="N177" s="273"/>
      <c r="O177" s="273"/>
      <c r="P177" s="273"/>
      <c r="Q177" s="273"/>
      <c r="R177" s="273"/>
      <c r="S177" s="273"/>
    </row>
    <row r="178" spans="1:19">
      <c r="A178" s="77">
        <v>44092</v>
      </c>
      <c r="B178" s="51" t="str">
        <f t="shared" si="22"/>
        <v>20200918</v>
      </c>
      <c r="C178" s="273" t="s">
        <v>16</v>
      </c>
      <c r="D178" s="273">
        <v>12</v>
      </c>
      <c r="E178" s="273" t="s">
        <v>1629</v>
      </c>
      <c r="F178" s="273" t="str">
        <f t="shared" si="18"/>
        <v>D12</v>
      </c>
      <c r="G178" s="273">
        <f t="shared" ca="1" si="20"/>
        <v>134</v>
      </c>
      <c r="H178" s="273"/>
      <c r="I178" s="273"/>
      <c r="J178" s="273"/>
      <c r="K178" s="273"/>
      <c r="L178" s="273"/>
      <c r="M178" s="273"/>
      <c r="N178" s="273"/>
      <c r="O178" s="273"/>
      <c r="P178" s="273"/>
      <c r="Q178" s="273"/>
      <c r="R178" s="273"/>
      <c r="S178" s="273"/>
    </row>
    <row r="179" spans="1:19">
      <c r="A179" s="77">
        <v>44092</v>
      </c>
      <c r="B179" s="51" t="str">
        <f t="shared" si="22"/>
        <v>20200918</v>
      </c>
      <c r="C179" s="273" t="s">
        <v>16</v>
      </c>
      <c r="D179" s="273">
        <v>14</v>
      </c>
      <c r="E179" s="273" t="s">
        <v>1629</v>
      </c>
      <c r="F179" s="273" t="str">
        <f t="shared" si="18"/>
        <v>D14</v>
      </c>
      <c r="G179" s="273">
        <f t="shared" ca="1" si="20"/>
        <v>134</v>
      </c>
      <c r="H179" s="273"/>
      <c r="I179" s="273"/>
      <c r="J179" s="273"/>
      <c r="K179" s="273"/>
      <c r="L179" s="273"/>
      <c r="M179" s="273"/>
      <c r="N179" s="273"/>
      <c r="O179" s="273"/>
      <c r="P179" s="273"/>
      <c r="Q179" s="273"/>
      <c r="R179" s="273"/>
      <c r="S179" s="273"/>
    </row>
    <row r="180" spans="1:19">
      <c r="A180" s="77">
        <v>44092</v>
      </c>
      <c r="B180" s="51" t="str">
        <f t="shared" si="22"/>
        <v>20200918</v>
      </c>
      <c r="C180" s="273" t="s">
        <v>16</v>
      </c>
      <c r="D180" s="273">
        <v>18</v>
      </c>
      <c r="E180" s="273" t="s">
        <v>1629</v>
      </c>
      <c r="F180" s="273" t="str">
        <f t="shared" si="18"/>
        <v>D18</v>
      </c>
      <c r="G180" s="273">
        <f t="shared" ca="1" si="20"/>
        <v>134</v>
      </c>
      <c r="H180" s="273"/>
      <c r="I180" s="273"/>
      <c r="J180" s="273"/>
      <c r="K180" s="273"/>
      <c r="L180" s="273"/>
      <c r="M180" s="273"/>
      <c r="N180" s="273"/>
      <c r="O180" s="273"/>
      <c r="P180" s="273"/>
      <c r="Q180" s="273"/>
      <c r="R180" s="273"/>
      <c r="S180" s="273"/>
    </row>
    <row r="181" spans="1:19">
      <c r="A181" s="77">
        <v>44092</v>
      </c>
      <c r="B181" s="51" t="str">
        <f t="shared" si="22"/>
        <v>20200918</v>
      </c>
      <c r="C181" s="273" t="s">
        <v>16</v>
      </c>
      <c r="D181" s="273">
        <v>19</v>
      </c>
      <c r="E181" s="273" t="s">
        <v>1629</v>
      </c>
      <c r="F181" s="273" t="str">
        <f t="shared" si="18"/>
        <v>D19</v>
      </c>
      <c r="G181" s="273">
        <f t="shared" ca="1" si="20"/>
        <v>134</v>
      </c>
      <c r="H181" s="273"/>
      <c r="I181" s="273"/>
      <c r="J181" s="273"/>
      <c r="K181" s="273"/>
      <c r="L181" s="273"/>
      <c r="M181" s="273"/>
      <c r="N181" s="273"/>
      <c r="O181" s="273"/>
      <c r="P181" s="273"/>
      <c r="Q181" s="273"/>
      <c r="R181" s="273"/>
      <c r="S181" s="273"/>
    </row>
    <row r="182" spans="1:19">
      <c r="A182" s="77">
        <v>44092</v>
      </c>
      <c r="B182" s="51" t="str">
        <f t="shared" si="22"/>
        <v>20200918</v>
      </c>
      <c r="C182" s="273" t="s">
        <v>16</v>
      </c>
      <c r="D182" s="273">
        <v>21</v>
      </c>
      <c r="E182" s="273" t="s">
        <v>1629</v>
      </c>
      <c r="F182" s="273" t="str">
        <f t="shared" si="18"/>
        <v>D21</v>
      </c>
      <c r="G182" s="273">
        <f t="shared" ca="1" si="20"/>
        <v>134</v>
      </c>
      <c r="H182" s="273"/>
      <c r="I182" s="273"/>
      <c r="J182" s="273"/>
      <c r="K182" s="273"/>
      <c r="L182" s="273"/>
      <c r="M182" s="273"/>
      <c r="N182" s="273"/>
      <c r="O182" s="273"/>
      <c r="P182" s="273"/>
      <c r="Q182" s="273"/>
      <c r="R182" s="273"/>
      <c r="S182" s="273"/>
    </row>
    <row r="183" spans="1:19">
      <c r="A183" s="77">
        <v>44092</v>
      </c>
      <c r="B183" s="51" t="str">
        <f t="shared" si="22"/>
        <v>20200918</v>
      </c>
      <c r="C183" s="273" t="s">
        <v>16</v>
      </c>
      <c r="D183" s="273">
        <v>22</v>
      </c>
      <c r="E183" s="273" t="s">
        <v>1629</v>
      </c>
      <c r="F183" s="273" t="str">
        <f t="shared" si="18"/>
        <v>D22</v>
      </c>
      <c r="G183" s="273">
        <f t="shared" ca="1" si="20"/>
        <v>134</v>
      </c>
      <c r="H183" s="273"/>
      <c r="I183" s="273"/>
      <c r="J183" s="273"/>
      <c r="K183" s="273"/>
      <c r="L183" s="273"/>
      <c r="M183" s="273"/>
      <c r="N183" s="273"/>
      <c r="O183" s="273"/>
      <c r="P183" s="273"/>
      <c r="Q183" s="273"/>
      <c r="R183" s="273"/>
      <c r="S183" s="273"/>
    </row>
    <row r="184" spans="1:19">
      <c r="A184" s="77">
        <v>44092</v>
      </c>
      <c r="B184" s="51" t="str">
        <f t="shared" si="22"/>
        <v>20200918</v>
      </c>
      <c r="C184" s="273" t="s">
        <v>16</v>
      </c>
      <c r="D184" s="273">
        <v>23</v>
      </c>
      <c r="E184" s="273" t="s">
        <v>1629</v>
      </c>
      <c r="F184" s="273" t="str">
        <f t="shared" si="18"/>
        <v>D23</v>
      </c>
      <c r="G184" s="273">
        <f t="shared" ca="1" si="20"/>
        <v>134</v>
      </c>
      <c r="H184" s="273"/>
      <c r="I184" s="273"/>
      <c r="J184" s="273"/>
      <c r="K184" s="273"/>
      <c r="L184" s="273"/>
      <c r="M184" s="273"/>
      <c r="N184" s="273"/>
      <c r="O184" s="273"/>
      <c r="P184" s="273"/>
      <c r="Q184" s="273"/>
      <c r="R184" s="273"/>
      <c r="S184" s="273"/>
    </row>
    <row r="185" spans="1:19">
      <c r="A185" s="77">
        <v>44092</v>
      </c>
      <c r="B185" s="51" t="str">
        <f t="shared" si="22"/>
        <v>20200918</v>
      </c>
      <c r="C185" s="273" t="s">
        <v>16</v>
      </c>
      <c r="D185" s="273">
        <v>24</v>
      </c>
      <c r="E185" s="273" t="s">
        <v>1629</v>
      </c>
      <c r="F185" s="273" t="str">
        <f t="shared" si="18"/>
        <v>D24</v>
      </c>
      <c r="G185" s="273">
        <f t="shared" ca="1" si="20"/>
        <v>134</v>
      </c>
      <c r="H185" s="273"/>
      <c r="I185" s="273"/>
      <c r="J185" s="273"/>
      <c r="K185" s="273"/>
      <c r="L185" s="273"/>
      <c r="M185" s="273"/>
      <c r="N185" s="273"/>
      <c r="O185" s="273"/>
      <c r="P185" s="273"/>
      <c r="Q185" s="273"/>
      <c r="R185" s="273"/>
      <c r="S185" s="273"/>
    </row>
    <row r="186" spans="1:19">
      <c r="A186" s="77">
        <v>44095</v>
      </c>
      <c r="B186" s="51" t="str">
        <f t="shared" si="22"/>
        <v>20200921</v>
      </c>
      <c r="C186" s="273" t="s">
        <v>11</v>
      </c>
      <c r="D186" s="273">
        <v>9</v>
      </c>
      <c r="E186" s="273" t="s">
        <v>1638</v>
      </c>
      <c r="F186" s="273" t="str">
        <f t="shared" ref="F186:F201" si="23">_xlfn.CONCAT(C186:D186)</f>
        <v>C9</v>
      </c>
      <c r="G186" s="273" t="str">
        <f t="shared" si="20"/>
        <v/>
      </c>
      <c r="H186" s="273"/>
      <c r="I186" s="273"/>
      <c r="J186" s="273"/>
      <c r="K186" s="273"/>
      <c r="L186" s="273"/>
      <c r="M186" s="273"/>
      <c r="N186" s="273"/>
      <c r="O186" s="273"/>
      <c r="P186" s="273"/>
      <c r="Q186" s="273"/>
      <c r="R186" s="273"/>
      <c r="S186" s="273"/>
    </row>
    <row r="187" spans="1:19">
      <c r="A187" s="77">
        <v>44095</v>
      </c>
      <c r="B187" s="51" t="str">
        <f t="shared" si="22"/>
        <v>20200921</v>
      </c>
      <c r="C187" s="273" t="s">
        <v>8</v>
      </c>
      <c r="D187" s="273">
        <v>5</v>
      </c>
      <c r="E187" s="273" t="s">
        <v>1638</v>
      </c>
      <c r="F187" s="273" t="str">
        <f t="shared" si="23"/>
        <v>A5</v>
      </c>
      <c r="G187" s="273" t="str">
        <f t="shared" si="20"/>
        <v/>
      </c>
      <c r="H187" s="273"/>
      <c r="I187" s="273"/>
      <c r="J187" s="273"/>
      <c r="K187" s="273"/>
      <c r="L187" s="273"/>
      <c r="M187" s="273"/>
      <c r="N187" s="273"/>
      <c r="O187" s="273"/>
      <c r="P187" s="273"/>
      <c r="Q187" s="273"/>
      <c r="R187" s="273"/>
      <c r="S187" s="273"/>
    </row>
    <row r="188" spans="1:19">
      <c r="A188" s="77">
        <v>44095</v>
      </c>
      <c r="B188" s="51" t="str">
        <f>TEXT(A188, "yyyymmdd")</f>
        <v>20200921</v>
      </c>
      <c r="C188" s="273" t="s">
        <v>19</v>
      </c>
      <c r="D188" s="273">
        <v>2</v>
      </c>
      <c r="E188" s="273" t="s">
        <v>1638</v>
      </c>
      <c r="F188" s="273" t="str">
        <f t="shared" si="23"/>
        <v>B2</v>
      </c>
      <c r="G188" s="273" t="str">
        <f t="shared" si="20"/>
        <v/>
      </c>
      <c r="H188" s="273"/>
      <c r="I188" s="273"/>
      <c r="J188" s="273"/>
      <c r="K188" s="273"/>
      <c r="L188" s="273"/>
      <c r="M188" s="273"/>
      <c r="N188" s="273"/>
      <c r="O188" s="273"/>
      <c r="P188" s="273"/>
      <c r="Q188" s="273"/>
      <c r="R188" s="273"/>
      <c r="S188" s="273"/>
    </row>
    <row r="189" spans="1:19">
      <c r="A189" s="77">
        <v>44095</v>
      </c>
      <c r="B189" s="51" t="str">
        <f t="shared" ref="B189:B205" si="24">TEXT(A189, "yyyymmdd")</f>
        <v>20200921</v>
      </c>
      <c r="C189" s="273" t="s">
        <v>19</v>
      </c>
      <c r="D189" s="273">
        <v>4</v>
      </c>
      <c r="E189" s="273" t="s">
        <v>1627</v>
      </c>
      <c r="F189" s="273" t="str">
        <f t="shared" si="23"/>
        <v>B4</v>
      </c>
      <c r="G189" s="273" t="str">
        <f t="shared" si="20"/>
        <v/>
      </c>
      <c r="H189" s="273"/>
      <c r="I189" s="273"/>
      <c r="J189" s="273"/>
      <c r="K189" s="273"/>
      <c r="L189" s="273"/>
      <c r="M189" s="273"/>
      <c r="N189" s="273"/>
      <c r="O189" s="273"/>
      <c r="P189" s="273"/>
      <c r="Q189" s="273"/>
      <c r="R189" s="273"/>
      <c r="S189" s="273"/>
    </row>
    <row r="190" spans="1:19">
      <c r="A190" s="77">
        <v>44095</v>
      </c>
      <c r="B190" s="51" t="str">
        <f t="shared" si="24"/>
        <v>20200921</v>
      </c>
      <c r="C190" s="273" t="s">
        <v>19</v>
      </c>
      <c r="D190" s="273">
        <v>5</v>
      </c>
      <c r="E190" s="273" t="s">
        <v>1627</v>
      </c>
      <c r="F190" s="273" t="str">
        <f t="shared" si="23"/>
        <v>B5</v>
      </c>
      <c r="G190" s="273" t="str">
        <f t="shared" si="20"/>
        <v/>
      </c>
      <c r="H190" s="273"/>
      <c r="I190" s="273"/>
      <c r="J190" s="273"/>
      <c r="K190" s="273"/>
      <c r="L190" s="273"/>
      <c r="M190" s="273"/>
      <c r="N190" s="273"/>
      <c r="O190" s="273"/>
      <c r="P190" s="273"/>
      <c r="Q190" s="273"/>
      <c r="R190" s="273"/>
      <c r="S190" s="273"/>
    </row>
    <row r="191" spans="1:19">
      <c r="A191" s="77">
        <v>44095</v>
      </c>
      <c r="B191" s="51" t="str">
        <f t="shared" si="24"/>
        <v>20200921</v>
      </c>
      <c r="C191" s="273" t="s">
        <v>19</v>
      </c>
      <c r="D191" s="273">
        <v>6</v>
      </c>
      <c r="E191" s="273" t="s">
        <v>1627</v>
      </c>
      <c r="F191" s="273" t="str">
        <f t="shared" si="23"/>
        <v>B6</v>
      </c>
      <c r="G191" s="273" t="str">
        <f t="shared" si="20"/>
        <v/>
      </c>
      <c r="H191" s="273"/>
      <c r="I191" s="273"/>
      <c r="J191" s="273"/>
      <c r="K191" s="273"/>
      <c r="L191" s="273"/>
      <c r="M191" s="273"/>
      <c r="N191" s="273"/>
      <c r="O191" s="273"/>
      <c r="P191" s="273"/>
      <c r="Q191" s="273"/>
      <c r="R191" s="273"/>
      <c r="S191" s="273"/>
    </row>
    <row r="192" spans="1:19">
      <c r="A192" s="77">
        <v>44092</v>
      </c>
      <c r="B192" s="51" t="str">
        <f t="shared" si="24"/>
        <v>20200918</v>
      </c>
      <c r="C192" s="273" t="s">
        <v>19</v>
      </c>
      <c r="D192" s="273">
        <v>7</v>
      </c>
      <c r="E192" s="273" t="s">
        <v>1627</v>
      </c>
      <c r="F192" s="273" t="str">
        <f t="shared" si="23"/>
        <v>B7</v>
      </c>
      <c r="G192" s="273" t="str">
        <f t="shared" si="20"/>
        <v/>
      </c>
      <c r="H192" s="273"/>
      <c r="I192" s="273"/>
      <c r="J192" s="273"/>
      <c r="K192" s="273"/>
      <c r="L192" s="273"/>
      <c r="M192" s="273"/>
      <c r="N192" s="273"/>
      <c r="O192" s="273"/>
      <c r="P192" s="273"/>
      <c r="Q192" s="273"/>
      <c r="R192" s="273"/>
      <c r="S192" s="273"/>
    </row>
    <row r="193" spans="1:22">
      <c r="A193" s="77">
        <v>44095</v>
      </c>
      <c r="B193" s="51" t="str">
        <f t="shared" si="24"/>
        <v>20200921</v>
      </c>
      <c r="C193" s="273" t="s">
        <v>19</v>
      </c>
      <c r="D193" s="273">
        <v>7</v>
      </c>
      <c r="E193" s="273" t="s">
        <v>1629</v>
      </c>
      <c r="F193" s="273" t="str">
        <f t="shared" si="23"/>
        <v>B7</v>
      </c>
      <c r="G193" s="273">
        <f t="shared" ca="1" si="20"/>
        <v>131</v>
      </c>
      <c r="H193" s="273"/>
      <c r="I193" s="273"/>
      <c r="J193" s="273"/>
      <c r="K193" s="273"/>
      <c r="L193" s="273"/>
      <c r="M193" s="273"/>
      <c r="N193" s="273"/>
      <c r="O193" s="273"/>
      <c r="P193" s="273"/>
      <c r="Q193" s="273"/>
      <c r="R193" s="273"/>
      <c r="S193" s="273"/>
      <c r="T193" s="273"/>
      <c r="U193" s="273"/>
      <c r="V193" s="273"/>
    </row>
    <row r="194" spans="1:22">
      <c r="A194" s="77">
        <v>44092</v>
      </c>
      <c r="B194" s="51" t="str">
        <f t="shared" si="24"/>
        <v>20200918</v>
      </c>
      <c r="C194" s="273" t="s">
        <v>11</v>
      </c>
      <c r="D194" s="273">
        <v>22</v>
      </c>
      <c r="E194" s="273" t="s">
        <v>1627</v>
      </c>
      <c r="F194" s="273" t="str">
        <f t="shared" si="23"/>
        <v>C22</v>
      </c>
      <c r="G194" s="273" t="str">
        <f t="shared" si="20"/>
        <v/>
      </c>
      <c r="H194" s="273"/>
      <c r="I194" s="273"/>
      <c r="J194" s="273"/>
      <c r="K194" s="273"/>
      <c r="L194" s="273"/>
      <c r="M194" s="273"/>
      <c r="N194" s="273"/>
      <c r="O194" s="273"/>
      <c r="P194" s="273"/>
      <c r="Q194" s="273"/>
      <c r="R194" s="273"/>
      <c r="S194" s="273"/>
      <c r="T194" s="273"/>
      <c r="U194" s="273"/>
      <c r="V194" s="273"/>
    </row>
    <row r="195" spans="1:22">
      <c r="A195" s="77">
        <v>44096</v>
      </c>
      <c r="B195" s="51" t="str">
        <f t="shared" si="24"/>
        <v>20200922</v>
      </c>
      <c r="C195" s="273" t="s">
        <v>11</v>
      </c>
      <c r="D195" s="273">
        <v>22</v>
      </c>
      <c r="E195" s="273" t="s">
        <v>1629</v>
      </c>
      <c r="F195" s="273" t="str">
        <f t="shared" si="23"/>
        <v>C22</v>
      </c>
      <c r="G195" s="273">
        <f t="shared" ca="1" si="20"/>
        <v>130</v>
      </c>
      <c r="H195" s="273"/>
      <c r="I195" s="273"/>
      <c r="J195" s="273"/>
      <c r="K195" s="273"/>
      <c r="L195" s="273"/>
      <c r="M195" s="273"/>
      <c r="N195" s="273"/>
      <c r="O195" s="273"/>
      <c r="P195" s="273"/>
      <c r="Q195" s="273"/>
      <c r="R195" s="273"/>
      <c r="S195" s="273"/>
      <c r="T195" s="273"/>
      <c r="U195" s="273"/>
      <c r="V195" s="273"/>
    </row>
    <row r="196" spans="1:22">
      <c r="A196" s="77">
        <v>44097</v>
      </c>
      <c r="B196" s="51" t="str">
        <f t="shared" si="24"/>
        <v>20200923</v>
      </c>
      <c r="C196" s="273" t="s">
        <v>19</v>
      </c>
      <c r="D196" s="273">
        <v>5</v>
      </c>
      <c r="E196" s="273" t="s">
        <v>1629</v>
      </c>
      <c r="F196" s="273" t="str">
        <f t="shared" si="23"/>
        <v>B5</v>
      </c>
      <c r="G196" s="273">
        <f t="shared" ca="1" si="20"/>
        <v>129</v>
      </c>
      <c r="H196" s="273"/>
      <c r="I196" s="273"/>
      <c r="J196" s="273"/>
      <c r="K196" s="273"/>
      <c r="L196" s="273"/>
      <c r="M196" s="273"/>
      <c r="N196" s="273"/>
      <c r="O196" s="273"/>
      <c r="P196" s="273"/>
      <c r="Q196" s="273"/>
      <c r="R196" s="273"/>
      <c r="S196" s="273"/>
      <c r="T196" s="273"/>
      <c r="U196" s="273"/>
      <c r="V196" s="273"/>
    </row>
    <row r="197" spans="1:22">
      <c r="A197" s="77">
        <v>44097</v>
      </c>
      <c r="B197" s="51" t="str">
        <f t="shared" si="24"/>
        <v>20200923</v>
      </c>
      <c r="C197" s="273" t="s">
        <v>19</v>
      </c>
      <c r="D197" s="273">
        <v>6</v>
      </c>
      <c r="E197" s="273" t="s">
        <v>1629</v>
      </c>
      <c r="F197" s="273" t="str">
        <f t="shared" si="23"/>
        <v>B6</v>
      </c>
      <c r="G197" s="273">
        <f t="shared" ca="1" si="20"/>
        <v>129</v>
      </c>
      <c r="H197" s="273"/>
      <c r="I197" s="273"/>
      <c r="J197" s="273"/>
      <c r="K197" s="273"/>
      <c r="L197" s="273"/>
      <c r="M197" s="273"/>
      <c r="N197" s="273"/>
      <c r="O197" s="273"/>
      <c r="P197" s="273"/>
      <c r="Q197" s="273"/>
      <c r="R197" s="273"/>
      <c r="S197" s="273"/>
      <c r="T197" s="273"/>
      <c r="U197" s="273"/>
      <c r="V197" s="273"/>
    </row>
    <row r="198" spans="1:22">
      <c r="A198" s="77">
        <v>44099</v>
      </c>
      <c r="B198" s="51" t="str">
        <f t="shared" si="24"/>
        <v>20200925</v>
      </c>
      <c r="C198" s="273" t="s">
        <v>19</v>
      </c>
      <c r="D198" s="273">
        <v>4</v>
      </c>
      <c r="E198" s="273" t="s">
        <v>1629</v>
      </c>
      <c r="F198" s="273" t="str">
        <f t="shared" si="23"/>
        <v>B4</v>
      </c>
      <c r="G198" s="273">
        <f t="shared" ca="1" si="20"/>
        <v>127</v>
      </c>
      <c r="H198" s="273"/>
      <c r="I198" s="273"/>
      <c r="J198" s="273"/>
      <c r="K198" s="273"/>
      <c r="L198" s="273"/>
      <c r="M198" s="273"/>
      <c r="N198" s="273"/>
      <c r="O198" s="273"/>
      <c r="P198" s="273"/>
      <c r="Q198" s="273"/>
      <c r="R198" s="273"/>
      <c r="S198" s="273"/>
      <c r="T198" s="273"/>
      <c r="U198" s="273"/>
      <c r="V198" s="273"/>
    </row>
    <row r="199" spans="1:22">
      <c r="A199" s="77">
        <v>44099</v>
      </c>
      <c r="B199" s="51" t="str">
        <f t="shared" si="24"/>
        <v>20200925</v>
      </c>
      <c r="C199" s="273" t="s">
        <v>16</v>
      </c>
      <c r="D199" s="273">
        <v>29</v>
      </c>
      <c r="E199" s="273" t="s">
        <v>1627</v>
      </c>
      <c r="F199" s="273" t="str">
        <f t="shared" si="23"/>
        <v>D29</v>
      </c>
      <c r="G199" s="273" t="str">
        <f t="shared" si="20"/>
        <v/>
      </c>
      <c r="H199" s="273"/>
      <c r="I199" s="273"/>
      <c r="J199" s="273"/>
      <c r="K199" s="273"/>
      <c r="L199" s="273"/>
      <c r="M199" s="273"/>
      <c r="N199" s="273"/>
      <c r="O199" s="273"/>
      <c r="P199" s="273"/>
      <c r="Q199" s="273"/>
      <c r="R199" s="273"/>
      <c r="S199" s="273"/>
      <c r="T199" s="273"/>
      <c r="U199" s="273"/>
      <c r="V199" s="273"/>
    </row>
    <row r="200" spans="1:22" s="243" customFormat="1">
      <c r="A200" s="77">
        <v>44099</v>
      </c>
      <c r="B200" s="51" t="str">
        <f t="shared" ref="B200" si="25">TEXT(A200, "yyyymmdd")</f>
        <v>20200925</v>
      </c>
      <c r="C200" s="273" t="s">
        <v>16</v>
      </c>
      <c r="D200" s="273">
        <v>30</v>
      </c>
      <c r="E200" s="273" t="s">
        <v>1629</v>
      </c>
      <c r="F200" s="273" t="s">
        <v>1716</v>
      </c>
      <c r="G200" s="273"/>
      <c r="H200" s="273"/>
      <c r="I200" s="273"/>
      <c r="J200" s="273"/>
      <c r="K200" s="273"/>
      <c r="L200" s="273"/>
      <c r="M200" s="273"/>
      <c r="N200" s="273"/>
      <c r="O200" s="273"/>
      <c r="P200" s="273"/>
      <c r="Q200" s="273"/>
      <c r="R200" s="273"/>
      <c r="S200" s="273"/>
      <c r="T200" s="273"/>
      <c r="U200" s="273"/>
      <c r="V200" s="273"/>
    </row>
    <row r="201" spans="1:22">
      <c r="A201" s="77">
        <v>44099</v>
      </c>
      <c r="B201" s="51" t="str">
        <f t="shared" si="24"/>
        <v>20200925</v>
      </c>
      <c r="C201" s="273" t="s">
        <v>16</v>
      </c>
      <c r="D201" s="273">
        <v>30</v>
      </c>
      <c r="E201" s="273" t="s">
        <v>1627</v>
      </c>
      <c r="F201" s="273" t="str">
        <f t="shared" si="23"/>
        <v>D30</v>
      </c>
      <c r="G201" s="273" t="str">
        <f t="shared" si="20"/>
        <v/>
      </c>
      <c r="H201" s="273"/>
      <c r="I201" s="273"/>
      <c r="J201" s="273"/>
      <c r="K201" s="273"/>
      <c r="L201" s="273"/>
      <c r="M201" s="273"/>
      <c r="N201" s="273"/>
      <c r="O201" s="273"/>
      <c r="P201" s="273"/>
      <c r="Q201" s="273"/>
      <c r="R201" s="273"/>
      <c r="S201" s="273"/>
      <c r="T201" s="273"/>
      <c r="U201" s="273"/>
      <c r="V201" s="273"/>
    </row>
    <row r="202" spans="1:22">
      <c r="A202" s="77">
        <v>44099</v>
      </c>
      <c r="B202" s="51" t="str">
        <f t="shared" si="24"/>
        <v>20200925</v>
      </c>
      <c r="C202" s="273" t="s">
        <v>16</v>
      </c>
      <c r="D202" s="273">
        <v>31</v>
      </c>
      <c r="E202" s="273" t="s">
        <v>1627</v>
      </c>
      <c r="F202" s="273" t="str">
        <f t="shared" ref="F202:F204" si="26">_xlfn.CONCAT(C202:D202)</f>
        <v>D31</v>
      </c>
      <c r="G202" s="273" t="str">
        <f t="shared" si="20"/>
        <v/>
      </c>
      <c r="H202" s="273"/>
      <c r="I202" s="273"/>
      <c r="J202" s="273"/>
      <c r="K202" s="273"/>
      <c r="L202" s="273"/>
      <c r="M202" s="273"/>
      <c r="N202" s="273"/>
      <c r="O202" s="273"/>
      <c r="P202" s="273"/>
      <c r="Q202" s="273"/>
      <c r="R202" s="273"/>
      <c r="S202" s="273"/>
      <c r="T202" s="273"/>
      <c r="U202" s="273"/>
      <c r="V202" s="273"/>
    </row>
    <row r="203" spans="1:22">
      <c r="A203" s="77">
        <v>44099</v>
      </c>
      <c r="B203" s="51" t="str">
        <f t="shared" si="24"/>
        <v>20200925</v>
      </c>
      <c r="C203" s="273" t="s">
        <v>16</v>
      </c>
      <c r="D203" s="273">
        <v>32</v>
      </c>
      <c r="E203" s="273" t="s">
        <v>1627</v>
      </c>
      <c r="F203" s="273" t="str">
        <f t="shared" si="26"/>
        <v>D32</v>
      </c>
      <c r="G203" s="273" t="str">
        <f t="shared" si="20"/>
        <v/>
      </c>
      <c r="H203" s="273"/>
      <c r="I203" s="273"/>
      <c r="J203" s="273"/>
      <c r="K203" s="273"/>
      <c r="L203" s="273"/>
      <c r="M203" s="273"/>
      <c r="N203" s="273"/>
      <c r="O203" s="273"/>
      <c r="P203" s="273"/>
      <c r="Q203" s="273"/>
      <c r="R203" s="273"/>
      <c r="S203" s="273"/>
      <c r="T203" s="273"/>
      <c r="U203" s="273"/>
      <c r="V203" s="273"/>
    </row>
    <row r="204" spans="1:22">
      <c r="A204" s="77">
        <v>44099</v>
      </c>
      <c r="B204" s="51" t="str">
        <f t="shared" si="24"/>
        <v>20200925</v>
      </c>
      <c r="C204" s="273" t="s">
        <v>11</v>
      </c>
      <c r="D204" s="273">
        <v>23</v>
      </c>
      <c r="E204" s="273" t="s">
        <v>1627</v>
      </c>
      <c r="F204" s="273" t="str">
        <f t="shared" si="26"/>
        <v>C23</v>
      </c>
      <c r="G204" s="273" t="str">
        <f t="shared" si="20"/>
        <v/>
      </c>
      <c r="H204" s="273"/>
      <c r="I204" s="273"/>
      <c r="J204" s="273"/>
      <c r="K204" s="273"/>
      <c r="L204" s="273"/>
      <c r="M204" s="273"/>
      <c r="N204" s="273"/>
      <c r="O204" s="273"/>
      <c r="P204" s="273"/>
      <c r="Q204" s="273"/>
      <c r="R204" s="273"/>
      <c r="S204" s="273"/>
      <c r="T204" s="273"/>
      <c r="U204" s="273"/>
      <c r="V204" s="273"/>
    </row>
    <row r="205" spans="1:22">
      <c r="A205" s="77">
        <v>44102</v>
      </c>
      <c r="B205" s="51" t="str">
        <f t="shared" si="24"/>
        <v>20200928</v>
      </c>
      <c r="C205" s="273" t="s">
        <v>19</v>
      </c>
      <c r="D205" s="273">
        <v>3</v>
      </c>
      <c r="E205" s="273" t="s">
        <v>1638</v>
      </c>
      <c r="F205" s="273" t="str">
        <f t="shared" ref="F205" si="27">_xlfn.CONCAT(C205:D205)</f>
        <v>B3</v>
      </c>
      <c r="G205" s="273" t="str">
        <f>IF(E205="Light",$O$8-A205,"")</f>
        <v/>
      </c>
      <c r="H205" s="273"/>
      <c r="I205" s="273"/>
      <c r="J205" s="273"/>
      <c r="K205" s="273"/>
      <c r="L205" s="273"/>
      <c r="M205" s="273"/>
      <c r="N205" s="273"/>
      <c r="O205" s="273"/>
      <c r="P205" s="273"/>
      <c r="Q205" s="273"/>
      <c r="R205" s="273"/>
      <c r="S205" s="273"/>
      <c r="T205" s="273"/>
      <c r="U205" s="273"/>
      <c r="V205" s="273"/>
    </row>
    <row r="206" spans="1:22">
      <c r="A206" s="77">
        <v>44102</v>
      </c>
      <c r="B206" s="51" t="str">
        <f>TEXT(A206, "yyyymmdd")</f>
        <v>20200928</v>
      </c>
      <c r="C206" s="273" t="s">
        <v>11</v>
      </c>
      <c r="D206" s="273">
        <v>14</v>
      </c>
      <c r="E206" s="273" t="s">
        <v>1638</v>
      </c>
      <c r="F206" s="273" t="str">
        <f>_xlfn.CONCAT(C206:D206)</f>
        <v>C14</v>
      </c>
      <c r="G206" s="273" t="str">
        <f>IF(E206="Light",$O$8-A206,"")</f>
        <v/>
      </c>
      <c r="H206" s="273"/>
      <c r="I206" s="273"/>
      <c r="J206" s="273"/>
      <c r="K206" s="273"/>
      <c r="L206" s="273"/>
      <c r="M206" s="273"/>
      <c r="N206" s="273"/>
      <c r="O206" s="273"/>
      <c r="P206" s="273"/>
      <c r="Q206" s="273"/>
      <c r="R206" s="273"/>
      <c r="S206" s="273"/>
      <c r="T206" s="273"/>
      <c r="U206" s="273"/>
      <c r="V206" s="273"/>
    </row>
    <row r="207" spans="1:22">
      <c r="A207" s="77">
        <v>44102</v>
      </c>
      <c r="B207" s="51" t="str">
        <f>TEXT(A207, "yyyymmdd")</f>
        <v>20200928</v>
      </c>
      <c r="C207" s="273" t="s">
        <v>11</v>
      </c>
      <c r="D207" s="273">
        <v>18</v>
      </c>
      <c r="E207" s="273" t="s">
        <v>1638</v>
      </c>
      <c r="F207" s="273" t="str">
        <f>_xlfn.CONCAT(C207:D207)</f>
        <v>C18</v>
      </c>
      <c r="G207" s="273" t="str">
        <f>IF(E207="Light",$O$8-A207,"")</f>
        <v/>
      </c>
      <c r="H207" s="273"/>
      <c r="I207" s="273"/>
      <c r="J207" s="273"/>
      <c r="K207" s="273"/>
      <c r="L207" s="273"/>
      <c r="M207" s="273"/>
      <c r="N207" s="273"/>
      <c r="O207" s="273"/>
      <c r="P207" s="273"/>
      <c r="Q207" s="273"/>
      <c r="R207" s="273"/>
      <c r="S207" s="273"/>
      <c r="T207" s="273"/>
      <c r="U207" s="273"/>
      <c r="V207" s="273"/>
    </row>
    <row r="208" spans="1:22">
      <c r="A208" s="77">
        <v>44102</v>
      </c>
      <c r="B208" s="51" t="str">
        <f>TEXT(A208, "yyyymmdd")</f>
        <v>20200928</v>
      </c>
      <c r="C208" s="273" t="s">
        <v>11</v>
      </c>
      <c r="D208" s="273">
        <v>17</v>
      </c>
      <c r="E208" s="273" t="s">
        <v>1638</v>
      </c>
      <c r="F208" s="273" t="str">
        <f>_xlfn.CONCAT(C208:D208)</f>
        <v>C17</v>
      </c>
      <c r="G208" s="273" t="str">
        <f>IF(E208="Light",$O$8-A208,"")</f>
        <v/>
      </c>
      <c r="H208" s="273"/>
      <c r="I208" s="273"/>
      <c r="J208" s="273"/>
      <c r="K208" s="273"/>
      <c r="L208" s="273"/>
      <c r="M208" s="273"/>
      <c r="N208" s="273"/>
      <c r="O208" s="273"/>
      <c r="P208" s="273"/>
      <c r="Q208" s="273"/>
      <c r="R208" s="273"/>
      <c r="S208" s="273"/>
      <c r="T208" s="273"/>
      <c r="U208" s="273"/>
      <c r="V208" s="273"/>
    </row>
    <row r="209" spans="1:22">
      <c r="A209" s="77">
        <v>44102</v>
      </c>
      <c r="B209" s="51" t="str">
        <f>TEXT(A209, "yyyymmdd")</f>
        <v>20200928</v>
      </c>
      <c r="C209" s="273" t="s">
        <v>16</v>
      </c>
      <c r="D209" s="273">
        <v>26</v>
      </c>
      <c r="E209" s="273" t="s">
        <v>1638</v>
      </c>
      <c r="F209" s="273" t="str">
        <f>_xlfn.CONCAT(C209:D209)</f>
        <v>D26</v>
      </c>
      <c r="G209" s="273" t="str">
        <f>IF(E209="Light",$O$8-A209,"")</f>
        <v/>
      </c>
      <c r="H209" s="273"/>
      <c r="I209" s="273"/>
      <c r="J209" s="273"/>
      <c r="K209" s="273"/>
      <c r="L209" s="273"/>
      <c r="M209" s="273"/>
      <c r="N209" s="273"/>
      <c r="O209" s="273"/>
      <c r="P209" s="273"/>
      <c r="Q209" s="273"/>
      <c r="R209" s="273"/>
      <c r="S209" s="273"/>
      <c r="T209" s="273"/>
      <c r="U209" s="273"/>
      <c r="V209" s="273"/>
    </row>
    <row r="210" spans="1:22">
      <c r="A210" s="77">
        <v>44102</v>
      </c>
      <c r="B210" s="51" t="str">
        <f>TEXT(A210, "yyyymmdd")</f>
        <v>20200928</v>
      </c>
      <c r="C210" s="273" t="s">
        <v>16</v>
      </c>
      <c r="D210" s="273">
        <v>25</v>
      </c>
      <c r="E210" s="273" t="s">
        <v>1638</v>
      </c>
      <c r="F210" s="273" t="str">
        <f>_xlfn.CONCAT(C210:D210)</f>
        <v>D25</v>
      </c>
      <c r="G210" s="273" t="str">
        <f>IF(E210="Light",$O$8-A210,"")</f>
        <v/>
      </c>
      <c r="H210" s="273"/>
      <c r="I210" s="273"/>
      <c r="J210" s="273"/>
      <c r="K210" s="273"/>
      <c r="L210" s="273"/>
      <c r="M210" s="273"/>
      <c r="N210" s="273"/>
      <c r="O210" s="273"/>
      <c r="P210" s="273"/>
      <c r="Q210" s="273"/>
      <c r="R210" s="273"/>
      <c r="S210" s="273"/>
      <c r="T210" s="273"/>
      <c r="U210" s="273"/>
      <c r="V210" s="273"/>
    </row>
    <row r="211" spans="1:22">
      <c r="A211" s="77">
        <v>44102</v>
      </c>
      <c r="B211" s="51" t="str">
        <f>TEXT(A211, "yyyymmdd")</f>
        <v>20200928</v>
      </c>
      <c r="C211" s="273" t="s">
        <v>16</v>
      </c>
      <c r="D211" s="273">
        <v>16</v>
      </c>
      <c r="E211" s="273" t="s">
        <v>1638</v>
      </c>
      <c r="F211" s="273" t="str">
        <f>_xlfn.CONCAT(C211:D211)</f>
        <v>D16</v>
      </c>
      <c r="G211" s="273" t="str">
        <f>IF(E211="Light",$O$8-A211,"")</f>
        <v/>
      </c>
      <c r="H211" s="273"/>
      <c r="I211" s="273"/>
      <c r="J211" s="273"/>
      <c r="K211" s="273"/>
      <c r="L211" s="273"/>
      <c r="M211" s="273"/>
      <c r="N211" s="273"/>
      <c r="O211" s="273"/>
      <c r="P211" s="273"/>
      <c r="Q211" s="273"/>
      <c r="R211" s="273"/>
      <c r="S211" s="273"/>
      <c r="T211" s="273"/>
      <c r="U211" s="273"/>
      <c r="V211" s="273"/>
    </row>
    <row r="212" spans="1:22">
      <c r="A212" s="77">
        <v>44102</v>
      </c>
      <c r="B212" s="51" t="str">
        <f>TEXT(A212, "yyyymmdd")</f>
        <v>20200928</v>
      </c>
      <c r="C212" s="273" t="s">
        <v>16</v>
      </c>
      <c r="D212" s="273">
        <v>17</v>
      </c>
      <c r="E212" s="273" t="s">
        <v>1638</v>
      </c>
      <c r="F212" s="273" t="str">
        <f>_xlfn.CONCAT(C212:D212)</f>
        <v>D17</v>
      </c>
      <c r="G212" s="273" t="str">
        <f>IF(E212="Light",$O$8-A212,"")</f>
        <v/>
      </c>
      <c r="H212" s="273"/>
      <c r="I212" s="273"/>
      <c r="J212" s="273"/>
      <c r="K212" s="273"/>
      <c r="L212" s="273"/>
      <c r="M212" s="273"/>
      <c r="N212" s="273"/>
      <c r="O212" s="273"/>
      <c r="P212" s="273"/>
      <c r="Q212" s="273"/>
      <c r="R212" s="273"/>
      <c r="S212" s="273"/>
      <c r="T212" s="273"/>
      <c r="U212" s="273"/>
      <c r="V212" s="273"/>
    </row>
    <row r="213" spans="1:22">
      <c r="A213" s="77">
        <v>44102</v>
      </c>
      <c r="B213" s="51" t="str">
        <f>TEXT(A213, "yyyymmdd")</f>
        <v>20200928</v>
      </c>
      <c r="C213" s="273" t="s">
        <v>16</v>
      </c>
      <c r="D213" s="273">
        <v>21</v>
      </c>
      <c r="E213" s="273" t="s">
        <v>1638</v>
      </c>
      <c r="F213" s="273" t="str">
        <f>_xlfn.CONCAT(C213:D213)</f>
        <v>D21</v>
      </c>
      <c r="G213" s="273" t="str">
        <f>IF(E213="Light",$O$8-A213,"")</f>
        <v/>
      </c>
      <c r="H213" s="273"/>
      <c r="I213" s="273"/>
      <c r="J213" s="273"/>
      <c r="K213" s="273"/>
      <c r="L213" s="273"/>
      <c r="M213" s="273"/>
      <c r="N213" s="273"/>
      <c r="O213" s="273"/>
      <c r="P213" s="273"/>
      <c r="Q213" s="273"/>
      <c r="R213" s="273"/>
      <c r="S213" s="273"/>
      <c r="T213" s="273"/>
      <c r="U213" s="273"/>
      <c r="V213" s="273"/>
    </row>
    <row r="214" spans="1:22">
      <c r="A214" s="77">
        <v>44102</v>
      </c>
      <c r="B214" s="51" t="str">
        <f>TEXT(A214, "yyyymmdd")</f>
        <v>20200928</v>
      </c>
      <c r="C214" s="273" t="s">
        <v>19</v>
      </c>
      <c r="D214" s="273">
        <v>8</v>
      </c>
      <c r="E214" s="273" t="s">
        <v>1629</v>
      </c>
      <c r="F214" s="273" t="str">
        <f>_xlfn.CONCAT(C214:D214)</f>
        <v>B8</v>
      </c>
      <c r="G214" s="273">
        <f ca="1">IF(E214="Light",$O$8-A214,"")</f>
        <v>124</v>
      </c>
      <c r="H214" s="273"/>
      <c r="I214" s="273"/>
      <c r="J214" s="273"/>
      <c r="K214" s="273"/>
      <c r="L214" s="273"/>
      <c r="M214" s="273"/>
      <c r="N214" s="273"/>
      <c r="O214" s="273"/>
      <c r="P214" s="273"/>
      <c r="Q214" s="273"/>
      <c r="R214" s="273"/>
      <c r="S214" s="273"/>
      <c r="T214" s="273"/>
      <c r="U214" s="273"/>
      <c r="V214" s="273"/>
    </row>
    <row r="215" spans="1:22">
      <c r="A215" s="77">
        <v>44102</v>
      </c>
      <c r="B215" s="51" t="str">
        <f>TEXT(A215, "yyyymmdd")</f>
        <v>20200928</v>
      </c>
      <c r="C215" s="273" t="s">
        <v>16</v>
      </c>
      <c r="D215" s="273">
        <v>28</v>
      </c>
      <c r="E215" s="273" t="s">
        <v>1629</v>
      </c>
      <c r="F215" s="273" t="str">
        <f>_xlfn.CONCAT(C215:D215)</f>
        <v>D28</v>
      </c>
      <c r="G215" s="273">
        <f ca="1">IF(E215="Light",$O$8-A215,"")</f>
        <v>124</v>
      </c>
      <c r="H215" s="273"/>
      <c r="I215" s="273"/>
      <c r="J215" s="273"/>
      <c r="K215" s="273"/>
      <c r="L215" s="273"/>
      <c r="M215" s="273"/>
      <c r="N215" s="273"/>
      <c r="O215" s="273"/>
      <c r="P215" s="273"/>
      <c r="Q215" s="273"/>
      <c r="R215" s="273"/>
      <c r="S215" s="273"/>
      <c r="T215" s="273"/>
      <c r="U215" s="273"/>
      <c r="V215" s="273"/>
    </row>
    <row r="216" spans="1:22">
      <c r="A216" s="77">
        <v>44104</v>
      </c>
      <c r="B216" s="51" t="str">
        <f>TEXT(A216, "yyyymmdd")</f>
        <v>20200930</v>
      </c>
      <c r="C216" s="273" t="s">
        <v>16</v>
      </c>
      <c r="D216" s="273">
        <v>29</v>
      </c>
      <c r="E216" s="273" t="s">
        <v>1629</v>
      </c>
      <c r="F216" s="273" t="str">
        <f>_xlfn.CONCAT(C216:D216)</f>
        <v>D29</v>
      </c>
      <c r="G216" s="273">
        <f ca="1">IF(E216="Light",$O$8-A216,"")</f>
        <v>122</v>
      </c>
      <c r="H216" s="273"/>
      <c r="I216" s="273"/>
      <c r="J216" s="273"/>
      <c r="K216" s="273"/>
      <c r="L216" s="273"/>
      <c r="M216" s="273"/>
      <c r="N216" s="273"/>
      <c r="O216" s="273"/>
      <c r="P216" s="273"/>
      <c r="Q216" s="273"/>
      <c r="R216" s="273"/>
      <c r="S216" s="273"/>
      <c r="T216" s="273"/>
      <c r="U216" s="273"/>
      <c r="V216" s="273"/>
    </row>
    <row r="217" spans="1:22">
      <c r="A217" s="77">
        <v>44104</v>
      </c>
      <c r="B217" s="51" t="str">
        <f>TEXT(A217, "yyyymmdd")</f>
        <v>20200930</v>
      </c>
      <c r="C217" s="273" t="s">
        <v>16</v>
      </c>
      <c r="D217" s="273">
        <v>31</v>
      </c>
      <c r="E217" s="273" t="s">
        <v>1629</v>
      </c>
      <c r="F217" s="273" t="str">
        <f>_xlfn.CONCAT(C217:D217)</f>
        <v>D31</v>
      </c>
      <c r="G217" s="273">
        <f ca="1">IF(E217="Light",$O$8-A217,"")</f>
        <v>122</v>
      </c>
      <c r="H217" s="273"/>
      <c r="I217" s="273"/>
      <c r="J217" s="273"/>
      <c r="K217" s="273"/>
      <c r="L217" s="273"/>
      <c r="M217" s="273"/>
      <c r="N217" s="273"/>
      <c r="O217" s="273"/>
      <c r="P217" s="273"/>
      <c r="Q217" s="273"/>
      <c r="R217" s="273"/>
      <c r="S217" s="273"/>
      <c r="T217" s="273"/>
      <c r="U217" s="273"/>
      <c r="V217" s="273"/>
    </row>
    <row r="218" spans="1:22">
      <c r="A218" s="77">
        <v>44104</v>
      </c>
      <c r="B218" s="51" t="str">
        <f>TEXT(A218, "yyyymmdd")</f>
        <v>20200930</v>
      </c>
      <c r="C218" s="273" t="s">
        <v>11</v>
      </c>
      <c r="D218" s="273">
        <v>23</v>
      </c>
      <c r="E218" s="273" t="s">
        <v>1629</v>
      </c>
      <c r="F218" s="273" t="str">
        <f>_xlfn.CONCAT(C218:D218)</f>
        <v>C23</v>
      </c>
      <c r="G218" s="273">
        <f ca="1">IF(E218="Light",$O$8-A218,"")</f>
        <v>122</v>
      </c>
      <c r="H218" s="273"/>
      <c r="I218" s="273"/>
      <c r="J218" s="273"/>
      <c r="K218" s="273"/>
      <c r="L218" s="273"/>
      <c r="M218" s="273"/>
      <c r="N218" s="273"/>
      <c r="O218" s="273"/>
      <c r="P218" s="273"/>
      <c r="Q218" s="273"/>
      <c r="R218" s="273"/>
      <c r="S218" s="273"/>
      <c r="T218" s="273"/>
      <c r="U218" s="273"/>
      <c r="V218" s="273"/>
    </row>
    <row r="219" spans="1:22">
      <c r="A219" s="77">
        <v>44104</v>
      </c>
      <c r="B219" s="51" t="str">
        <f>TEXT(A219, "yyyymmdd")</f>
        <v>20200930</v>
      </c>
      <c r="C219" s="273" t="s">
        <v>24</v>
      </c>
      <c r="D219" s="273">
        <v>1</v>
      </c>
      <c r="E219" s="273" t="s">
        <v>1638</v>
      </c>
      <c r="F219" s="273" t="str">
        <f>_xlfn.CONCAT(C219:D219)</f>
        <v>E1</v>
      </c>
      <c r="G219" s="273" t="str">
        <f>IF(E219="Light",$O$8-A219,"")</f>
        <v/>
      </c>
      <c r="H219" s="273"/>
      <c r="I219" s="273"/>
      <c r="J219" s="273"/>
      <c r="K219" s="273"/>
      <c r="L219" s="273"/>
      <c r="M219" s="273"/>
      <c r="N219" s="273"/>
      <c r="O219" s="273"/>
      <c r="P219" s="273"/>
      <c r="Q219" s="273"/>
      <c r="R219" s="273"/>
      <c r="S219" s="273"/>
      <c r="T219" s="273"/>
      <c r="U219" s="273"/>
      <c r="V219" s="273"/>
    </row>
    <row r="220" spans="1:22">
      <c r="A220" s="77">
        <v>44095</v>
      </c>
      <c r="B220" s="51" t="str">
        <f>TEXT(A220, "yyyymmdd")</f>
        <v>20200921</v>
      </c>
      <c r="C220" s="273" t="s">
        <v>19</v>
      </c>
      <c r="D220" s="273">
        <v>8</v>
      </c>
      <c r="E220" s="273" t="s">
        <v>1627</v>
      </c>
      <c r="F220" s="273" t="str">
        <f>_xlfn.CONCAT(C220:D220)</f>
        <v>B8</v>
      </c>
      <c r="G220" s="273" t="str">
        <f>IF(E220="Light",$O$8-A220,"")</f>
        <v/>
      </c>
      <c r="H220" s="273"/>
      <c r="I220" s="273"/>
      <c r="J220" s="273"/>
      <c r="K220" s="273"/>
      <c r="L220" s="273"/>
      <c r="M220" s="273"/>
      <c r="N220" s="273"/>
      <c r="O220" s="273"/>
      <c r="P220" s="273"/>
      <c r="Q220" s="273"/>
      <c r="R220" s="273"/>
      <c r="S220" s="273"/>
      <c r="T220" s="273"/>
      <c r="U220" s="273"/>
      <c r="V220" s="273"/>
    </row>
    <row r="221" spans="1:22">
      <c r="A221" s="77">
        <v>44096</v>
      </c>
      <c r="B221" s="51" t="str">
        <f>TEXT(A221, "yyyymmdd")</f>
        <v>20200922</v>
      </c>
      <c r="C221" s="273" t="s">
        <v>16</v>
      </c>
      <c r="D221" s="273">
        <v>28</v>
      </c>
      <c r="E221" s="273" t="s">
        <v>1627</v>
      </c>
      <c r="F221" s="273" t="str">
        <f>_xlfn.CONCAT(C221:D221)</f>
        <v>D28</v>
      </c>
      <c r="G221" s="273" t="str">
        <f>IF(E221="Light",$O$8-A221,"")</f>
        <v/>
      </c>
      <c r="H221" s="273"/>
      <c r="I221" s="273"/>
      <c r="J221" s="273"/>
      <c r="K221" s="273"/>
      <c r="L221" s="273"/>
      <c r="M221" s="273"/>
      <c r="N221" s="273"/>
      <c r="O221" s="273"/>
      <c r="P221" s="273"/>
      <c r="Q221" s="273"/>
      <c r="R221" s="273"/>
      <c r="S221" s="273"/>
      <c r="T221" s="273"/>
      <c r="U221" s="273"/>
      <c r="V221" s="273"/>
    </row>
    <row r="222" spans="1:22">
      <c r="A222" s="77">
        <v>44104</v>
      </c>
      <c r="B222" s="51" t="str">
        <f>TEXT(A222, "yyyymmdd")</f>
        <v>20200930</v>
      </c>
      <c r="C222" s="273" t="s">
        <v>16</v>
      </c>
      <c r="D222" s="273">
        <v>33</v>
      </c>
      <c r="E222" s="273" t="s">
        <v>1627</v>
      </c>
      <c r="F222" s="273" t="str">
        <f>_xlfn.CONCAT(C222:D222)</f>
        <v>D33</v>
      </c>
      <c r="G222" s="273" t="str">
        <f>IF(E222="Light",$O$8-A222,"")</f>
        <v/>
      </c>
      <c r="H222" s="273"/>
      <c r="I222" s="273"/>
      <c r="J222" s="273"/>
      <c r="K222" s="273"/>
      <c r="L222" s="273"/>
      <c r="M222" s="273"/>
      <c r="N222" s="273"/>
      <c r="O222" s="273"/>
      <c r="P222" s="273"/>
      <c r="Q222" s="273"/>
      <c r="R222" s="273"/>
      <c r="S222" s="273"/>
      <c r="T222" s="273"/>
      <c r="U222" s="273"/>
      <c r="V222" s="273"/>
    </row>
    <row r="223" spans="1:22">
      <c r="A223" s="77">
        <v>44104</v>
      </c>
      <c r="B223" s="51" t="str">
        <f>TEXT(A223, "yyyymmdd")</f>
        <v>20200930</v>
      </c>
      <c r="C223" s="273" t="s">
        <v>16</v>
      </c>
      <c r="D223" s="273">
        <v>34</v>
      </c>
      <c r="E223" s="273" t="s">
        <v>1627</v>
      </c>
      <c r="F223" s="273" t="str">
        <f>_xlfn.CONCAT(C223:D223)</f>
        <v>D34</v>
      </c>
      <c r="G223" s="273" t="str">
        <f>IF(E223="Light",$O$8-A223,"")</f>
        <v/>
      </c>
      <c r="H223" s="273"/>
      <c r="I223" s="273"/>
      <c r="J223" s="273"/>
      <c r="K223" s="273"/>
      <c r="L223" s="273"/>
      <c r="M223" s="273"/>
      <c r="N223" s="273"/>
      <c r="O223" s="273"/>
      <c r="P223" s="273"/>
      <c r="Q223" s="273"/>
      <c r="R223" s="273"/>
      <c r="S223" s="273"/>
      <c r="T223" s="273"/>
      <c r="U223" s="273"/>
      <c r="V223" s="273"/>
    </row>
    <row r="224" spans="1:22">
      <c r="A224" s="77">
        <v>44105</v>
      </c>
      <c r="B224" s="51" t="str">
        <f>TEXT(A224, "yyyymmdd")</f>
        <v>20201001</v>
      </c>
      <c r="C224" s="273" t="s">
        <v>11</v>
      </c>
      <c r="D224" s="273">
        <v>24</v>
      </c>
      <c r="E224" s="273" t="s">
        <v>1627</v>
      </c>
      <c r="F224" s="273" t="str">
        <f>_xlfn.CONCAT(C224:D224)</f>
        <v>C24</v>
      </c>
      <c r="G224" s="273" t="str">
        <f>IF(E224="Light",$O$8-A224,"")</f>
        <v/>
      </c>
      <c r="H224" s="273"/>
      <c r="I224" s="273"/>
      <c r="J224" s="273"/>
      <c r="K224" s="273"/>
      <c r="L224" s="273"/>
      <c r="M224" s="273"/>
      <c r="N224" s="273"/>
      <c r="O224" s="273"/>
      <c r="P224" s="273"/>
      <c r="Q224" s="273"/>
      <c r="R224" s="273"/>
      <c r="S224" s="273"/>
      <c r="T224" s="273"/>
      <c r="U224" s="273"/>
      <c r="V224" s="273"/>
    </row>
    <row r="225" spans="1:22">
      <c r="A225" s="77">
        <v>44105</v>
      </c>
      <c r="B225" s="51" t="str">
        <f>TEXT(A225, "yyyymmdd")</f>
        <v>20201001</v>
      </c>
      <c r="C225" s="273" t="s">
        <v>11</v>
      </c>
      <c r="D225" s="273">
        <v>25</v>
      </c>
      <c r="E225" s="273" t="s">
        <v>1627</v>
      </c>
      <c r="F225" s="273" t="str">
        <f>_xlfn.CONCAT(C225:D225)</f>
        <v>C25</v>
      </c>
      <c r="G225" s="273" t="str">
        <f>IF(E225="Light",$O$8-A225,"")</f>
        <v/>
      </c>
      <c r="H225" s="273"/>
      <c r="I225" s="273"/>
      <c r="J225" s="273"/>
      <c r="K225" s="273"/>
      <c r="L225" s="273"/>
      <c r="M225" s="273"/>
      <c r="N225" s="273"/>
      <c r="O225" s="273"/>
      <c r="P225" s="273"/>
      <c r="Q225" s="273"/>
      <c r="R225" s="273"/>
      <c r="S225" s="273"/>
      <c r="T225" s="273"/>
      <c r="U225" s="273"/>
      <c r="V225" s="273"/>
    </row>
    <row r="226" spans="1:22">
      <c r="A226" s="77">
        <v>44105</v>
      </c>
      <c r="B226" s="51" t="str">
        <f>TEXT(A226, "yyyymmdd")</f>
        <v>20201001</v>
      </c>
      <c r="C226" s="273" t="s">
        <v>11</v>
      </c>
      <c r="D226" s="273">
        <v>26</v>
      </c>
      <c r="E226" s="273" t="s">
        <v>1627</v>
      </c>
      <c r="F226" s="273" t="str">
        <f>_xlfn.CONCAT(C226:D226)</f>
        <v>C26</v>
      </c>
      <c r="G226" s="273" t="str">
        <f>IF(E226="Light",$O$8-A226,"")</f>
        <v/>
      </c>
      <c r="H226" s="273"/>
      <c r="I226" s="273"/>
      <c r="J226" s="273"/>
      <c r="K226" s="273"/>
      <c r="L226" s="273"/>
      <c r="M226" s="273"/>
      <c r="N226" s="273"/>
      <c r="O226" s="273"/>
      <c r="P226" s="273"/>
      <c r="Q226" s="273"/>
      <c r="R226" s="273"/>
      <c r="S226" s="273"/>
      <c r="T226" s="273"/>
      <c r="U226" s="273"/>
      <c r="V226" s="273"/>
    </row>
    <row r="227" spans="1:22">
      <c r="A227" s="77">
        <v>44106</v>
      </c>
      <c r="B227" s="51" t="str">
        <f>TEXT(A227, "yyyymmdd")</f>
        <v>20201002</v>
      </c>
      <c r="C227" s="273" t="s">
        <v>16</v>
      </c>
      <c r="D227" s="273">
        <v>12</v>
      </c>
      <c r="E227" s="273" t="s">
        <v>1638</v>
      </c>
      <c r="F227" s="273" t="str">
        <f>_xlfn.CONCAT(C227:D227)</f>
        <v>D12</v>
      </c>
      <c r="G227" s="273" t="str">
        <f>IF(E227="Light",$O$8-A227,"")</f>
        <v/>
      </c>
      <c r="H227" s="273"/>
      <c r="I227" s="273"/>
      <c r="J227" s="273"/>
      <c r="K227" s="273"/>
      <c r="L227" s="273"/>
      <c r="M227" s="273"/>
      <c r="N227" s="273"/>
      <c r="O227" s="273"/>
      <c r="P227" s="273"/>
      <c r="Q227" s="273"/>
      <c r="R227" s="273"/>
      <c r="S227" s="273"/>
      <c r="T227" s="273"/>
      <c r="U227" s="273"/>
      <c r="V227" s="273"/>
    </row>
    <row r="228" spans="1:22">
      <c r="A228" s="77">
        <v>44106</v>
      </c>
      <c r="B228" s="51" t="str">
        <f>TEXT(A228, "yyyymmdd")</f>
        <v>20201002</v>
      </c>
      <c r="C228" s="273" t="s">
        <v>16</v>
      </c>
      <c r="D228" s="273">
        <v>15</v>
      </c>
      <c r="E228" s="273" t="s">
        <v>1638</v>
      </c>
      <c r="F228" s="273" t="str">
        <f>_xlfn.CONCAT(C228:D228)</f>
        <v>D15</v>
      </c>
      <c r="G228" s="273" t="str">
        <f>IF(E228="Light",$O$8-A228,"")</f>
        <v/>
      </c>
      <c r="H228" s="273"/>
      <c r="I228" s="273"/>
      <c r="J228" s="273"/>
      <c r="K228" s="273"/>
      <c r="L228" s="273"/>
      <c r="M228" s="273"/>
      <c r="N228" s="273"/>
      <c r="O228" s="273"/>
      <c r="P228" s="273"/>
      <c r="Q228" s="273"/>
      <c r="R228" s="273"/>
      <c r="S228" s="273"/>
      <c r="T228" s="273"/>
      <c r="U228" s="273"/>
      <c r="V228" s="273"/>
    </row>
    <row r="229" spans="1:22">
      <c r="A229" s="77">
        <v>44106</v>
      </c>
      <c r="B229" s="51" t="str">
        <f>TEXT(A229, "yyyymmdd")</f>
        <v>20201002</v>
      </c>
      <c r="C229" s="273" t="s">
        <v>16</v>
      </c>
      <c r="D229" s="273">
        <v>13</v>
      </c>
      <c r="E229" s="273" t="s">
        <v>1638</v>
      </c>
      <c r="F229" s="273" t="str">
        <f>_xlfn.CONCAT(C229:D229)</f>
        <v>D13</v>
      </c>
      <c r="G229" s="273" t="str">
        <f>IF(E229="Light",$O$8-A229,"")</f>
        <v/>
      </c>
      <c r="H229" s="273"/>
      <c r="I229" s="273"/>
      <c r="J229" s="273"/>
      <c r="K229" s="273"/>
      <c r="L229" s="273"/>
      <c r="M229" s="273"/>
      <c r="N229" s="273"/>
      <c r="O229" s="273"/>
      <c r="P229" s="273"/>
      <c r="Q229" s="273"/>
      <c r="R229" s="273"/>
      <c r="S229" s="273"/>
      <c r="T229" s="273"/>
      <c r="U229" s="273"/>
      <c r="V229" s="273"/>
    </row>
    <row r="230" spans="1:22">
      <c r="A230" s="77">
        <v>44106</v>
      </c>
      <c r="B230" s="51" t="str">
        <f>TEXT(A230, "yyyymmdd")</f>
        <v>20201002</v>
      </c>
      <c r="C230" s="273" t="s">
        <v>11</v>
      </c>
      <c r="D230" s="273">
        <v>16</v>
      </c>
      <c r="E230" s="273" t="s">
        <v>1638</v>
      </c>
      <c r="F230" s="273" t="str">
        <f>_xlfn.CONCAT(C230:D230)</f>
        <v>C16</v>
      </c>
      <c r="G230" s="273" t="str">
        <f>IF(E230="Light",$O$8-A230,"")</f>
        <v/>
      </c>
      <c r="H230" s="273"/>
      <c r="I230" s="273"/>
      <c r="J230" s="273"/>
      <c r="K230" s="273"/>
      <c r="L230" s="273"/>
      <c r="M230" s="273"/>
      <c r="N230" s="273"/>
      <c r="O230" s="273"/>
      <c r="P230" s="273"/>
      <c r="Q230" s="273"/>
      <c r="R230" s="273"/>
      <c r="S230" s="273"/>
      <c r="T230" s="273"/>
      <c r="U230" s="273"/>
      <c r="V230" s="273"/>
    </row>
    <row r="231" spans="1:22">
      <c r="A231" s="77">
        <v>44106</v>
      </c>
      <c r="B231" s="51" t="str">
        <f>TEXT(A231, "yyyymmdd")</f>
        <v>20201002</v>
      </c>
      <c r="C231" s="273" t="s">
        <v>11</v>
      </c>
      <c r="D231" s="273">
        <v>21</v>
      </c>
      <c r="E231" s="273" t="s">
        <v>1638</v>
      </c>
      <c r="F231" s="273" t="str">
        <f>_xlfn.CONCAT(C231:D231)</f>
        <v>C21</v>
      </c>
      <c r="G231" s="273" t="str">
        <f>IF(E231="Light",$O$8-A231,"")</f>
        <v/>
      </c>
      <c r="H231" s="273"/>
      <c r="I231" s="273"/>
      <c r="J231" s="273"/>
      <c r="K231" s="273"/>
      <c r="L231" s="273"/>
      <c r="M231" s="273"/>
      <c r="N231" s="273"/>
      <c r="O231" s="273"/>
      <c r="P231" s="273"/>
      <c r="Q231" s="273"/>
      <c r="R231" s="273"/>
      <c r="S231" s="273"/>
      <c r="T231" s="273"/>
      <c r="U231" s="273"/>
      <c r="V231" s="273"/>
    </row>
    <row r="232" spans="1:22">
      <c r="A232" s="77">
        <v>44106</v>
      </c>
      <c r="B232" s="51" t="str">
        <f>TEXT(A232, "yyyymmdd")</f>
        <v>20201002</v>
      </c>
      <c r="C232" s="273" t="s">
        <v>11</v>
      </c>
      <c r="D232" s="273">
        <v>19</v>
      </c>
      <c r="E232" s="273" t="s">
        <v>1638</v>
      </c>
      <c r="F232" s="273" t="str">
        <f>_xlfn.CONCAT(C232:D232)</f>
        <v>C19</v>
      </c>
      <c r="G232" s="273" t="str">
        <f>IF(E232="Light",$O$8-A232,"")</f>
        <v/>
      </c>
      <c r="H232" s="273"/>
      <c r="I232" s="273"/>
      <c r="J232" s="273"/>
      <c r="K232" s="273"/>
      <c r="L232" s="273"/>
      <c r="M232" s="273"/>
      <c r="N232" s="273"/>
      <c r="O232" s="273"/>
      <c r="P232" s="273"/>
      <c r="Q232" s="273"/>
      <c r="R232" s="273"/>
      <c r="S232" s="273"/>
      <c r="T232" s="273"/>
      <c r="U232" s="273"/>
      <c r="V232" s="273"/>
    </row>
    <row r="233" spans="1:22">
      <c r="A233" s="77">
        <v>44106</v>
      </c>
      <c r="B233" s="51" t="str">
        <f>TEXT(A233, "yyyymmdd")</f>
        <v>20201002</v>
      </c>
      <c r="C233" s="273" t="s">
        <v>11</v>
      </c>
      <c r="D233" s="273">
        <v>12</v>
      </c>
      <c r="E233" s="273" t="s">
        <v>1638</v>
      </c>
      <c r="F233" s="273" t="str">
        <f>_xlfn.CONCAT(C233:D233)</f>
        <v>C12</v>
      </c>
      <c r="G233" s="273" t="str">
        <f>IF(E233="Light",$O$8-A233,"")</f>
        <v/>
      </c>
      <c r="H233" s="273"/>
      <c r="I233" s="273"/>
      <c r="J233" s="273"/>
      <c r="K233" s="273"/>
      <c r="L233" s="273"/>
      <c r="M233" s="273"/>
      <c r="N233" s="273"/>
      <c r="O233" s="273"/>
      <c r="P233" s="273"/>
      <c r="Q233" s="273"/>
      <c r="R233" s="273"/>
      <c r="S233" s="273"/>
      <c r="T233" s="273"/>
      <c r="U233" s="273"/>
      <c r="V233" s="273"/>
    </row>
    <row r="234" spans="1:22">
      <c r="A234" s="77">
        <v>44106</v>
      </c>
      <c r="B234" s="51" t="str">
        <f>TEXT(A234, "yyyymmdd")</f>
        <v>20201002</v>
      </c>
      <c r="C234" s="273" t="s">
        <v>11</v>
      </c>
      <c r="D234" s="273">
        <v>15</v>
      </c>
      <c r="E234" s="273" t="s">
        <v>1638</v>
      </c>
      <c r="F234" s="273" t="str">
        <f>_xlfn.CONCAT(C234:D234)</f>
        <v>C15</v>
      </c>
      <c r="G234" s="273" t="str">
        <f>IF(E234="Light",$O$8-A234,"")</f>
        <v/>
      </c>
      <c r="H234" s="273"/>
      <c r="I234" s="273"/>
      <c r="J234" s="273"/>
      <c r="K234" s="273"/>
      <c r="L234" s="273"/>
      <c r="M234" s="273"/>
      <c r="N234" s="273"/>
      <c r="O234" s="273"/>
      <c r="P234" s="273"/>
      <c r="Q234" s="273"/>
      <c r="R234" s="273"/>
      <c r="S234" s="273"/>
      <c r="T234" s="273"/>
      <c r="U234" s="273"/>
      <c r="V234" s="273"/>
    </row>
    <row r="235" spans="1:22">
      <c r="A235" s="77">
        <v>44106</v>
      </c>
      <c r="B235" s="51" t="str">
        <f>TEXT(A235, "yyyymmdd")</f>
        <v>20201002</v>
      </c>
      <c r="C235" s="273" t="s">
        <v>11</v>
      </c>
      <c r="D235" s="273">
        <v>11</v>
      </c>
      <c r="E235" s="273" t="s">
        <v>1638</v>
      </c>
      <c r="F235" s="273" t="str">
        <f>_xlfn.CONCAT(C235:D235)</f>
        <v>C11</v>
      </c>
      <c r="G235" s="273" t="str">
        <f>IF(E235="Light",$O$8-A235,"")</f>
        <v/>
      </c>
      <c r="H235" s="273"/>
      <c r="I235" s="273"/>
      <c r="J235" s="273"/>
      <c r="K235" s="273"/>
      <c r="L235" s="273"/>
      <c r="M235" s="273"/>
      <c r="N235" s="273"/>
      <c r="O235" s="273"/>
      <c r="P235" s="273"/>
      <c r="Q235" s="273"/>
      <c r="R235" s="273"/>
      <c r="S235" s="273"/>
      <c r="T235" s="273"/>
      <c r="U235" s="273"/>
      <c r="V235" s="273"/>
    </row>
    <row r="236" spans="1:22">
      <c r="A236" s="77">
        <v>44106</v>
      </c>
      <c r="B236" s="51" t="str">
        <f>TEXT(A236, "yyyymmdd")</f>
        <v>20201002</v>
      </c>
      <c r="C236" s="273" t="s">
        <v>11</v>
      </c>
      <c r="D236" s="273">
        <v>13</v>
      </c>
      <c r="E236" s="273" t="s">
        <v>1638</v>
      </c>
      <c r="F236" s="273" t="str">
        <f>_xlfn.CONCAT(C236:D236)</f>
        <v>C13</v>
      </c>
      <c r="G236" s="273" t="str">
        <f>IF(E236="Light",$O$8-A236,"")</f>
        <v/>
      </c>
      <c r="H236" s="273"/>
      <c r="I236" s="273"/>
      <c r="J236" s="273"/>
      <c r="K236" s="273"/>
      <c r="L236" s="273"/>
      <c r="M236" s="273"/>
      <c r="N236" s="273"/>
      <c r="O236" s="273"/>
      <c r="P236" s="273"/>
      <c r="Q236" s="273"/>
      <c r="R236" s="273"/>
      <c r="S236" s="273"/>
      <c r="T236" s="273"/>
      <c r="U236" s="273"/>
      <c r="V236" s="273"/>
    </row>
    <row r="237" spans="1:22">
      <c r="A237" s="77">
        <v>44106</v>
      </c>
      <c r="B237" s="51" t="str">
        <f>TEXT(A237, "yyyymmdd")</f>
        <v>20201002</v>
      </c>
      <c r="C237" s="273" t="s">
        <v>8</v>
      </c>
      <c r="D237" s="273">
        <v>2</v>
      </c>
      <c r="E237" s="273" t="s">
        <v>1638</v>
      </c>
      <c r="F237" s="273" t="str">
        <f>_xlfn.CONCAT(C237:D237)</f>
        <v>A2</v>
      </c>
      <c r="G237" s="273" t="str">
        <f>IF(E237="Light",$O$8-A237,"")</f>
        <v/>
      </c>
      <c r="H237" s="273"/>
      <c r="I237" s="273"/>
      <c r="J237" s="273"/>
      <c r="K237" s="273"/>
      <c r="L237" s="273"/>
      <c r="M237" s="273"/>
      <c r="N237" s="273"/>
      <c r="O237" s="273"/>
      <c r="P237" s="273"/>
      <c r="Q237" s="273"/>
      <c r="R237" s="273"/>
      <c r="S237" s="273"/>
      <c r="T237" s="273"/>
      <c r="U237" s="273"/>
      <c r="V237" s="273"/>
    </row>
    <row r="238" spans="1:22">
      <c r="A238" s="77">
        <v>44106</v>
      </c>
      <c r="B238" s="51" t="str">
        <f>TEXT(A238, "yyyymmdd")</f>
        <v>20201002</v>
      </c>
      <c r="C238" s="273" t="s">
        <v>16</v>
      </c>
      <c r="D238" s="273">
        <v>18</v>
      </c>
      <c r="E238" s="273" t="s">
        <v>1638</v>
      </c>
      <c r="F238" s="273" t="str">
        <f>_xlfn.CONCAT(C238:D238)</f>
        <v>D18</v>
      </c>
      <c r="G238" s="273" t="str">
        <f>IF(E238="Light",$O$8-A238,"")</f>
        <v/>
      </c>
      <c r="H238" s="273"/>
      <c r="I238" s="273"/>
      <c r="J238" s="273"/>
      <c r="K238" s="273"/>
      <c r="L238" s="273"/>
      <c r="M238" s="273"/>
      <c r="N238" s="273"/>
      <c r="O238" s="273"/>
      <c r="P238" s="273"/>
      <c r="Q238" s="273"/>
      <c r="R238" s="273"/>
      <c r="S238" s="273"/>
      <c r="T238" s="273"/>
      <c r="U238" s="273"/>
      <c r="V238" s="273"/>
    </row>
    <row r="239" spans="1:22">
      <c r="A239" s="77">
        <v>44106</v>
      </c>
      <c r="B239" s="51" t="str">
        <f>TEXT(A239, "yyyymmdd")</f>
        <v>20201002</v>
      </c>
      <c r="C239" s="273" t="s">
        <v>8</v>
      </c>
      <c r="D239" s="273">
        <v>1</v>
      </c>
      <c r="E239" s="273" t="s">
        <v>1638</v>
      </c>
      <c r="F239" s="273" t="str">
        <f>_xlfn.CONCAT(C239:D239)</f>
        <v>A1</v>
      </c>
      <c r="G239" s="273" t="str">
        <f>IF(E239="Light",$O$8-A239,"")</f>
        <v/>
      </c>
      <c r="H239" s="273"/>
      <c r="I239" s="273"/>
      <c r="J239" s="273"/>
      <c r="K239" s="273"/>
      <c r="L239" s="273"/>
      <c r="M239" s="273"/>
      <c r="N239" s="273"/>
      <c r="O239" s="273"/>
      <c r="P239" s="273"/>
      <c r="Q239" s="273"/>
      <c r="R239" s="273"/>
      <c r="S239" s="273"/>
      <c r="T239" s="273"/>
      <c r="U239" s="273"/>
      <c r="V239" s="273"/>
    </row>
    <row r="240" spans="1:22">
      <c r="A240" s="77">
        <v>44106</v>
      </c>
      <c r="B240" s="51" t="str">
        <f>TEXT(A240, "yyyymmdd")</f>
        <v>20201002</v>
      </c>
      <c r="C240" s="273" t="s">
        <v>16</v>
      </c>
      <c r="D240" s="273">
        <v>27</v>
      </c>
      <c r="E240" s="273" t="s">
        <v>1638</v>
      </c>
      <c r="F240" s="273" t="str">
        <f>_xlfn.CONCAT(C240:D240)</f>
        <v>D27</v>
      </c>
      <c r="G240" s="273" t="str">
        <f>IF(E240="Light",$O$8-A240,"")</f>
        <v/>
      </c>
      <c r="H240" s="273"/>
      <c r="I240" s="273"/>
      <c r="J240" s="273"/>
      <c r="K240" s="273"/>
      <c r="L240" s="273"/>
      <c r="M240" s="273"/>
      <c r="N240" s="273"/>
      <c r="O240" s="273"/>
      <c r="P240" s="273"/>
      <c r="Q240" s="273"/>
      <c r="R240" s="273"/>
      <c r="S240" s="273"/>
      <c r="T240" s="273"/>
      <c r="U240" s="273"/>
      <c r="V240" s="273"/>
    </row>
    <row r="241" spans="1:22">
      <c r="A241" s="77">
        <v>44106</v>
      </c>
      <c r="B241" s="51" t="str">
        <f>TEXT(A241, "yyyymmdd")</f>
        <v>20201002</v>
      </c>
      <c r="C241" s="273" t="s">
        <v>16</v>
      </c>
      <c r="D241" s="273">
        <v>23</v>
      </c>
      <c r="E241" s="273" t="s">
        <v>1638</v>
      </c>
      <c r="F241" s="273" t="str">
        <f>_xlfn.CONCAT(C241:D241)</f>
        <v>D23</v>
      </c>
      <c r="G241" s="273" t="str">
        <f>IF(E241="Light",$O$8-A241,"")</f>
        <v/>
      </c>
      <c r="H241" s="273"/>
      <c r="I241" s="273"/>
      <c r="J241" s="273"/>
      <c r="K241" s="273"/>
      <c r="L241" s="273"/>
      <c r="M241" s="273"/>
      <c r="N241" s="273"/>
      <c r="O241" s="273"/>
      <c r="P241" s="273"/>
      <c r="Q241" s="273"/>
      <c r="R241" s="273"/>
      <c r="S241" s="273"/>
      <c r="T241" s="273"/>
      <c r="U241" s="273"/>
      <c r="V241" s="273"/>
    </row>
    <row r="242" spans="1:22">
      <c r="A242" s="77">
        <v>44106</v>
      </c>
      <c r="B242" s="51" t="str">
        <f>TEXT(A242, "yyyymmdd")</f>
        <v>20201002</v>
      </c>
      <c r="C242" s="273" t="s">
        <v>8</v>
      </c>
      <c r="D242" s="273">
        <v>10</v>
      </c>
      <c r="E242" s="273" t="s">
        <v>1638</v>
      </c>
      <c r="F242" s="273" t="str">
        <f>_xlfn.CONCAT(C242:D242)</f>
        <v>A10</v>
      </c>
      <c r="G242" s="273" t="str">
        <f>IF(E242="Light",$O$8-A242,"")</f>
        <v/>
      </c>
      <c r="H242" s="273"/>
      <c r="I242" s="273"/>
      <c r="J242" s="273"/>
      <c r="K242" s="273"/>
      <c r="L242" s="273"/>
      <c r="M242" s="273"/>
      <c r="N242" s="273"/>
      <c r="O242" s="273"/>
      <c r="P242" s="273"/>
      <c r="Q242" s="273"/>
      <c r="R242" s="273"/>
      <c r="S242" s="273"/>
      <c r="T242" s="273"/>
      <c r="U242" s="273"/>
      <c r="V242" s="273"/>
    </row>
    <row r="243" spans="1:22">
      <c r="A243" s="77">
        <v>44106</v>
      </c>
      <c r="B243" s="51" t="str">
        <f>TEXT(A243, "yyyymmdd")</f>
        <v>20201002</v>
      </c>
      <c r="C243" s="273" t="s">
        <v>8</v>
      </c>
      <c r="D243" s="273">
        <v>4</v>
      </c>
      <c r="E243" s="273" t="s">
        <v>1638</v>
      </c>
      <c r="F243" s="273" t="str">
        <f>_xlfn.CONCAT(C243:D243)</f>
        <v>A4</v>
      </c>
      <c r="G243" s="273" t="str">
        <f>IF(E243="Light",$O$8-A243,"")</f>
        <v/>
      </c>
      <c r="H243" s="273"/>
      <c r="I243" s="273"/>
      <c r="J243" s="273"/>
      <c r="K243" s="273"/>
      <c r="L243" s="273"/>
      <c r="M243" s="273"/>
      <c r="N243" s="273"/>
      <c r="O243" s="273"/>
      <c r="P243" s="273"/>
      <c r="Q243" s="273"/>
      <c r="R243" s="273"/>
      <c r="S243" s="273"/>
      <c r="T243" s="273"/>
      <c r="U243" s="273"/>
      <c r="V243" s="273"/>
    </row>
    <row r="244" spans="1:22">
      <c r="A244" s="77">
        <v>44106</v>
      </c>
      <c r="B244" s="51" t="str">
        <f>TEXT(A244, "yyyymmdd")</f>
        <v>20201002</v>
      </c>
      <c r="C244" s="273" t="s">
        <v>16</v>
      </c>
      <c r="D244" s="273">
        <v>20</v>
      </c>
      <c r="E244" s="273" t="s">
        <v>1638</v>
      </c>
      <c r="F244" s="273" t="str">
        <f>_xlfn.CONCAT(C244:D244)</f>
        <v>D20</v>
      </c>
      <c r="G244" s="273" t="str">
        <f>IF(E244="Light",$O$8-A244,"")</f>
        <v/>
      </c>
      <c r="H244" s="273"/>
      <c r="I244" s="273"/>
      <c r="J244" s="273"/>
      <c r="K244" s="273"/>
      <c r="L244" s="273"/>
      <c r="M244" s="273"/>
      <c r="N244" s="273"/>
      <c r="O244" s="273"/>
      <c r="P244" s="273"/>
      <c r="Q244" s="273"/>
      <c r="R244" s="273"/>
      <c r="S244" s="273"/>
      <c r="T244" s="273"/>
      <c r="U244" s="273"/>
      <c r="V244" s="273"/>
    </row>
    <row r="245" spans="1:22">
      <c r="A245" s="77">
        <v>44109</v>
      </c>
      <c r="B245" s="51" t="str">
        <f>TEXT(A245, "yyyymmdd")</f>
        <v>20201005</v>
      </c>
      <c r="C245" s="273" t="s">
        <v>8</v>
      </c>
      <c r="D245" s="273">
        <v>3</v>
      </c>
      <c r="E245" s="273" t="s">
        <v>1638</v>
      </c>
      <c r="F245" s="273" t="str">
        <f>_xlfn.CONCAT(C245:D245)</f>
        <v>A3</v>
      </c>
      <c r="G245" s="273" t="str">
        <f>IF(E245="Light",$O$8-A245,"")</f>
        <v/>
      </c>
      <c r="H245" s="273"/>
      <c r="I245" s="273"/>
      <c r="J245" s="273"/>
      <c r="K245" s="273"/>
      <c r="L245" s="273"/>
      <c r="M245" s="273"/>
      <c r="N245" s="273"/>
      <c r="O245" s="273"/>
      <c r="P245" s="273"/>
      <c r="Q245" s="273"/>
      <c r="R245" s="273"/>
      <c r="S245" s="273"/>
      <c r="T245" s="273"/>
      <c r="U245" s="273"/>
      <c r="V245" s="273"/>
    </row>
    <row r="246" spans="1:22">
      <c r="A246" s="77">
        <v>44109</v>
      </c>
      <c r="B246" s="51" t="str">
        <f>TEXT(A246, "yyyymmdd")</f>
        <v>20201005</v>
      </c>
      <c r="C246" s="273" t="s">
        <v>8</v>
      </c>
      <c r="D246" s="273">
        <v>6</v>
      </c>
      <c r="E246" s="273" t="s">
        <v>1638</v>
      </c>
      <c r="F246" s="273" t="str">
        <f>_xlfn.CONCAT(C246:D246)</f>
        <v>A6</v>
      </c>
      <c r="G246" s="273" t="str">
        <f>IF(E246="Light",$O$8-A246,"")</f>
        <v/>
      </c>
      <c r="H246" s="273"/>
      <c r="I246" s="273"/>
      <c r="J246" s="273"/>
      <c r="K246" s="273"/>
      <c r="L246" s="273"/>
      <c r="M246" s="273"/>
      <c r="N246" s="273"/>
      <c r="O246" s="273"/>
      <c r="P246" s="273"/>
      <c r="Q246" s="273"/>
      <c r="R246" s="273"/>
      <c r="S246" s="273"/>
      <c r="T246" s="273"/>
      <c r="U246" s="273"/>
      <c r="V246" s="273"/>
    </row>
    <row r="247" spans="1:22">
      <c r="A247" s="77">
        <v>44109</v>
      </c>
      <c r="B247" s="51" t="str">
        <f>TEXT(A247, "yyyymmdd")</f>
        <v>20201005</v>
      </c>
      <c r="C247" s="273" t="s">
        <v>8</v>
      </c>
      <c r="D247" s="273">
        <v>9</v>
      </c>
      <c r="E247" s="273" t="s">
        <v>1638</v>
      </c>
      <c r="F247" s="273" t="str">
        <f>_xlfn.CONCAT(C247:D247)</f>
        <v>A9</v>
      </c>
      <c r="G247" s="273" t="str">
        <f>IF(E247="Light",$O$8-A247,"")</f>
        <v/>
      </c>
      <c r="H247" s="273"/>
      <c r="I247" s="273"/>
      <c r="J247" s="273"/>
      <c r="K247" s="273"/>
      <c r="L247" s="273"/>
      <c r="M247" s="273"/>
      <c r="N247" s="273"/>
      <c r="O247" s="273"/>
      <c r="P247" s="273"/>
      <c r="Q247" s="273"/>
      <c r="R247" s="273"/>
      <c r="S247" s="273"/>
      <c r="T247" s="273"/>
      <c r="U247" s="273"/>
      <c r="V247" s="273"/>
    </row>
    <row r="248" spans="1:22">
      <c r="A248" s="77">
        <v>44109</v>
      </c>
      <c r="B248" s="51" t="str">
        <f>TEXT(A248, "yyyymmdd")</f>
        <v>20201005</v>
      </c>
      <c r="C248" s="273" t="s">
        <v>24</v>
      </c>
      <c r="D248" s="273">
        <v>2</v>
      </c>
      <c r="E248" s="273" t="s">
        <v>1638</v>
      </c>
      <c r="F248" s="273" t="str">
        <f>_xlfn.CONCAT(C248:D248)</f>
        <v>E2</v>
      </c>
      <c r="G248" s="273" t="str">
        <f>IF(E248="Light",$O$8-A248,"")</f>
        <v/>
      </c>
      <c r="H248" s="273"/>
      <c r="I248" s="273"/>
      <c r="J248" s="273"/>
      <c r="K248" s="273"/>
      <c r="L248" s="273"/>
      <c r="M248" s="273"/>
      <c r="N248" s="273"/>
      <c r="O248" s="273"/>
      <c r="P248" s="273"/>
      <c r="Q248" s="273"/>
      <c r="R248" s="273"/>
      <c r="S248" s="273"/>
      <c r="T248" s="273"/>
      <c r="U248" s="273"/>
      <c r="V248" s="273"/>
    </row>
    <row r="249" spans="1:22">
      <c r="A249" s="77">
        <v>44109</v>
      </c>
      <c r="B249" s="51" t="str">
        <f>TEXT(A249, "yyyymmdd")</f>
        <v>20201005</v>
      </c>
      <c r="C249" s="273" t="s">
        <v>16</v>
      </c>
      <c r="D249" s="273">
        <v>22</v>
      </c>
      <c r="E249" s="273" t="s">
        <v>1638</v>
      </c>
      <c r="F249" s="273" t="str">
        <f>_xlfn.CONCAT(C249:D249)</f>
        <v>D22</v>
      </c>
      <c r="G249" s="273" t="str">
        <f>IF(E249="Light",$O$8-A249,"")</f>
        <v/>
      </c>
      <c r="H249" s="273"/>
      <c r="I249" s="273"/>
      <c r="J249" s="273"/>
      <c r="K249" s="273"/>
      <c r="L249" s="273"/>
      <c r="M249" s="273"/>
      <c r="N249" s="273"/>
      <c r="O249" s="273"/>
      <c r="P249" s="273"/>
      <c r="Q249" s="273"/>
      <c r="R249" s="273"/>
      <c r="S249" s="273"/>
      <c r="T249" s="273"/>
      <c r="U249" s="273"/>
      <c r="V249" s="273"/>
    </row>
    <row r="250" spans="1:22">
      <c r="A250" s="77">
        <v>44109</v>
      </c>
      <c r="B250" s="51" t="str">
        <f>TEXT(A250, "yyyymmdd")</f>
        <v>20201005</v>
      </c>
      <c r="C250" s="273" t="s">
        <v>16</v>
      </c>
      <c r="D250" s="273">
        <v>33</v>
      </c>
      <c r="E250" s="273" t="s">
        <v>1629</v>
      </c>
      <c r="F250" s="273" t="str">
        <f>_xlfn.CONCAT(C250:D250)</f>
        <v>D33</v>
      </c>
      <c r="G250" s="273">
        <f ca="1">IF(E250="Light",$O$8-A250,"")</f>
        <v>117</v>
      </c>
      <c r="H250" s="273"/>
      <c r="I250" s="273"/>
      <c r="J250" s="273"/>
      <c r="K250" s="273"/>
      <c r="L250" s="273"/>
      <c r="M250" s="273"/>
      <c r="N250" s="273"/>
      <c r="O250" s="273"/>
      <c r="P250" s="273"/>
      <c r="Q250" s="273"/>
      <c r="R250" s="273"/>
      <c r="S250" s="273"/>
      <c r="T250" s="273"/>
      <c r="U250" s="273"/>
      <c r="V250" s="273"/>
    </row>
    <row r="251" spans="1:22">
      <c r="A251" s="77">
        <v>44109</v>
      </c>
      <c r="B251" s="51" t="str">
        <f>TEXT(A251, "yyyymmdd")</f>
        <v>20201005</v>
      </c>
      <c r="C251" s="273" t="s">
        <v>16</v>
      </c>
      <c r="D251" s="273">
        <v>34</v>
      </c>
      <c r="E251" s="273" t="s">
        <v>1629</v>
      </c>
      <c r="F251" s="273" t="str">
        <f>_xlfn.CONCAT(C251:D251)</f>
        <v>D34</v>
      </c>
      <c r="G251" s="273">
        <f ca="1">IF(E251="Light",$O$8-A251,"")</f>
        <v>117</v>
      </c>
      <c r="H251" s="273"/>
      <c r="I251" s="273"/>
      <c r="J251" s="273"/>
      <c r="K251" s="273"/>
      <c r="L251" s="273"/>
      <c r="M251" s="273"/>
      <c r="N251" s="273"/>
      <c r="O251" s="273"/>
      <c r="P251" s="273"/>
      <c r="Q251" s="273"/>
      <c r="R251" s="273"/>
      <c r="S251" s="273"/>
      <c r="T251" s="273"/>
      <c r="U251" s="273"/>
      <c r="V251" s="273"/>
    </row>
    <row r="252" spans="1:22">
      <c r="A252" s="77">
        <v>44109</v>
      </c>
      <c r="B252" s="51" t="str">
        <f>TEXT(A252, "yyyymmdd")</f>
        <v>20201005</v>
      </c>
      <c r="C252" s="273" t="s">
        <v>11</v>
      </c>
      <c r="D252" s="273">
        <v>24</v>
      </c>
      <c r="E252" s="273" t="s">
        <v>1629</v>
      </c>
      <c r="F252" s="273" t="str">
        <f>_xlfn.CONCAT(C252:D252)</f>
        <v>C24</v>
      </c>
      <c r="G252" s="273">
        <f ca="1">IF(E252="Light",$O$8-A252,"")</f>
        <v>117</v>
      </c>
      <c r="H252" s="273"/>
      <c r="I252" s="273"/>
      <c r="J252" s="273"/>
      <c r="K252" s="273"/>
      <c r="L252" s="273"/>
      <c r="M252" s="273"/>
      <c r="N252" s="273"/>
      <c r="O252" s="273"/>
      <c r="P252" s="273"/>
      <c r="Q252" s="273"/>
      <c r="R252" s="273"/>
      <c r="S252" s="273"/>
      <c r="T252" s="273"/>
      <c r="U252" s="273"/>
      <c r="V252" s="273"/>
    </row>
    <row r="253" spans="1:22">
      <c r="A253" s="77">
        <v>44109</v>
      </c>
      <c r="B253" s="51" t="str">
        <f>TEXT(A253, "yyyymmdd")</f>
        <v>20201005</v>
      </c>
      <c r="C253" s="273" t="s">
        <v>11</v>
      </c>
      <c r="D253" s="273">
        <v>25</v>
      </c>
      <c r="E253" s="273" t="s">
        <v>1629</v>
      </c>
      <c r="F253" s="273" t="str">
        <f>_xlfn.CONCAT(C253:D253)</f>
        <v>C25</v>
      </c>
      <c r="G253" s="273">
        <f ca="1">IF(E253="Light",$O$8-A253,"")</f>
        <v>117</v>
      </c>
      <c r="H253" s="273"/>
      <c r="I253" s="273"/>
      <c r="J253" s="273"/>
      <c r="K253" s="273"/>
      <c r="L253" s="273"/>
      <c r="M253" s="273"/>
      <c r="N253" s="273"/>
      <c r="O253" s="273"/>
      <c r="P253" s="273"/>
      <c r="Q253" s="273"/>
      <c r="R253" s="273"/>
      <c r="S253" s="273"/>
      <c r="T253" s="273"/>
      <c r="U253" s="273"/>
      <c r="V253" s="273"/>
    </row>
    <row r="254" spans="1:22">
      <c r="A254" s="77">
        <v>44109</v>
      </c>
      <c r="B254" s="51" t="str">
        <f>TEXT(A254, "yyyymmdd")</f>
        <v>20201005</v>
      </c>
      <c r="C254" s="273" t="s">
        <v>11</v>
      </c>
      <c r="D254" s="273">
        <v>26</v>
      </c>
      <c r="E254" s="273" t="s">
        <v>1629</v>
      </c>
      <c r="F254" s="273" t="str">
        <f>_xlfn.CONCAT(C254:D254)</f>
        <v>C26</v>
      </c>
      <c r="G254" s="273">
        <f ca="1">IF(E254="Light",$O$8-A254,"")</f>
        <v>117</v>
      </c>
      <c r="H254" s="273"/>
      <c r="I254" s="273"/>
      <c r="J254" s="273"/>
      <c r="K254" s="273"/>
      <c r="L254" s="273"/>
      <c r="M254" s="273"/>
      <c r="N254" s="273"/>
      <c r="O254" s="273"/>
      <c r="P254" s="273"/>
      <c r="Q254" s="273"/>
      <c r="R254" s="273"/>
      <c r="S254" s="273"/>
      <c r="T254" s="273"/>
      <c r="U254" s="273"/>
      <c r="V254" s="273"/>
    </row>
    <row r="255" spans="1:22">
      <c r="A255" s="77">
        <v>44109</v>
      </c>
      <c r="B255" s="51" t="str">
        <f>TEXT(A255, "yyyymmdd")</f>
        <v>20201005</v>
      </c>
      <c r="C255" s="273" t="s">
        <v>11</v>
      </c>
      <c r="D255" s="273">
        <v>27</v>
      </c>
      <c r="E255" s="273" t="s">
        <v>1627</v>
      </c>
      <c r="F255" s="273" t="str">
        <f>_xlfn.CONCAT(C255:D255)</f>
        <v>C27</v>
      </c>
      <c r="G255" s="273" t="str">
        <f>IF(E255="Light",$O$8-A255,"")</f>
        <v/>
      </c>
      <c r="H255" s="273"/>
      <c r="I255" s="273"/>
      <c r="J255" s="273"/>
      <c r="K255" s="273"/>
      <c r="L255" s="273"/>
      <c r="M255" s="273"/>
      <c r="N255" s="273"/>
      <c r="O255" s="273"/>
      <c r="P255" s="273"/>
      <c r="Q255" s="273"/>
      <c r="R255" s="273"/>
      <c r="S255" s="273"/>
      <c r="T255" s="273"/>
      <c r="U255" s="273"/>
      <c r="V255" s="273"/>
    </row>
    <row r="256" spans="1:22">
      <c r="A256" s="77">
        <v>44109</v>
      </c>
      <c r="B256" s="51" t="str">
        <f>TEXT(A256, "yyyymmdd")</f>
        <v>20201005</v>
      </c>
      <c r="C256" s="273" t="s">
        <v>11</v>
      </c>
      <c r="D256" s="273">
        <v>28</v>
      </c>
      <c r="E256" s="273" t="s">
        <v>1627</v>
      </c>
      <c r="F256" s="273" t="str">
        <f>_xlfn.CONCAT(C256:D256)</f>
        <v>C28</v>
      </c>
      <c r="G256" s="273" t="str">
        <f>IF(E256="Light",$O$8-A256,"")</f>
        <v/>
      </c>
      <c r="H256" s="273"/>
      <c r="I256" s="273"/>
      <c r="J256" s="273"/>
      <c r="K256" s="273"/>
      <c r="L256" s="273"/>
      <c r="M256" s="273"/>
      <c r="N256" s="273"/>
      <c r="O256" s="273"/>
      <c r="P256" s="273"/>
      <c r="Q256" s="273"/>
      <c r="R256" s="273"/>
      <c r="S256" s="273"/>
      <c r="T256" s="273"/>
      <c r="U256" s="273"/>
      <c r="V256" s="273"/>
    </row>
    <row r="257" spans="1:22">
      <c r="A257" s="77">
        <v>44111</v>
      </c>
      <c r="B257" s="51" t="str">
        <f>TEXT(A257, "yyyymmdd")</f>
        <v>20201007</v>
      </c>
      <c r="C257" s="273" t="s">
        <v>8</v>
      </c>
      <c r="D257" s="273">
        <v>7</v>
      </c>
      <c r="E257" s="273" t="s">
        <v>1638</v>
      </c>
      <c r="F257" s="273" t="str">
        <f>_xlfn.CONCAT(C257:D257)</f>
        <v>A7</v>
      </c>
      <c r="G257" s="273" t="str">
        <f>IF(E257="Light",$O$8-A257,"")</f>
        <v/>
      </c>
      <c r="H257" s="273"/>
      <c r="I257" s="273"/>
      <c r="J257" s="273"/>
      <c r="K257" s="273"/>
      <c r="L257" s="273"/>
      <c r="M257" s="273"/>
      <c r="N257" s="273"/>
      <c r="O257" s="273"/>
      <c r="P257" s="273"/>
      <c r="Q257" s="273"/>
      <c r="R257" s="273"/>
      <c r="S257" s="273"/>
      <c r="T257" s="273"/>
      <c r="U257" s="273"/>
      <c r="V257" s="273"/>
    </row>
    <row r="258" spans="1:22">
      <c r="A258" s="77">
        <v>44111</v>
      </c>
      <c r="B258" s="51" t="str">
        <f>TEXT(A258, "yyyymmdd")</f>
        <v>20201007</v>
      </c>
      <c r="C258" s="273" t="s">
        <v>8</v>
      </c>
      <c r="D258" s="273">
        <v>8</v>
      </c>
      <c r="E258" s="273" t="s">
        <v>1638</v>
      </c>
      <c r="F258" s="273" t="str">
        <f>_xlfn.CONCAT(C258:D258)</f>
        <v>A8</v>
      </c>
      <c r="G258" s="273" t="str">
        <f>IF(E258="Light",$O$8-A258,"")</f>
        <v/>
      </c>
      <c r="H258" s="273"/>
      <c r="I258" s="273"/>
      <c r="J258" s="273"/>
      <c r="K258" s="273"/>
      <c r="L258" s="273"/>
      <c r="M258" s="273"/>
      <c r="N258" s="273"/>
      <c r="O258" s="273"/>
      <c r="P258" s="273"/>
      <c r="Q258" s="273"/>
      <c r="R258" s="273"/>
      <c r="S258" s="273"/>
      <c r="T258" s="273"/>
      <c r="U258" s="273"/>
      <c r="V258" s="273"/>
    </row>
    <row r="259" spans="1:22">
      <c r="A259" s="77">
        <v>44111</v>
      </c>
      <c r="B259" s="51" t="str">
        <f>TEXT(A259, "yyyymmdd")</f>
        <v>20201007</v>
      </c>
      <c r="C259" s="273" t="s">
        <v>16</v>
      </c>
      <c r="D259" s="273">
        <v>35</v>
      </c>
      <c r="E259" s="273" t="s">
        <v>1627</v>
      </c>
      <c r="F259" s="273" t="str">
        <f>_xlfn.CONCAT(C259:D259)</f>
        <v>D35</v>
      </c>
      <c r="G259" s="273" t="str">
        <f>IF(E259="Light",$O$8-A259,"")</f>
        <v/>
      </c>
      <c r="H259" s="273"/>
      <c r="I259" s="273"/>
      <c r="J259" s="273"/>
      <c r="K259" s="273"/>
      <c r="L259" s="273"/>
      <c r="M259" s="273"/>
      <c r="N259" s="273"/>
      <c r="O259" s="273"/>
      <c r="P259" s="273"/>
      <c r="Q259" s="273"/>
      <c r="R259" s="273"/>
      <c r="S259" s="273"/>
      <c r="T259" s="273"/>
      <c r="U259" s="273"/>
      <c r="V259" s="273"/>
    </row>
    <row r="260" spans="1:22">
      <c r="A260" s="77">
        <v>44111</v>
      </c>
      <c r="B260" s="51" t="str">
        <f>TEXT(A260, "yyyymmdd")</f>
        <v>20201007</v>
      </c>
      <c r="C260" s="273" t="s">
        <v>16</v>
      </c>
      <c r="D260" s="273">
        <v>36</v>
      </c>
      <c r="E260" s="273" t="s">
        <v>1627</v>
      </c>
      <c r="F260" s="273" t="str">
        <f>_xlfn.CONCAT(C260:D260)</f>
        <v>D36</v>
      </c>
      <c r="G260" s="273" t="str">
        <f>IF(E260="Light",$O$8-A260,"")</f>
        <v/>
      </c>
      <c r="H260" s="273"/>
      <c r="I260" s="273"/>
      <c r="J260" s="273"/>
      <c r="K260" s="273"/>
      <c r="L260" s="273"/>
      <c r="M260" s="273"/>
      <c r="N260" s="273"/>
      <c r="O260" s="273"/>
      <c r="P260" s="273"/>
      <c r="Q260" s="273"/>
      <c r="R260" s="273"/>
      <c r="S260" s="273"/>
      <c r="T260" s="273"/>
      <c r="U260" s="273"/>
      <c r="V260" s="273"/>
    </row>
    <row r="261" spans="1:22" s="216" customFormat="1">
      <c r="A261" s="77">
        <v>44112</v>
      </c>
      <c r="B261" s="51" t="str">
        <f>TEXT(A261, "yyyymmdd")</f>
        <v>20201008</v>
      </c>
      <c r="C261" s="273" t="s">
        <v>16</v>
      </c>
      <c r="D261" s="273">
        <v>37</v>
      </c>
      <c r="E261" s="273" t="s">
        <v>1627</v>
      </c>
      <c r="F261" s="273" t="str">
        <f>_xlfn.CONCAT(C261:D261)</f>
        <v>D37</v>
      </c>
      <c r="G261" s="273"/>
      <c r="H261" s="273"/>
      <c r="I261" s="273"/>
      <c r="J261" s="273"/>
      <c r="K261" s="273"/>
      <c r="L261" s="273"/>
      <c r="M261" s="273"/>
      <c r="N261" s="273"/>
      <c r="O261" s="273"/>
      <c r="P261" s="273"/>
      <c r="Q261" s="273"/>
      <c r="R261" s="273"/>
      <c r="S261" s="273"/>
      <c r="T261" s="273"/>
      <c r="U261" s="273"/>
      <c r="V261" s="273"/>
    </row>
    <row r="262" spans="1:22" s="216" customFormat="1">
      <c r="A262" s="77">
        <v>44112</v>
      </c>
      <c r="B262" s="51" t="str">
        <f>TEXT(A262, "yyyymmdd")</f>
        <v>20201008</v>
      </c>
      <c r="C262" s="273" t="s">
        <v>16</v>
      </c>
      <c r="D262" s="273">
        <v>38</v>
      </c>
      <c r="E262" s="273" t="s">
        <v>1627</v>
      </c>
      <c r="F262" s="273" t="str">
        <f>_xlfn.CONCAT(C262:D262)</f>
        <v>D38</v>
      </c>
      <c r="G262" s="273"/>
      <c r="H262" s="273"/>
      <c r="I262" s="273"/>
      <c r="J262" s="273"/>
      <c r="K262" s="273"/>
      <c r="L262" s="273"/>
      <c r="M262" s="273"/>
      <c r="N262" s="273"/>
      <c r="O262" s="273"/>
      <c r="P262" s="273"/>
      <c r="Q262" s="273"/>
      <c r="R262" s="273"/>
      <c r="S262" s="273"/>
      <c r="T262" s="273"/>
      <c r="U262" s="273"/>
      <c r="V262" s="273"/>
    </row>
    <row r="263" spans="1:22" s="216" customFormat="1">
      <c r="A263" s="77">
        <v>44112</v>
      </c>
      <c r="B263" s="51" t="str">
        <f>TEXT(A263, "yyyymmdd")</f>
        <v>20201008</v>
      </c>
      <c r="C263" s="273" t="s">
        <v>16</v>
      </c>
      <c r="D263" s="273">
        <v>39</v>
      </c>
      <c r="E263" s="273" t="s">
        <v>1627</v>
      </c>
      <c r="F263" s="273" t="str">
        <f>_xlfn.CONCAT(C263:D263)</f>
        <v>D39</v>
      </c>
      <c r="G263" s="273"/>
      <c r="H263" s="273"/>
      <c r="I263" s="273"/>
      <c r="J263" s="273"/>
      <c r="K263" s="273"/>
      <c r="L263" s="273"/>
      <c r="M263" s="273"/>
      <c r="N263" s="273"/>
      <c r="O263" s="273"/>
      <c r="P263" s="273"/>
      <c r="Q263" s="273"/>
      <c r="R263" s="273"/>
      <c r="S263" s="273"/>
      <c r="T263" s="273"/>
      <c r="U263" s="273"/>
      <c r="V263" s="273"/>
    </row>
    <row r="264" spans="1:22" s="216" customFormat="1">
      <c r="A264" s="77">
        <v>44112</v>
      </c>
      <c r="B264" s="51" t="str">
        <f>TEXT(A264, "yyyymmdd")</f>
        <v>20201008</v>
      </c>
      <c r="C264" s="273" t="s">
        <v>16</v>
      </c>
      <c r="D264" s="273">
        <v>40</v>
      </c>
      <c r="E264" s="273" t="s">
        <v>1627</v>
      </c>
      <c r="F264" s="273" t="str">
        <f>_xlfn.CONCAT(C264:D264)</f>
        <v>D40</v>
      </c>
      <c r="G264" s="273"/>
      <c r="H264" s="273"/>
      <c r="I264" s="273"/>
      <c r="J264" s="273"/>
      <c r="K264" s="273"/>
      <c r="L264" s="273"/>
      <c r="M264" s="273"/>
      <c r="N264" s="273"/>
      <c r="O264" s="273"/>
      <c r="P264" s="273"/>
      <c r="Q264" s="273"/>
      <c r="R264" s="273"/>
      <c r="S264" s="273"/>
      <c r="T264" s="273"/>
      <c r="U264" s="273"/>
      <c r="V264" s="273"/>
    </row>
    <row r="265" spans="1:22">
      <c r="A265" s="77">
        <v>44111</v>
      </c>
      <c r="B265" s="51" t="str">
        <f>TEXT(A265, "yyyymmdd")</f>
        <v>20201007</v>
      </c>
      <c r="C265" s="273" t="s">
        <v>11</v>
      </c>
      <c r="D265" s="273">
        <v>27</v>
      </c>
      <c r="E265" s="273" t="s">
        <v>1629</v>
      </c>
      <c r="F265" s="273" t="str">
        <f>_xlfn.CONCAT(C265:D265)</f>
        <v>C27</v>
      </c>
      <c r="G265" s="273">
        <f ca="1">IF(E265="Light",$O$8-A265,"")</f>
        <v>115</v>
      </c>
      <c r="H265" s="273"/>
      <c r="I265" s="273"/>
      <c r="J265" s="273"/>
      <c r="K265" s="273"/>
      <c r="L265" s="273"/>
      <c r="M265" s="273"/>
      <c r="N265" s="273"/>
      <c r="O265" s="273"/>
      <c r="P265" s="273"/>
      <c r="Q265" s="273"/>
      <c r="R265" s="273"/>
      <c r="S265" s="273"/>
      <c r="T265" s="273"/>
      <c r="U265" s="273"/>
      <c r="V265" s="273"/>
    </row>
    <row r="266" spans="1:22">
      <c r="A266" s="77">
        <v>44113</v>
      </c>
      <c r="B266" s="51" t="str">
        <f>TEXT(A266, "yyyymmdd")</f>
        <v>20201009</v>
      </c>
      <c r="C266" s="273" t="s">
        <v>11</v>
      </c>
      <c r="D266" s="273">
        <v>28</v>
      </c>
      <c r="E266" s="273" t="s">
        <v>1629</v>
      </c>
      <c r="F266" s="273" t="str">
        <f>_xlfn.CONCAT(C266:D266)</f>
        <v>C28</v>
      </c>
      <c r="G266" s="273">
        <f ca="1">IF(E266="Light",$O$8-A266,"")</f>
        <v>113</v>
      </c>
      <c r="H266" s="273"/>
      <c r="I266" s="273"/>
      <c r="J266" s="273"/>
      <c r="K266" s="273"/>
      <c r="L266" s="273"/>
      <c r="M266" s="273"/>
      <c r="N266" s="273"/>
      <c r="O266" s="273"/>
      <c r="P266" s="273"/>
      <c r="Q266" s="273"/>
      <c r="R266" s="273"/>
      <c r="S266" s="273"/>
      <c r="T266" s="273"/>
      <c r="U266" s="273"/>
      <c r="V266" s="273"/>
    </row>
    <row r="267" spans="1:22" s="217" customFormat="1">
      <c r="A267" s="77">
        <v>44113</v>
      </c>
      <c r="B267" s="51" t="str">
        <f>TEXT(A267, "yyyymmdd")</f>
        <v>20201009</v>
      </c>
      <c r="C267" s="273" t="s">
        <v>11</v>
      </c>
      <c r="D267" s="273">
        <v>29</v>
      </c>
      <c r="E267" s="273" t="s">
        <v>1627</v>
      </c>
      <c r="F267" s="273" t="str">
        <f>_xlfn.CONCAT(C267:D267)</f>
        <v>C29</v>
      </c>
      <c r="G267" s="273"/>
      <c r="H267" s="273"/>
      <c r="I267" s="273"/>
      <c r="J267" s="273"/>
      <c r="K267" s="273"/>
      <c r="L267" s="273"/>
      <c r="M267" s="273"/>
      <c r="N267" s="273"/>
      <c r="O267" s="273"/>
      <c r="P267" s="273"/>
      <c r="Q267" s="273"/>
      <c r="R267" s="273"/>
      <c r="S267" s="273"/>
      <c r="T267" s="273"/>
      <c r="U267" s="273"/>
      <c r="V267" s="273"/>
    </row>
    <row r="268" spans="1:22">
      <c r="A268" s="77">
        <v>44113</v>
      </c>
      <c r="B268" s="51" t="str">
        <f>TEXT(A268, "yyyymmdd")</f>
        <v>20201009</v>
      </c>
      <c r="C268" s="273" t="s">
        <v>11</v>
      </c>
      <c r="D268" s="273">
        <v>29</v>
      </c>
      <c r="E268" s="273" t="s">
        <v>1629</v>
      </c>
      <c r="F268" s="273" t="str">
        <f>_xlfn.CONCAT(C268:D268)</f>
        <v>C29</v>
      </c>
      <c r="G268" s="273">
        <f ca="1">IF(E268="Light",$O$8-A268,"")</f>
        <v>113</v>
      </c>
      <c r="H268" s="273"/>
      <c r="I268" s="273"/>
      <c r="J268" s="273"/>
      <c r="K268" s="273"/>
      <c r="L268" s="273"/>
      <c r="M268" s="273"/>
      <c r="N268" s="273"/>
      <c r="O268" s="273"/>
      <c r="P268" s="273"/>
      <c r="Q268" s="273"/>
      <c r="R268" s="273"/>
      <c r="S268" s="273"/>
      <c r="T268" s="273"/>
      <c r="U268" s="273"/>
      <c r="V268" s="273"/>
    </row>
    <row r="269" spans="1:22">
      <c r="A269" s="77">
        <v>44113</v>
      </c>
      <c r="B269" s="51" t="str">
        <f>TEXT(A269, "yyyymmdd")</f>
        <v>20201009</v>
      </c>
      <c r="C269" s="273" t="s">
        <v>16</v>
      </c>
      <c r="D269" s="273">
        <v>35</v>
      </c>
      <c r="E269" s="273" t="s">
        <v>1629</v>
      </c>
      <c r="F269" s="273" t="str">
        <f>_xlfn.CONCAT(C269:D269)</f>
        <v>D35</v>
      </c>
      <c r="G269" s="273">
        <f ca="1">IF(E269="Light",$O$8-A269,"")</f>
        <v>113</v>
      </c>
      <c r="H269" s="273"/>
      <c r="I269" s="273"/>
      <c r="J269" s="273"/>
      <c r="K269" s="273"/>
      <c r="L269" s="273"/>
      <c r="M269" s="273"/>
      <c r="N269" s="273"/>
      <c r="O269" s="273"/>
      <c r="P269" s="273"/>
      <c r="Q269" s="273"/>
      <c r="R269" s="273"/>
      <c r="S269" s="273"/>
      <c r="T269" s="273"/>
      <c r="U269" s="273"/>
      <c r="V269" s="273"/>
    </row>
    <row r="270" spans="1:22">
      <c r="A270" s="77">
        <v>44113</v>
      </c>
      <c r="B270" s="51" t="str">
        <f>TEXT(A270, "yyyymmdd")</f>
        <v>20201009</v>
      </c>
      <c r="C270" s="273" t="s">
        <v>16</v>
      </c>
      <c r="D270" s="273">
        <v>36</v>
      </c>
      <c r="E270" s="273" t="s">
        <v>1629</v>
      </c>
      <c r="F270" s="273" t="str">
        <f>_xlfn.CONCAT(C270:D270)</f>
        <v>D36</v>
      </c>
      <c r="G270" s="273">
        <f ca="1">IF(E270="Light",$O$8-A270,"")</f>
        <v>113</v>
      </c>
      <c r="H270" s="273"/>
      <c r="I270" s="273"/>
      <c r="J270" s="273"/>
      <c r="K270" s="273"/>
      <c r="L270" s="273"/>
      <c r="M270" s="273"/>
      <c r="N270" s="273"/>
      <c r="O270" s="273"/>
      <c r="P270" s="273"/>
      <c r="Q270" s="273"/>
      <c r="R270" s="273"/>
      <c r="S270" s="273"/>
      <c r="T270" s="273"/>
      <c r="U270" s="273"/>
      <c r="V270" s="273"/>
    </row>
    <row r="271" spans="1:22">
      <c r="A271" s="77">
        <v>44117</v>
      </c>
      <c r="B271" s="51" t="str">
        <f>TEXT(A271, "yyyymmdd")</f>
        <v>20201013</v>
      </c>
      <c r="C271" s="273" t="s">
        <v>16</v>
      </c>
      <c r="D271" s="273">
        <v>37</v>
      </c>
      <c r="E271" s="273" t="s">
        <v>1629</v>
      </c>
      <c r="F271" s="273" t="str">
        <f>_xlfn.CONCAT(C271:D271)</f>
        <v>D37</v>
      </c>
      <c r="G271" s="273">
        <f ca="1">IF(E271="Light",$O$8-A271,"")</f>
        <v>109</v>
      </c>
      <c r="H271" s="273"/>
      <c r="I271" s="273"/>
      <c r="J271" s="273"/>
      <c r="K271" s="273"/>
      <c r="L271" s="273"/>
      <c r="M271" s="273"/>
      <c r="N271" s="273"/>
      <c r="O271" s="273"/>
      <c r="P271" s="273"/>
      <c r="Q271" s="273"/>
      <c r="R271" s="273"/>
      <c r="S271" s="273"/>
      <c r="T271" s="273"/>
      <c r="U271" s="273"/>
      <c r="V271" s="273"/>
    </row>
    <row r="272" spans="1:22">
      <c r="A272" s="77">
        <v>44117</v>
      </c>
      <c r="B272" s="51" t="str">
        <f t="shared" ref="B272:B304" si="28">TEXT(A272, "yyyymmdd")</f>
        <v>20201013</v>
      </c>
      <c r="C272" s="273" t="s">
        <v>16</v>
      </c>
      <c r="D272" s="273">
        <v>38</v>
      </c>
      <c r="E272" s="273" t="s">
        <v>1629</v>
      </c>
      <c r="F272" s="273" t="str">
        <f>_xlfn.CONCAT(C272:D272)</f>
        <v>D38</v>
      </c>
      <c r="G272" s="273">
        <f t="shared" ref="G272:G304" ca="1" si="29">IF(E272="Light",$O$8-A272,"")</f>
        <v>109</v>
      </c>
      <c r="H272" s="273"/>
      <c r="I272" s="273"/>
      <c r="J272" s="273"/>
      <c r="K272" s="273"/>
      <c r="L272" s="273"/>
      <c r="M272" s="273"/>
      <c r="N272" s="273"/>
      <c r="O272" s="273"/>
      <c r="P272" s="273"/>
      <c r="Q272" s="273"/>
      <c r="R272" s="273"/>
      <c r="S272" s="273"/>
      <c r="T272" s="273"/>
      <c r="U272" s="273"/>
      <c r="V272" s="273"/>
    </row>
    <row r="273" spans="1:22">
      <c r="A273" s="77">
        <v>44117</v>
      </c>
      <c r="B273" s="51" t="str">
        <f t="shared" si="28"/>
        <v>20201013</v>
      </c>
      <c r="C273" s="273" t="s">
        <v>16</v>
      </c>
      <c r="D273" s="273">
        <v>39</v>
      </c>
      <c r="E273" s="273" t="s">
        <v>1629</v>
      </c>
      <c r="F273" s="273" t="str">
        <f>_xlfn.CONCAT(C273:D273)</f>
        <v>D39</v>
      </c>
      <c r="G273" s="273">
        <f t="shared" ca="1" si="29"/>
        <v>109</v>
      </c>
      <c r="H273" s="273"/>
      <c r="I273" s="273"/>
      <c r="J273" s="273"/>
      <c r="K273" s="273"/>
      <c r="L273" s="273"/>
      <c r="M273" s="273"/>
      <c r="N273" s="273"/>
      <c r="O273" s="273"/>
      <c r="P273" s="273"/>
      <c r="Q273" s="273"/>
      <c r="R273" s="273"/>
      <c r="S273" s="273"/>
      <c r="T273" s="273"/>
      <c r="U273" s="273"/>
      <c r="V273" s="273"/>
    </row>
    <row r="274" spans="1:22">
      <c r="A274" s="77">
        <v>44117</v>
      </c>
      <c r="B274" s="51" t="str">
        <f t="shared" si="28"/>
        <v>20201013</v>
      </c>
      <c r="C274" s="273" t="s">
        <v>16</v>
      </c>
      <c r="D274" s="273">
        <v>40</v>
      </c>
      <c r="E274" s="273" t="s">
        <v>1629</v>
      </c>
      <c r="F274" s="273" t="str">
        <f>_xlfn.CONCAT(C274:D274)</f>
        <v>D40</v>
      </c>
      <c r="G274" s="273">
        <f t="shared" ca="1" si="29"/>
        <v>109</v>
      </c>
      <c r="H274" s="273"/>
      <c r="I274" s="273"/>
      <c r="J274" s="273"/>
      <c r="K274" s="273"/>
      <c r="L274" s="273"/>
      <c r="M274" s="273"/>
      <c r="N274" s="273"/>
      <c r="O274" s="273"/>
      <c r="P274" s="273"/>
      <c r="Q274" s="273"/>
      <c r="R274" s="273"/>
      <c r="S274" s="273"/>
      <c r="T274" s="273"/>
      <c r="U274" s="273"/>
      <c r="V274" s="273"/>
    </row>
    <row r="275" spans="1:22">
      <c r="A275" s="77">
        <v>44117</v>
      </c>
      <c r="B275" s="51" t="str">
        <f t="shared" si="28"/>
        <v>20201013</v>
      </c>
      <c r="C275" s="273" t="s">
        <v>11</v>
      </c>
      <c r="D275" s="273">
        <v>10</v>
      </c>
      <c r="E275" s="273" t="s">
        <v>1638</v>
      </c>
      <c r="F275" s="273" t="str">
        <f>_xlfn.CONCAT(C275:D275)</f>
        <v>C10</v>
      </c>
      <c r="G275" s="273" t="str">
        <f t="shared" si="29"/>
        <v/>
      </c>
      <c r="H275" s="273"/>
      <c r="I275" s="273"/>
      <c r="J275" s="273"/>
      <c r="K275" s="273"/>
      <c r="L275" s="273"/>
      <c r="M275" s="273"/>
      <c r="N275" s="273"/>
      <c r="O275" s="273"/>
      <c r="P275" s="273"/>
      <c r="Q275" s="273"/>
      <c r="R275" s="273"/>
      <c r="S275" s="273"/>
      <c r="T275" s="273"/>
      <c r="U275" s="273"/>
      <c r="V275" s="273"/>
    </row>
    <row r="276" spans="1:22">
      <c r="A276" s="77">
        <v>44117</v>
      </c>
      <c r="B276" s="51" t="str">
        <f t="shared" si="28"/>
        <v>20201013</v>
      </c>
      <c r="C276" s="273" t="s">
        <v>11</v>
      </c>
      <c r="D276" s="273">
        <v>20</v>
      </c>
      <c r="E276" s="273" t="s">
        <v>1638</v>
      </c>
      <c r="F276" s="273" t="str">
        <f>_xlfn.CONCAT(C276:D276)</f>
        <v>C20</v>
      </c>
      <c r="G276" s="273" t="str">
        <f t="shared" si="29"/>
        <v/>
      </c>
      <c r="H276" s="273"/>
      <c r="I276" s="273"/>
      <c r="J276" s="273"/>
      <c r="K276" s="273"/>
      <c r="L276" s="273"/>
      <c r="M276" s="273"/>
      <c r="N276" s="273"/>
      <c r="O276" s="273"/>
      <c r="P276" s="273"/>
      <c r="Q276" s="273"/>
      <c r="R276" s="273"/>
      <c r="S276" s="273"/>
      <c r="T276" s="273"/>
      <c r="U276" s="273"/>
      <c r="V276" s="273"/>
    </row>
    <row r="277" spans="1:22">
      <c r="A277" s="77">
        <v>44117</v>
      </c>
      <c r="B277" s="51" t="str">
        <f t="shared" si="28"/>
        <v>20201013</v>
      </c>
      <c r="C277" s="273" t="s">
        <v>19</v>
      </c>
      <c r="D277" s="273">
        <v>5</v>
      </c>
      <c r="E277" s="273" t="s">
        <v>1638</v>
      </c>
      <c r="F277" s="273" t="str">
        <f>_xlfn.CONCAT(C277:D277)</f>
        <v>B5</v>
      </c>
      <c r="G277" s="273" t="str">
        <f t="shared" si="29"/>
        <v/>
      </c>
      <c r="H277" s="273"/>
      <c r="I277" s="273"/>
      <c r="J277" s="273"/>
      <c r="K277" s="273"/>
      <c r="L277" s="273"/>
      <c r="M277" s="273"/>
      <c r="N277" s="273"/>
      <c r="O277" s="273"/>
      <c r="P277" s="273"/>
      <c r="Q277" s="273"/>
      <c r="R277" s="273"/>
      <c r="S277" s="273"/>
      <c r="T277" s="273"/>
      <c r="U277" s="273"/>
      <c r="V277" s="273"/>
    </row>
    <row r="278" spans="1:22">
      <c r="A278" s="77">
        <v>44117</v>
      </c>
      <c r="B278" s="51" t="str">
        <f t="shared" si="28"/>
        <v>20201013</v>
      </c>
      <c r="C278" s="273" t="s">
        <v>16</v>
      </c>
      <c r="D278" s="273">
        <v>28</v>
      </c>
      <c r="E278" s="273" t="s">
        <v>1638</v>
      </c>
      <c r="F278" s="273" t="str">
        <f>_xlfn.CONCAT(C278:D278)</f>
        <v>D28</v>
      </c>
      <c r="G278" s="273" t="str">
        <f t="shared" si="29"/>
        <v/>
      </c>
      <c r="H278" s="273"/>
      <c r="I278" s="273"/>
      <c r="J278" s="273"/>
      <c r="K278" s="273"/>
      <c r="L278" s="273"/>
      <c r="M278" s="273"/>
      <c r="N278" s="273"/>
      <c r="O278" s="273"/>
      <c r="P278" s="273"/>
      <c r="Q278" s="273"/>
      <c r="R278" s="273"/>
      <c r="S278" s="273"/>
      <c r="T278" s="273"/>
      <c r="U278" s="273"/>
      <c r="V278" s="273"/>
    </row>
    <row r="279" spans="1:22">
      <c r="A279" s="77">
        <v>44118</v>
      </c>
      <c r="B279" s="51" t="str">
        <f t="shared" si="28"/>
        <v>20201014</v>
      </c>
      <c r="C279" s="273" t="s">
        <v>11</v>
      </c>
      <c r="D279" s="273">
        <v>30</v>
      </c>
      <c r="E279" s="273" t="s">
        <v>1627</v>
      </c>
      <c r="F279" s="273" t="str">
        <f t="shared" ref="F279:F339" si="30">_xlfn.CONCAT(C279:D279)</f>
        <v>C30</v>
      </c>
      <c r="G279" s="273" t="str">
        <f t="shared" si="29"/>
        <v/>
      </c>
      <c r="H279" s="273"/>
      <c r="I279" s="273"/>
      <c r="J279" s="273"/>
      <c r="K279" s="273"/>
      <c r="L279" s="273"/>
      <c r="M279" s="273"/>
      <c r="N279" s="273"/>
      <c r="O279" s="273"/>
      <c r="P279" s="273"/>
      <c r="Q279" s="273"/>
      <c r="R279" s="273"/>
      <c r="S279" s="273"/>
      <c r="T279" s="273"/>
      <c r="U279" s="273"/>
      <c r="V279" s="273"/>
    </row>
    <row r="280" spans="1:22">
      <c r="A280" s="77">
        <v>44118</v>
      </c>
      <c r="B280" s="51" t="str">
        <f t="shared" si="28"/>
        <v>20201014</v>
      </c>
      <c r="C280" s="273" t="s">
        <v>11</v>
      </c>
      <c r="D280" s="273">
        <v>31</v>
      </c>
      <c r="E280" s="273" t="s">
        <v>1627</v>
      </c>
      <c r="F280" s="273" t="str">
        <f t="shared" si="30"/>
        <v>C31</v>
      </c>
      <c r="G280" s="273" t="str">
        <f t="shared" si="29"/>
        <v/>
      </c>
      <c r="H280" s="273"/>
      <c r="I280" s="273"/>
      <c r="J280" s="273"/>
      <c r="K280" s="273"/>
      <c r="L280" s="273"/>
      <c r="M280" s="273"/>
      <c r="N280" s="273"/>
      <c r="O280" s="273"/>
      <c r="P280" s="273"/>
      <c r="Q280" s="273"/>
      <c r="R280" s="273"/>
      <c r="S280" s="273"/>
      <c r="T280" s="273"/>
      <c r="U280" s="273"/>
      <c r="V280" s="273"/>
    </row>
    <row r="281" spans="1:22">
      <c r="A281" s="77">
        <v>44118</v>
      </c>
      <c r="B281" s="51" t="str">
        <f t="shared" si="28"/>
        <v>20201014</v>
      </c>
      <c r="C281" s="273" t="s">
        <v>11</v>
      </c>
      <c r="D281" s="273">
        <v>32</v>
      </c>
      <c r="E281" s="273" t="s">
        <v>1627</v>
      </c>
      <c r="F281" s="273" t="str">
        <f t="shared" si="30"/>
        <v>C32</v>
      </c>
      <c r="G281" s="273" t="str">
        <f t="shared" si="29"/>
        <v/>
      </c>
      <c r="H281" s="273"/>
      <c r="I281" s="273"/>
      <c r="J281" s="273"/>
      <c r="K281" s="273"/>
      <c r="L281" s="273"/>
      <c r="M281" s="273"/>
      <c r="N281" s="273"/>
      <c r="O281" s="273"/>
      <c r="P281" s="273"/>
      <c r="Q281" s="273"/>
      <c r="R281" s="273"/>
      <c r="S281" s="273"/>
      <c r="T281" s="273"/>
      <c r="U281" s="273"/>
      <c r="V281" s="273"/>
    </row>
    <row r="282" spans="1:22">
      <c r="A282" s="77">
        <v>44118</v>
      </c>
      <c r="B282" s="51" t="str">
        <f t="shared" si="28"/>
        <v>20201014</v>
      </c>
      <c r="C282" s="273" t="s">
        <v>11</v>
      </c>
      <c r="D282" s="273">
        <v>33</v>
      </c>
      <c r="E282" s="273" t="s">
        <v>1627</v>
      </c>
      <c r="F282" s="273" t="str">
        <f t="shared" si="30"/>
        <v>C33</v>
      </c>
      <c r="G282" s="273" t="str">
        <f t="shared" si="29"/>
        <v/>
      </c>
      <c r="H282" s="273"/>
      <c r="I282" s="273"/>
      <c r="J282" s="273"/>
      <c r="K282" s="273"/>
      <c r="L282" s="273"/>
      <c r="M282" s="273"/>
      <c r="N282" s="273"/>
      <c r="O282" s="273"/>
      <c r="P282" s="273"/>
      <c r="Q282" s="273"/>
      <c r="R282" s="273"/>
      <c r="S282" s="273"/>
      <c r="T282" s="273"/>
      <c r="U282" s="273"/>
      <c r="V282" s="273"/>
    </row>
    <row r="283" spans="1:22">
      <c r="A283" s="77">
        <v>44113</v>
      </c>
      <c r="B283" s="51" t="str">
        <f t="shared" si="28"/>
        <v>20201009</v>
      </c>
      <c r="C283" s="273" t="s">
        <v>16</v>
      </c>
      <c r="D283" s="273">
        <v>41</v>
      </c>
      <c r="E283" s="273" t="s">
        <v>1627</v>
      </c>
      <c r="F283" s="273" t="str">
        <f t="shared" si="30"/>
        <v>D41</v>
      </c>
      <c r="G283" s="273" t="str">
        <f t="shared" si="29"/>
        <v/>
      </c>
      <c r="H283" s="273"/>
      <c r="I283" s="273"/>
      <c r="J283" s="273"/>
      <c r="K283" s="273"/>
      <c r="L283" s="273"/>
      <c r="M283" s="273"/>
      <c r="N283" s="273"/>
      <c r="O283" s="273"/>
      <c r="P283" s="273"/>
      <c r="Q283" s="273"/>
      <c r="R283" s="273"/>
      <c r="S283" s="273"/>
      <c r="T283" s="273"/>
      <c r="U283" s="273"/>
      <c r="V283" s="273"/>
    </row>
    <row r="284" spans="1:22">
      <c r="A284" s="77">
        <v>44113</v>
      </c>
      <c r="B284" s="51" t="str">
        <f t="shared" si="28"/>
        <v>20201009</v>
      </c>
      <c r="C284" s="273" t="s">
        <v>16</v>
      </c>
      <c r="D284" s="273">
        <v>42</v>
      </c>
      <c r="E284" s="273" t="s">
        <v>1627</v>
      </c>
      <c r="F284" s="273" t="str">
        <f t="shared" si="30"/>
        <v>D42</v>
      </c>
      <c r="G284" s="273" t="str">
        <f t="shared" si="29"/>
        <v/>
      </c>
      <c r="H284" s="273"/>
      <c r="I284" s="273"/>
      <c r="J284" s="273"/>
      <c r="K284" s="273"/>
      <c r="L284" s="273"/>
      <c r="M284" s="273"/>
      <c r="N284" s="273"/>
      <c r="O284" s="273"/>
      <c r="P284" s="273"/>
      <c r="Q284" s="273"/>
      <c r="R284" s="273"/>
      <c r="S284" s="273"/>
      <c r="T284" s="273"/>
      <c r="U284" s="273"/>
      <c r="V284" s="273"/>
    </row>
    <row r="285" spans="1:22">
      <c r="A285" s="77">
        <v>44118</v>
      </c>
      <c r="B285" s="51" t="str">
        <f t="shared" si="28"/>
        <v>20201014</v>
      </c>
      <c r="C285" s="273" t="s">
        <v>16</v>
      </c>
      <c r="D285" s="273">
        <v>41</v>
      </c>
      <c r="E285" s="273" t="s">
        <v>1629</v>
      </c>
      <c r="F285" s="273" t="str">
        <f t="shared" si="30"/>
        <v>D41</v>
      </c>
      <c r="G285" s="273">
        <f t="shared" ca="1" si="29"/>
        <v>108</v>
      </c>
      <c r="H285" s="273"/>
      <c r="I285" s="273"/>
      <c r="J285" s="273"/>
      <c r="K285" s="273"/>
      <c r="L285" s="273"/>
      <c r="M285" s="273"/>
      <c r="N285" s="273"/>
      <c r="O285" s="273"/>
      <c r="P285" s="273"/>
      <c r="Q285" s="273"/>
      <c r="R285" s="273"/>
      <c r="S285" s="273"/>
      <c r="T285" s="273"/>
      <c r="U285" s="273"/>
      <c r="V285" s="273"/>
    </row>
    <row r="286" spans="1:22">
      <c r="A286" s="77">
        <v>44118</v>
      </c>
      <c r="B286" s="51" t="str">
        <f t="shared" si="28"/>
        <v>20201014</v>
      </c>
      <c r="C286" s="273" t="s">
        <v>16</v>
      </c>
      <c r="D286" s="273">
        <v>42</v>
      </c>
      <c r="E286" s="273" t="s">
        <v>1629</v>
      </c>
      <c r="F286" s="273" t="str">
        <f t="shared" si="30"/>
        <v>D42</v>
      </c>
      <c r="G286" s="273">
        <f t="shared" ca="1" si="29"/>
        <v>108</v>
      </c>
      <c r="H286" s="273"/>
      <c r="I286" s="273"/>
      <c r="J286" s="273"/>
      <c r="K286" s="273"/>
      <c r="L286" s="273"/>
      <c r="M286" s="273"/>
      <c r="N286" s="273"/>
      <c r="O286" s="273"/>
      <c r="P286" s="273"/>
      <c r="Q286" s="273"/>
      <c r="R286" s="273"/>
      <c r="S286" s="273"/>
      <c r="T286" s="273"/>
      <c r="U286" s="273"/>
      <c r="V286" s="273"/>
    </row>
    <row r="287" spans="1:22">
      <c r="A287" s="77">
        <v>44120</v>
      </c>
      <c r="B287" s="51" t="str">
        <f t="shared" si="28"/>
        <v>20201016</v>
      </c>
      <c r="C287" s="273" t="s">
        <v>16</v>
      </c>
      <c r="D287" s="273">
        <v>31</v>
      </c>
      <c r="E287" s="273" t="s">
        <v>1638</v>
      </c>
      <c r="F287" s="273" t="str">
        <f t="shared" si="30"/>
        <v>D31</v>
      </c>
      <c r="G287" s="273" t="str">
        <f t="shared" si="29"/>
        <v/>
      </c>
      <c r="H287" s="273"/>
      <c r="I287" s="273"/>
      <c r="J287" s="273"/>
      <c r="K287" s="273"/>
      <c r="L287" s="273"/>
      <c r="M287" s="273"/>
      <c r="N287" s="273"/>
      <c r="O287" s="273"/>
      <c r="P287" s="273"/>
      <c r="Q287" s="273"/>
      <c r="R287" s="273"/>
      <c r="S287" s="273"/>
      <c r="T287" s="273"/>
      <c r="U287" s="273"/>
      <c r="V287" s="273"/>
    </row>
    <row r="288" spans="1:22">
      <c r="A288" s="77">
        <v>44120</v>
      </c>
      <c r="B288" s="51" t="str">
        <f t="shared" si="28"/>
        <v>20201016</v>
      </c>
      <c r="C288" s="273" t="s">
        <v>16</v>
      </c>
      <c r="D288" s="273">
        <v>43</v>
      </c>
      <c r="E288" s="273" t="s">
        <v>1627</v>
      </c>
      <c r="F288" s="273" t="str">
        <f t="shared" si="30"/>
        <v>D43</v>
      </c>
      <c r="G288" s="273" t="str">
        <f t="shared" si="29"/>
        <v/>
      </c>
      <c r="H288" s="273"/>
      <c r="I288" s="273"/>
      <c r="J288" s="273"/>
      <c r="K288" s="273"/>
      <c r="L288" s="273"/>
      <c r="M288" s="273"/>
      <c r="N288" s="273"/>
      <c r="O288" s="273"/>
      <c r="P288" s="273"/>
      <c r="Q288" s="273"/>
      <c r="R288" s="273"/>
      <c r="S288" s="273"/>
      <c r="T288" s="273"/>
      <c r="U288" s="273"/>
      <c r="V288" s="273"/>
    </row>
    <row r="289" spans="1:22">
      <c r="A289" s="77">
        <v>44123</v>
      </c>
      <c r="B289" s="51" t="str">
        <f t="shared" si="28"/>
        <v>20201019</v>
      </c>
      <c r="C289" s="273" t="s">
        <v>8</v>
      </c>
      <c r="D289" s="273">
        <v>11</v>
      </c>
      <c r="E289" s="273" t="s">
        <v>1627</v>
      </c>
      <c r="F289" s="273" t="str">
        <f t="shared" si="30"/>
        <v>A11</v>
      </c>
      <c r="G289" s="273" t="str">
        <f t="shared" si="29"/>
        <v/>
      </c>
      <c r="H289" s="273"/>
      <c r="I289" s="273"/>
      <c r="J289" s="273"/>
      <c r="K289" s="273"/>
      <c r="L289" s="273"/>
      <c r="M289" s="273"/>
      <c r="N289" s="273"/>
      <c r="O289" s="273"/>
      <c r="P289" s="273"/>
      <c r="Q289" s="273"/>
      <c r="R289" s="273"/>
      <c r="S289" s="273"/>
      <c r="T289" s="273"/>
      <c r="U289" s="273"/>
      <c r="V289" s="273"/>
    </row>
    <row r="290" spans="1:22">
      <c r="A290" s="77">
        <v>44123</v>
      </c>
      <c r="B290" s="51" t="str">
        <f t="shared" si="28"/>
        <v>20201019</v>
      </c>
      <c r="C290" s="273" t="s">
        <v>8</v>
      </c>
      <c r="D290" s="273">
        <v>12</v>
      </c>
      <c r="E290" s="273" t="s">
        <v>1627</v>
      </c>
      <c r="F290" s="273" t="str">
        <f t="shared" si="30"/>
        <v>A12</v>
      </c>
      <c r="G290" s="273" t="str">
        <f t="shared" si="29"/>
        <v/>
      </c>
      <c r="H290" s="273"/>
      <c r="I290" s="273"/>
      <c r="J290" s="273"/>
      <c r="K290" s="273"/>
      <c r="L290" s="273"/>
      <c r="M290" s="273"/>
      <c r="N290" s="273"/>
      <c r="O290" s="273"/>
      <c r="P290" s="273"/>
      <c r="Q290" s="273"/>
      <c r="R290" s="273"/>
      <c r="S290" s="273"/>
      <c r="T290" s="273"/>
      <c r="U290" s="273"/>
      <c r="V290" s="273"/>
    </row>
    <row r="291" spans="1:22">
      <c r="A291" s="77">
        <v>44123</v>
      </c>
      <c r="B291" s="51" t="str">
        <f t="shared" si="28"/>
        <v>20201019</v>
      </c>
      <c r="C291" s="273" t="s">
        <v>16</v>
      </c>
      <c r="D291" s="273">
        <v>43</v>
      </c>
      <c r="E291" s="273" t="s">
        <v>1629</v>
      </c>
      <c r="F291" s="273" t="str">
        <f t="shared" si="30"/>
        <v>D43</v>
      </c>
      <c r="G291" s="273">
        <f t="shared" ca="1" si="29"/>
        <v>103</v>
      </c>
      <c r="H291" s="273"/>
      <c r="I291" s="273"/>
      <c r="J291" s="273"/>
      <c r="K291" s="273"/>
      <c r="L291" s="273"/>
      <c r="M291" s="273"/>
      <c r="N291" s="273"/>
      <c r="O291" s="273"/>
      <c r="P291" s="273"/>
      <c r="Q291" s="273"/>
      <c r="R291" s="273"/>
      <c r="S291" s="273"/>
      <c r="T291" s="273"/>
      <c r="U291" s="273"/>
      <c r="V291" s="273"/>
    </row>
    <row r="292" spans="1:22">
      <c r="A292" s="77">
        <v>44123</v>
      </c>
      <c r="B292" s="51" t="str">
        <f t="shared" si="28"/>
        <v>20201019</v>
      </c>
      <c r="C292" s="273" t="s">
        <v>11</v>
      </c>
      <c r="D292" s="273">
        <v>30</v>
      </c>
      <c r="E292" s="273" t="s">
        <v>1629</v>
      </c>
      <c r="F292" s="273" t="str">
        <f t="shared" si="30"/>
        <v>C30</v>
      </c>
      <c r="G292" s="273">
        <f t="shared" ca="1" si="29"/>
        <v>103</v>
      </c>
      <c r="H292" s="273"/>
      <c r="I292" s="273"/>
      <c r="J292" s="273"/>
      <c r="K292" s="273"/>
      <c r="L292" s="273"/>
      <c r="M292" s="273"/>
      <c r="N292" s="273"/>
      <c r="O292" s="273"/>
      <c r="P292" s="273"/>
      <c r="Q292" s="273"/>
      <c r="R292" s="273"/>
      <c r="S292" s="273"/>
      <c r="T292" s="273"/>
      <c r="U292" s="273"/>
      <c r="V292" s="273"/>
    </row>
    <row r="293" spans="1:22">
      <c r="A293" s="77">
        <v>44123</v>
      </c>
      <c r="B293" s="51" t="str">
        <f t="shared" si="28"/>
        <v>20201019</v>
      </c>
      <c r="C293" s="273" t="s">
        <v>11</v>
      </c>
      <c r="D293" s="273">
        <v>31</v>
      </c>
      <c r="E293" s="273" t="s">
        <v>1629</v>
      </c>
      <c r="F293" s="273" t="str">
        <f t="shared" si="30"/>
        <v>C31</v>
      </c>
      <c r="G293" s="273">
        <f t="shared" ca="1" si="29"/>
        <v>103</v>
      </c>
      <c r="H293" s="273"/>
      <c r="I293" s="273"/>
      <c r="J293" s="273"/>
      <c r="K293" s="273"/>
      <c r="L293" s="273"/>
      <c r="M293" s="273"/>
      <c r="N293" s="273"/>
      <c r="O293" s="273"/>
      <c r="P293" s="273"/>
      <c r="Q293" s="273"/>
      <c r="R293" s="273"/>
      <c r="S293" s="273"/>
      <c r="T293" s="273"/>
      <c r="U293" s="273"/>
      <c r="V293" s="273"/>
    </row>
    <row r="294" spans="1:22">
      <c r="A294" s="77">
        <v>44123</v>
      </c>
      <c r="B294" s="51" t="str">
        <f t="shared" si="28"/>
        <v>20201019</v>
      </c>
      <c r="C294" s="273" t="s">
        <v>11</v>
      </c>
      <c r="D294" s="273">
        <v>32</v>
      </c>
      <c r="E294" s="273" t="s">
        <v>1629</v>
      </c>
      <c r="F294" s="273" t="str">
        <f t="shared" si="30"/>
        <v>C32</v>
      </c>
      <c r="G294" s="273">
        <f t="shared" ca="1" si="29"/>
        <v>103</v>
      </c>
      <c r="H294" s="273"/>
      <c r="I294" s="273"/>
      <c r="J294" s="273"/>
      <c r="K294" s="273"/>
      <c r="L294" s="273"/>
      <c r="M294" s="273"/>
      <c r="N294" s="273"/>
      <c r="O294" s="273"/>
      <c r="P294" s="273"/>
      <c r="Q294" s="273"/>
      <c r="R294" s="273"/>
      <c r="S294" s="273"/>
      <c r="T294" s="273"/>
      <c r="U294" s="273"/>
      <c r="V294" s="273"/>
    </row>
    <row r="295" spans="1:22">
      <c r="A295" s="77">
        <v>44123</v>
      </c>
      <c r="B295" s="51" t="str">
        <f t="shared" si="28"/>
        <v>20201019</v>
      </c>
      <c r="C295" s="273" t="s">
        <v>11</v>
      </c>
      <c r="D295" s="273">
        <v>33</v>
      </c>
      <c r="E295" s="273" t="s">
        <v>1629</v>
      </c>
      <c r="F295" s="273" t="str">
        <f t="shared" si="30"/>
        <v>C33</v>
      </c>
      <c r="G295" s="273">
        <f t="shared" ca="1" si="29"/>
        <v>103</v>
      </c>
      <c r="H295" s="273"/>
      <c r="I295" s="273"/>
      <c r="J295" s="273"/>
      <c r="K295" s="273"/>
      <c r="L295" s="273"/>
      <c r="M295" s="273"/>
      <c r="N295" s="273"/>
      <c r="O295" s="273"/>
      <c r="P295" s="273"/>
      <c r="Q295" s="273"/>
      <c r="R295" s="273"/>
      <c r="S295" s="273"/>
      <c r="T295" s="273"/>
      <c r="U295" s="273"/>
      <c r="V295" s="273"/>
    </row>
    <row r="296" spans="1:22">
      <c r="A296" s="77">
        <v>44123</v>
      </c>
      <c r="B296" s="51" t="str">
        <f t="shared" si="28"/>
        <v>20201019</v>
      </c>
      <c r="C296" s="273" t="s">
        <v>19</v>
      </c>
      <c r="D296" s="273">
        <v>7</v>
      </c>
      <c r="E296" s="273" t="s">
        <v>1638</v>
      </c>
      <c r="F296" s="273" t="str">
        <f t="shared" si="30"/>
        <v>B7</v>
      </c>
      <c r="G296" s="273" t="str">
        <f t="shared" si="29"/>
        <v/>
      </c>
      <c r="H296" s="273"/>
      <c r="I296" s="273"/>
      <c r="J296" s="273"/>
      <c r="K296" s="273"/>
      <c r="L296" s="273"/>
      <c r="M296" s="273"/>
      <c r="N296" s="273"/>
      <c r="O296" s="273"/>
      <c r="P296" s="273"/>
      <c r="Q296" s="273"/>
      <c r="R296" s="273"/>
      <c r="S296" s="273"/>
      <c r="T296" s="273"/>
      <c r="U296" s="273"/>
      <c r="V296" s="273"/>
    </row>
    <row r="297" spans="1:22">
      <c r="A297" s="77">
        <v>44123</v>
      </c>
      <c r="B297" s="51" t="str">
        <f t="shared" si="28"/>
        <v>20201019</v>
      </c>
      <c r="C297" s="273" t="s">
        <v>19</v>
      </c>
      <c r="D297" s="273">
        <v>8</v>
      </c>
      <c r="E297" s="273" t="s">
        <v>1638</v>
      </c>
      <c r="F297" s="273" t="str">
        <f t="shared" si="30"/>
        <v>B8</v>
      </c>
      <c r="G297" s="273" t="str">
        <f t="shared" si="29"/>
        <v/>
      </c>
      <c r="H297" s="273"/>
      <c r="I297" s="273"/>
      <c r="J297" s="273"/>
      <c r="K297" s="273"/>
      <c r="L297" s="273"/>
      <c r="M297" s="273"/>
      <c r="N297" s="273"/>
      <c r="O297" s="273"/>
      <c r="P297" s="273"/>
      <c r="Q297" s="273"/>
      <c r="R297" s="273"/>
      <c r="S297" s="273"/>
      <c r="T297" s="273"/>
      <c r="U297" s="273"/>
      <c r="V297" s="273"/>
    </row>
    <row r="298" spans="1:22">
      <c r="A298" s="77">
        <v>44123</v>
      </c>
      <c r="B298" s="51" t="str">
        <f t="shared" si="28"/>
        <v>20201019</v>
      </c>
      <c r="C298" s="273" t="s">
        <v>11</v>
      </c>
      <c r="D298" s="273">
        <v>23</v>
      </c>
      <c r="E298" s="273" t="s">
        <v>1638</v>
      </c>
      <c r="F298" s="273" t="str">
        <f t="shared" si="30"/>
        <v>C23</v>
      </c>
      <c r="G298" s="273" t="str">
        <f t="shared" si="29"/>
        <v/>
      </c>
      <c r="H298" s="273"/>
      <c r="I298" s="273"/>
      <c r="J298" s="273"/>
      <c r="K298" s="273"/>
      <c r="L298" s="273"/>
      <c r="M298" s="273"/>
      <c r="N298" s="273"/>
      <c r="O298" s="273"/>
      <c r="P298" s="273"/>
      <c r="Q298" s="273"/>
      <c r="R298" s="273"/>
      <c r="S298" s="273"/>
      <c r="T298" s="273"/>
      <c r="U298" s="273"/>
      <c r="V298" s="273"/>
    </row>
    <row r="299" spans="1:22">
      <c r="A299" s="77">
        <v>44123</v>
      </c>
      <c r="B299" s="51" t="str">
        <f t="shared" si="28"/>
        <v>20201019</v>
      </c>
      <c r="C299" s="273" t="s">
        <v>16</v>
      </c>
      <c r="D299" s="273">
        <v>29</v>
      </c>
      <c r="E299" s="273" t="s">
        <v>1638</v>
      </c>
      <c r="F299" s="273" t="str">
        <f t="shared" si="30"/>
        <v>D29</v>
      </c>
      <c r="G299" s="273" t="str">
        <f t="shared" si="29"/>
        <v/>
      </c>
      <c r="H299" s="273"/>
      <c r="I299" s="273"/>
      <c r="J299" s="273"/>
      <c r="K299" s="273"/>
      <c r="L299" s="273"/>
      <c r="M299" s="273"/>
      <c r="N299" s="273"/>
      <c r="O299" s="273"/>
      <c r="P299" s="273"/>
      <c r="Q299" s="273"/>
      <c r="R299" s="273"/>
      <c r="S299" s="273"/>
      <c r="T299" s="273"/>
      <c r="U299" s="273"/>
      <c r="V299" s="273"/>
    </row>
    <row r="300" spans="1:22">
      <c r="A300" s="77">
        <v>44123</v>
      </c>
      <c r="B300" s="51" t="str">
        <f t="shared" si="28"/>
        <v>20201019</v>
      </c>
      <c r="C300" s="273" t="s">
        <v>16</v>
      </c>
      <c r="D300" s="273">
        <v>30</v>
      </c>
      <c r="E300" s="273" t="s">
        <v>1638</v>
      </c>
      <c r="F300" s="273" t="str">
        <f t="shared" si="30"/>
        <v>D30</v>
      </c>
      <c r="G300" s="273" t="str">
        <f t="shared" si="29"/>
        <v/>
      </c>
      <c r="H300" s="273"/>
      <c r="I300" s="273"/>
      <c r="J300" s="273"/>
      <c r="K300" s="273"/>
      <c r="L300" s="273"/>
      <c r="M300" s="273"/>
      <c r="N300" s="273"/>
      <c r="O300" s="273"/>
      <c r="P300" s="273"/>
      <c r="Q300" s="273"/>
      <c r="R300" s="273"/>
      <c r="S300" s="273"/>
      <c r="T300" s="273"/>
      <c r="U300" s="273"/>
      <c r="V300" s="273"/>
    </row>
    <row r="301" spans="1:22">
      <c r="A301" s="77">
        <v>44123</v>
      </c>
      <c r="B301" s="51" t="str">
        <f t="shared" si="28"/>
        <v>20201019</v>
      </c>
      <c r="C301" s="273" t="s">
        <v>24</v>
      </c>
      <c r="D301" s="273">
        <v>3</v>
      </c>
      <c r="E301" s="273" t="s">
        <v>1627</v>
      </c>
      <c r="F301" s="273" t="str">
        <f t="shared" si="30"/>
        <v>E3</v>
      </c>
      <c r="G301" s="273" t="str">
        <f t="shared" si="29"/>
        <v/>
      </c>
      <c r="H301" s="273"/>
      <c r="I301" s="273"/>
      <c r="J301" s="273"/>
      <c r="K301" s="273"/>
      <c r="L301" s="273"/>
      <c r="M301" s="273"/>
      <c r="N301" s="273"/>
      <c r="O301" s="273"/>
      <c r="P301" s="273"/>
      <c r="Q301" s="273"/>
      <c r="R301" s="273"/>
      <c r="S301" s="273"/>
      <c r="T301" s="273"/>
      <c r="U301" s="273"/>
      <c r="V301" s="273"/>
    </row>
    <row r="302" spans="1:22">
      <c r="A302" s="77">
        <v>44123</v>
      </c>
      <c r="B302" s="51" t="str">
        <f t="shared" si="28"/>
        <v>20201019</v>
      </c>
      <c r="C302" s="273" t="s">
        <v>24</v>
      </c>
      <c r="D302" s="273">
        <v>4</v>
      </c>
      <c r="E302" s="273" t="s">
        <v>1627</v>
      </c>
      <c r="F302" s="273" t="str">
        <f t="shared" si="30"/>
        <v>E4</v>
      </c>
      <c r="G302" s="273" t="str">
        <f t="shared" si="29"/>
        <v/>
      </c>
      <c r="H302" s="273"/>
      <c r="I302" s="273"/>
      <c r="J302" s="273"/>
      <c r="K302" s="273"/>
      <c r="L302" s="273"/>
      <c r="M302" s="273"/>
      <c r="N302" s="273"/>
      <c r="O302" s="273"/>
      <c r="P302" s="273"/>
      <c r="Q302" s="273"/>
      <c r="R302" s="273"/>
      <c r="S302" s="273"/>
      <c r="T302" s="273"/>
      <c r="U302" s="273"/>
      <c r="V302" s="273"/>
    </row>
    <row r="303" spans="1:22">
      <c r="A303" s="77">
        <v>44123</v>
      </c>
      <c r="B303" s="51" t="str">
        <f t="shared" si="28"/>
        <v>20201019</v>
      </c>
      <c r="C303" s="273" t="s">
        <v>16</v>
      </c>
      <c r="D303" s="273">
        <v>44</v>
      </c>
      <c r="E303" s="273" t="s">
        <v>1627</v>
      </c>
      <c r="F303" s="273" t="str">
        <f t="shared" si="30"/>
        <v>D44</v>
      </c>
      <c r="G303" s="273" t="str">
        <f t="shared" si="29"/>
        <v/>
      </c>
      <c r="H303" s="273"/>
      <c r="I303" s="273"/>
      <c r="J303" s="273"/>
      <c r="K303" s="273"/>
      <c r="L303" s="273"/>
      <c r="M303" s="273"/>
      <c r="N303" s="273"/>
      <c r="O303" s="273"/>
      <c r="P303" s="273"/>
      <c r="Q303" s="273"/>
      <c r="R303" s="273"/>
      <c r="S303" s="273"/>
      <c r="T303" s="273"/>
      <c r="U303" s="273"/>
      <c r="V303" s="273"/>
    </row>
    <row r="304" spans="1:22">
      <c r="A304" s="77">
        <v>44123</v>
      </c>
      <c r="B304" s="51" t="str">
        <f t="shared" si="28"/>
        <v>20201019</v>
      </c>
      <c r="C304" s="273" t="s">
        <v>16</v>
      </c>
      <c r="D304" s="273">
        <v>45</v>
      </c>
      <c r="E304" s="273" t="s">
        <v>1627</v>
      </c>
      <c r="F304" s="273" t="str">
        <f t="shared" si="30"/>
        <v>D45</v>
      </c>
      <c r="G304" s="273" t="str">
        <f t="shared" si="29"/>
        <v/>
      </c>
      <c r="H304" s="273"/>
      <c r="I304" s="273"/>
      <c r="J304" s="273"/>
      <c r="K304" s="273"/>
      <c r="L304" s="273"/>
      <c r="M304" s="273"/>
      <c r="N304" s="273"/>
      <c r="O304" s="273"/>
      <c r="P304" s="273"/>
      <c r="Q304" s="273"/>
      <c r="R304" s="273"/>
      <c r="S304" s="273"/>
      <c r="T304" s="273"/>
      <c r="U304" s="273"/>
      <c r="V304" s="273"/>
    </row>
    <row r="305" spans="1:22">
      <c r="A305" s="77">
        <v>44123</v>
      </c>
      <c r="B305" s="51" t="str">
        <f>TEXT(A305, "yyyymmdd")</f>
        <v>20201019</v>
      </c>
      <c r="C305" s="273" t="s">
        <v>16</v>
      </c>
      <c r="D305" s="273">
        <v>46</v>
      </c>
      <c r="E305" s="273" t="s">
        <v>1627</v>
      </c>
      <c r="F305" s="273" t="str">
        <f t="shared" si="30"/>
        <v>D46</v>
      </c>
      <c r="G305" s="273" t="str">
        <f>IF(E305="Light",$O$8-A305,"")</f>
        <v/>
      </c>
      <c r="H305" s="273"/>
      <c r="I305" s="273"/>
      <c r="J305" s="273"/>
      <c r="K305" s="273"/>
      <c r="L305" s="273"/>
      <c r="M305" s="273"/>
      <c r="N305" s="273"/>
      <c r="O305" s="273"/>
      <c r="P305" s="273"/>
      <c r="Q305" s="273"/>
      <c r="R305" s="273"/>
      <c r="S305" s="273"/>
      <c r="T305" s="273"/>
      <c r="U305" s="273"/>
      <c r="V305" s="273"/>
    </row>
    <row r="306" spans="1:22">
      <c r="A306" s="77">
        <v>44123</v>
      </c>
      <c r="B306" s="51" t="str">
        <f>TEXT(A306, "yyyymmdd")</f>
        <v>20201019</v>
      </c>
      <c r="C306" s="273" t="s">
        <v>16</v>
      </c>
      <c r="D306" s="273">
        <v>47</v>
      </c>
      <c r="E306" s="273" t="s">
        <v>1627</v>
      </c>
      <c r="F306" s="273" t="str">
        <f t="shared" si="30"/>
        <v>D47</v>
      </c>
      <c r="G306" s="273" t="str">
        <f>IF(E306="Light",$O$8-A306,"")</f>
        <v/>
      </c>
      <c r="H306" s="273"/>
      <c r="I306" s="273"/>
      <c r="J306" s="273"/>
      <c r="K306" s="273"/>
      <c r="L306" s="273"/>
      <c r="M306" s="273"/>
      <c r="N306" s="273"/>
      <c r="O306" s="273"/>
      <c r="P306" s="273"/>
      <c r="Q306" s="273"/>
      <c r="R306" s="273"/>
      <c r="S306" s="273"/>
      <c r="T306" s="273"/>
      <c r="U306" s="273"/>
      <c r="V306" s="273"/>
    </row>
    <row r="307" spans="1:22">
      <c r="A307" s="77">
        <v>44125</v>
      </c>
      <c r="B307" s="51" t="str">
        <f t="shared" ref="B307:B308" si="31">TEXT(A307, "yyyymmdd")</f>
        <v>20201021</v>
      </c>
      <c r="C307" s="273" t="s">
        <v>16</v>
      </c>
      <c r="D307" s="273">
        <v>32</v>
      </c>
      <c r="E307" s="273" t="s">
        <v>1638</v>
      </c>
      <c r="F307" s="273" t="str">
        <f t="shared" si="30"/>
        <v>D32</v>
      </c>
      <c r="G307" s="273" t="str">
        <f>IF(E307="Light",$O$8-A307,"")</f>
        <v/>
      </c>
      <c r="H307" s="273"/>
      <c r="I307" s="273"/>
      <c r="J307" s="273"/>
      <c r="K307" s="273"/>
      <c r="L307" s="273"/>
      <c r="M307" s="273"/>
      <c r="N307" s="273"/>
      <c r="O307" s="273"/>
      <c r="P307" s="273"/>
      <c r="Q307" s="273"/>
      <c r="R307" s="273"/>
      <c r="S307" s="273"/>
      <c r="T307" s="273"/>
      <c r="U307" s="273"/>
      <c r="V307" s="273"/>
    </row>
    <row r="308" spans="1:22">
      <c r="A308" s="77">
        <v>44125</v>
      </c>
      <c r="B308" s="51" t="str">
        <f t="shared" si="31"/>
        <v>20201021</v>
      </c>
      <c r="C308" s="273" t="s">
        <v>11</v>
      </c>
      <c r="D308" s="273">
        <v>24</v>
      </c>
      <c r="E308" s="273" t="s">
        <v>1638</v>
      </c>
      <c r="F308" s="273" t="str">
        <f t="shared" si="30"/>
        <v>C24</v>
      </c>
      <c r="G308" s="273" t="str">
        <f>IF(E308="Light",$O$8-A308,"")</f>
        <v/>
      </c>
      <c r="H308" s="273"/>
      <c r="I308" s="273"/>
      <c r="J308" s="273"/>
      <c r="K308" s="273"/>
      <c r="L308" s="273"/>
      <c r="M308" s="273"/>
      <c r="N308" s="273"/>
      <c r="O308" s="273"/>
      <c r="P308" s="273"/>
      <c r="Q308" s="273"/>
      <c r="R308" s="273"/>
      <c r="S308" s="273"/>
      <c r="T308" s="273"/>
      <c r="U308" s="273"/>
      <c r="V308" s="273"/>
    </row>
    <row r="309" spans="1:22">
      <c r="A309" s="77">
        <v>44125</v>
      </c>
      <c r="B309" s="51" t="str">
        <f t="shared" ref="B309:B348" si="32">TEXT(A309, "yyyymmdd")</f>
        <v>20201021</v>
      </c>
      <c r="C309" s="273" t="s">
        <v>19</v>
      </c>
      <c r="D309" s="273">
        <v>6</v>
      </c>
      <c r="E309" s="273" t="s">
        <v>1638</v>
      </c>
      <c r="F309" s="273" t="str">
        <f t="shared" si="30"/>
        <v>B6</v>
      </c>
      <c r="G309" s="273" t="str">
        <f t="shared" ref="G309:G348" si="33">IF(E309="Light",$O$8-A309,"")</f>
        <v/>
      </c>
      <c r="H309" s="273"/>
      <c r="I309" s="273"/>
      <c r="J309" s="273"/>
      <c r="K309" s="273"/>
      <c r="L309" s="273"/>
      <c r="M309" s="273"/>
      <c r="N309" s="273"/>
      <c r="O309" s="273"/>
      <c r="P309" s="273"/>
      <c r="Q309" s="273"/>
      <c r="R309" s="273"/>
      <c r="S309" s="273"/>
      <c r="T309" s="273"/>
      <c r="U309" s="273"/>
      <c r="V309" s="273"/>
    </row>
    <row r="310" spans="1:22">
      <c r="A310" s="77">
        <v>44125</v>
      </c>
      <c r="B310" s="51" t="str">
        <f t="shared" si="32"/>
        <v>20201021</v>
      </c>
      <c r="C310" s="273" t="s">
        <v>19</v>
      </c>
      <c r="D310" s="273">
        <v>1</v>
      </c>
      <c r="E310" s="273" t="s">
        <v>1638</v>
      </c>
      <c r="F310" s="273" t="str">
        <f t="shared" si="30"/>
        <v>B1</v>
      </c>
      <c r="G310" s="273" t="str">
        <f t="shared" si="33"/>
        <v/>
      </c>
      <c r="H310" s="273"/>
      <c r="I310" s="273"/>
      <c r="J310" s="273"/>
      <c r="K310" s="273"/>
      <c r="L310" s="273"/>
      <c r="M310" s="273"/>
      <c r="N310" s="273"/>
      <c r="O310" s="273"/>
      <c r="P310" s="273"/>
      <c r="Q310" s="273"/>
      <c r="R310" s="273"/>
      <c r="S310" s="273"/>
      <c r="T310" s="273"/>
      <c r="U310" s="273"/>
      <c r="V310" s="273"/>
    </row>
    <row r="311" spans="1:22">
      <c r="A311" s="77">
        <v>44125</v>
      </c>
      <c r="B311" s="51" t="str">
        <f t="shared" si="32"/>
        <v>20201021</v>
      </c>
      <c r="C311" s="273" t="s">
        <v>19</v>
      </c>
      <c r="D311" s="273">
        <v>4</v>
      </c>
      <c r="E311" s="273" t="s">
        <v>1638</v>
      </c>
      <c r="F311" s="273" t="str">
        <f t="shared" si="30"/>
        <v>B4</v>
      </c>
      <c r="G311" s="273" t="str">
        <f t="shared" si="33"/>
        <v/>
      </c>
      <c r="H311" s="273"/>
      <c r="I311" s="273"/>
      <c r="J311" s="273"/>
      <c r="K311" s="273"/>
      <c r="L311" s="273"/>
      <c r="M311" s="273"/>
      <c r="N311" s="273"/>
      <c r="O311" s="273"/>
      <c r="P311" s="273"/>
      <c r="Q311" s="273"/>
      <c r="R311" s="273"/>
      <c r="S311" s="273"/>
      <c r="T311" s="273"/>
      <c r="U311" s="273"/>
      <c r="V311" s="273"/>
    </row>
    <row r="312" spans="1:22">
      <c r="A312" s="77">
        <v>44125</v>
      </c>
      <c r="B312" s="51" t="str">
        <f t="shared" si="32"/>
        <v>20201021</v>
      </c>
      <c r="C312" s="273" t="s">
        <v>11</v>
      </c>
      <c r="D312" s="273">
        <v>8</v>
      </c>
      <c r="E312" s="273" t="s">
        <v>1638</v>
      </c>
      <c r="F312" s="273" t="str">
        <f t="shared" si="30"/>
        <v>C8</v>
      </c>
      <c r="G312" s="273" t="str">
        <f t="shared" si="33"/>
        <v/>
      </c>
      <c r="H312" s="273"/>
      <c r="I312" s="273"/>
      <c r="J312" s="273"/>
      <c r="K312" s="273"/>
      <c r="L312" s="273"/>
      <c r="M312" s="273"/>
      <c r="N312" s="273"/>
      <c r="O312" s="273"/>
      <c r="P312" s="273"/>
      <c r="Q312" s="273"/>
      <c r="R312" s="273"/>
      <c r="S312" s="273"/>
      <c r="T312" s="273"/>
      <c r="U312" s="273"/>
      <c r="V312" s="273"/>
    </row>
    <row r="313" spans="1:22">
      <c r="A313" s="77">
        <v>44125</v>
      </c>
      <c r="B313" s="51" t="str">
        <f t="shared" si="32"/>
        <v>20201021</v>
      </c>
      <c r="C313" s="273" t="s">
        <v>16</v>
      </c>
      <c r="D313" s="273">
        <v>11</v>
      </c>
      <c r="E313" s="273" t="s">
        <v>1638</v>
      </c>
      <c r="F313" s="273" t="str">
        <f t="shared" si="30"/>
        <v>D11</v>
      </c>
      <c r="G313" s="273" t="str">
        <f t="shared" si="33"/>
        <v/>
      </c>
      <c r="H313" s="273"/>
      <c r="I313" s="273"/>
      <c r="J313" s="273"/>
      <c r="K313" s="273"/>
      <c r="L313" s="273"/>
      <c r="M313" s="273"/>
      <c r="N313" s="273"/>
      <c r="O313" s="273"/>
      <c r="P313" s="273"/>
      <c r="Q313" s="273"/>
      <c r="R313" s="273"/>
      <c r="S313" s="273"/>
      <c r="T313" s="273"/>
      <c r="U313" s="273"/>
      <c r="V313" s="273"/>
    </row>
    <row r="314" spans="1:22">
      <c r="A314" s="77">
        <v>44125</v>
      </c>
      <c r="B314" s="51" t="str">
        <f t="shared" si="32"/>
        <v>20201021</v>
      </c>
      <c r="C314" s="273" t="s">
        <v>16</v>
      </c>
      <c r="D314" s="273">
        <v>14</v>
      </c>
      <c r="E314" s="273" t="s">
        <v>1638</v>
      </c>
      <c r="F314" s="273" t="str">
        <f t="shared" si="30"/>
        <v>D14</v>
      </c>
      <c r="G314" s="273" t="str">
        <f t="shared" si="33"/>
        <v/>
      </c>
      <c r="H314" s="273"/>
      <c r="I314" s="273"/>
      <c r="J314" s="273"/>
      <c r="K314" s="273"/>
      <c r="L314" s="273"/>
      <c r="M314" s="273"/>
      <c r="N314" s="273"/>
      <c r="O314" s="273"/>
      <c r="P314" s="273"/>
      <c r="Q314" s="273"/>
      <c r="R314" s="273"/>
      <c r="S314" s="273"/>
      <c r="T314" s="273"/>
      <c r="U314" s="273"/>
      <c r="V314" s="273"/>
    </row>
    <row r="315" spans="1:22">
      <c r="A315" s="77">
        <v>44125</v>
      </c>
      <c r="B315" s="51" t="str">
        <f t="shared" si="32"/>
        <v>20201021</v>
      </c>
      <c r="C315" s="273" t="s">
        <v>16</v>
      </c>
      <c r="D315" s="273">
        <v>19</v>
      </c>
      <c r="E315" s="273" t="s">
        <v>1638</v>
      </c>
      <c r="F315" s="273" t="str">
        <f t="shared" si="30"/>
        <v>D19</v>
      </c>
      <c r="G315" s="273" t="str">
        <f t="shared" si="33"/>
        <v/>
      </c>
      <c r="H315" s="273"/>
      <c r="I315" s="273"/>
      <c r="J315" s="273"/>
      <c r="K315" s="273"/>
      <c r="L315" s="273"/>
      <c r="M315" s="273"/>
      <c r="N315" s="273"/>
      <c r="O315" s="273"/>
      <c r="P315" s="273"/>
      <c r="Q315" s="273"/>
      <c r="R315" s="273"/>
      <c r="S315" s="273"/>
      <c r="T315" s="273"/>
      <c r="U315" s="273"/>
      <c r="V315" s="273"/>
    </row>
    <row r="316" spans="1:22">
      <c r="A316" s="77">
        <v>44125</v>
      </c>
      <c r="B316" s="51" t="str">
        <f t="shared" si="32"/>
        <v>20201021</v>
      </c>
      <c r="C316" s="273" t="s">
        <v>16</v>
      </c>
      <c r="D316" s="273">
        <v>24</v>
      </c>
      <c r="E316" s="273" t="s">
        <v>1638</v>
      </c>
      <c r="F316" s="273" t="str">
        <f t="shared" si="30"/>
        <v>D24</v>
      </c>
      <c r="G316" s="273" t="str">
        <f t="shared" si="33"/>
        <v/>
      </c>
      <c r="H316" s="273"/>
      <c r="I316" s="273"/>
      <c r="J316" s="273"/>
      <c r="K316" s="273"/>
      <c r="L316" s="273"/>
      <c r="M316" s="273"/>
      <c r="N316" s="273"/>
      <c r="O316" s="273"/>
      <c r="P316" s="273"/>
      <c r="Q316" s="273"/>
      <c r="R316" s="273"/>
      <c r="S316" s="273"/>
      <c r="T316" s="273"/>
      <c r="U316" s="273"/>
      <c r="V316" s="273"/>
    </row>
    <row r="317" spans="1:22">
      <c r="A317" s="77">
        <v>44125</v>
      </c>
      <c r="B317" s="51" t="str">
        <f t="shared" si="32"/>
        <v>20201021</v>
      </c>
      <c r="C317" s="273" t="s">
        <v>16</v>
      </c>
      <c r="D317" s="273">
        <v>3</v>
      </c>
      <c r="E317" s="273" t="s">
        <v>1638</v>
      </c>
      <c r="F317" s="273" t="str">
        <f t="shared" si="30"/>
        <v>D3</v>
      </c>
      <c r="G317" s="273" t="str">
        <f>IF(E317="Light",$O$8-A317,"")</f>
        <v/>
      </c>
      <c r="H317" s="273"/>
      <c r="I317" s="273"/>
      <c r="J317" s="273"/>
      <c r="K317" s="273"/>
      <c r="L317" s="273"/>
      <c r="M317" s="273"/>
      <c r="N317" s="273"/>
      <c r="O317" s="273"/>
      <c r="P317" s="273"/>
      <c r="Q317" s="273"/>
      <c r="R317" s="273"/>
      <c r="S317" s="273"/>
      <c r="T317" s="273"/>
      <c r="U317" s="273"/>
      <c r="V317" s="273"/>
    </row>
    <row r="318" spans="1:22">
      <c r="A318" s="77">
        <v>44125</v>
      </c>
      <c r="B318" s="51" t="str">
        <f t="shared" si="32"/>
        <v>20201021</v>
      </c>
      <c r="C318" s="273" t="s">
        <v>16</v>
      </c>
      <c r="D318" s="273">
        <v>6</v>
      </c>
      <c r="E318" s="273" t="s">
        <v>1638</v>
      </c>
      <c r="F318" s="273" t="str">
        <f t="shared" si="30"/>
        <v>D6</v>
      </c>
      <c r="G318" s="273" t="str">
        <f t="shared" si="33"/>
        <v/>
      </c>
      <c r="H318" s="273"/>
      <c r="I318" s="273"/>
      <c r="J318" s="273"/>
      <c r="K318" s="273"/>
      <c r="L318" s="273"/>
      <c r="M318" s="273"/>
      <c r="N318" s="273"/>
      <c r="O318" s="273"/>
      <c r="P318" s="273"/>
      <c r="Q318" s="273"/>
      <c r="R318" s="273"/>
      <c r="S318" s="273"/>
      <c r="T318" s="273"/>
      <c r="U318" s="273"/>
      <c r="V318" s="273"/>
    </row>
    <row r="319" spans="1:22">
      <c r="A319" s="77">
        <v>44125</v>
      </c>
      <c r="B319" s="51" t="str">
        <f t="shared" si="32"/>
        <v>20201021</v>
      </c>
      <c r="C319" s="273" t="s">
        <v>16</v>
      </c>
      <c r="D319" s="273">
        <v>7</v>
      </c>
      <c r="E319" s="273" t="s">
        <v>1638</v>
      </c>
      <c r="F319" s="273" t="str">
        <f>_xlfn.CONCAT(C319:D319)</f>
        <v>D7</v>
      </c>
      <c r="G319" s="273" t="str">
        <f t="shared" si="33"/>
        <v/>
      </c>
      <c r="H319" s="273"/>
      <c r="I319" s="273"/>
      <c r="J319" s="273"/>
      <c r="K319" s="273"/>
      <c r="L319" s="273"/>
      <c r="M319" s="273"/>
      <c r="N319" s="273"/>
      <c r="O319" s="273"/>
      <c r="P319" s="273"/>
      <c r="Q319" s="273"/>
      <c r="R319" s="273"/>
      <c r="S319" s="273"/>
      <c r="T319" s="273"/>
      <c r="U319" s="273"/>
      <c r="V319" s="273"/>
    </row>
    <row r="320" spans="1:22">
      <c r="A320" s="77">
        <v>44125</v>
      </c>
      <c r="B320" s="51" t="str">
        <f t="shared" si="32"/>
        <v>20201021</v>
      </c>
      <c r="C320" s="273" t="s">
        <v>16</v>
      </c>
      <c r="D320" s="273">
        <v>9</v>
      </c>
      <c r="E320" s="273" t="s">
        <v>1638</v>
      </c>
      <c r="F320" s="273" t="str">
        <f t="shared" si="30"/>
        <v>D9</v>
      </c>
      <c r="G320" s="273" t="str">
        <f t="shared" si="33"/>
        <v/>
      </c>
      <c r="H320" s="273"/>
      <c r="I320" s="273"/>
      <c r="J320" s="273"/>
      <c r="K320" s="273"/>
      <c r="L320" s="273"/>
      <c r="M320" s="273"/>
      <c r="N320" s="273"/>
      <c r="O320" s="273"/>
      <c r="P320" s="273"/>
      <c r="Q320" s="273"/>
      <c r="R320" s="273"/>
      <c r="S320" s="273"/>
      <c r="T320" s="273"/>
      <c r="U320" s="273"/>
      <c r="V320" s="273"/>
    </row>
    <row r="321" spans="1:22">
      <c r="A321" s="77">
        <v>44109</v>
      </c>
      <c r="B321" s="51" t="str">
        <f t="shared" si="32"/>
        <v>20201005</v>
      </c>
      <c r="C321" s="273" t="s">
        <v>16</v>
      </c>
      <c r="D321" s="273">
        <v>32</v>
      </c>
      <c r="E321" s="273" t="s">
        <v>1629</v>
      </c>
      <c r="F321" s="273" t="str">
        <f>_xlfn.CONCAT(C321:D321)</f>
        <v>D32</v>
      </c>
      <c r="G321" s="273">
        <f t="shared" ca="1" si="33"/>
        <v>117</v>
      </c>
      <c r="H321" s="273"/>
      <c r="I321" s="273"/>
      <c r="J321" s="273"/>
      <c r="K321" s="273"/>
      <c r="L321" s="273"/>
      <c r="M321" s="273"/>
      <c r="N321" s="273"/>
      <c r="O321" s="273"/>
      <c r="P321" s="273"/>
      <c r="Q321" s="273"/>
      <c r="R321" s="273"/>
      <c r="S321" s="273"/>
      <c r="T321" s="273"/>
      <c r="U321" s="273"/>
      <c r="V321" s="273"/>
    </row>
    <row r="322" spans="1:22">
      <c r="A322" s="77">
        <v>44099</v>
      </c>
      <c r="B322" s="51" t="str">
        <f t="shared" si="32"/>
        <v>20200925</v>
      </c>
      <c r="C322" s="273"/>
      <c r="D322" s="273"/>
      <c r="E322" s="273" t="s">
        <v>1638</v>
      </c>
      <c r="F322" s="273" t="str">
        <f>_xlfn.CONCAT(C322:D322)</f>
        <v/>
      </c>
      <c r="G322" s="273" t="str">
        <f t="shared" si="33"/>
        <v/>
      </c>
      <c r="H322" s="273"/>
      <c r="I322" s="273"/>
      <c r="J322" s="273"/>
      <c r="K322" s="273"/>
      <c r="L322" s="273"/>
      <c r="M322" s="273"/>
      <c r="N322" s="273"/>
      <c r="O322" s="273"/>
      <c r="P322" s="273"/>
      <c r="Q322" s="273"/>
      <c r="R322" s="273"/>
      <c r="S322" s="273"/>
      <c r="T322" s="273"/>
      <c r="U322" s="273"/>
      <c r="V322" s="273"/>
    </row>
    <row r="323" spans="1:22">
      <c r="B323" s="51" t="str">
        <f t="shared" si="32"/>
        <v>19000100</v>
      </c>
      <c r="C323" s="273"/>
      <c r="D323" s="273"/>
      <c r="E323" s="273" t="s">
        <v>1638</v>
      </c>
      <c r="F323" s="273" t="str">
        <f>_xlfn.CONCAT(C323:D323)</f>
        <v/>
      </c>
      <c r="G323" s="273" t="str">
        <f t="shared" si="33"/>
        <v/>
      </c>
      <c r="H323" s="273"/>
      <c r="I323" s="273"/>
      <c r="J323" s="273"/>
      <c r="K323" s="273"/>
      <c r="L323" s="273"/>
      <c r="M323" s="273"/>
      <c r="N323" s="273"/>
      <c r="O323" s="273"/>
      <c r="P323" s="273"/>
      <c r="Q323" s="273"/>
      <c r="R323" s="273"/>
      <c r="S323" s="273"/>
      <c r="T323" s="273"/>
      <c r="U323" s="273"/>
      <c r="V323" s="273"/>
    </row>
    <row r="324" spans="1:22">
      <c r="B324" s="51" t="str">
        <f t="shared" si="32"/>
        <v>19000100</v>
      </c>
      <c r="C324" s="273"/>
      <c r="D324" s="273"/>
      <c r="E324" s="273" t="s">
        <v>1638</v>
      </c>
      <c r="F324" s="273" t="str">
        <f>_xlfn.CONCAT(C324:D324)</f>
        <v/>
      </c>
      <c r="G324" s="273" t="str">
        <f t="shared" si="33"/>
        <v/>
      </c>
      <c r="H324" s="273"/>
      <c r="I324" s="273"/>
      <c r="J324" s="273"/>
      <c r="K324" s="273"/>
      <c r="L324" s="273"/>
      <c r="M324" s="273"/>
      <c r="N324" s="273"/>
      <c r="O324" s="273"/>
      <c r="P324" s="273"/>
      <c r="Q324" s="273"/>
      <c r="R324" s="273"/>
      <c r="S324" s="273"/>
      <c r="T324" s="273"/>
      <c r="U324" s="273"/>
      <c r="V324" s="273"/>
    </row>
    <row r="325" spans="1:22">
      <c r="B325" s="51" t="str">
        <f t="shared" si="32"/>
        <v>19000100</v>
      </c>
      <c r="C325" s="273"/>
      <c r="D325" s="273"/>
      <c r="E325" s="273" t="s">
        <v>1638</v>
      </c>
      <c r="F325" s="273" t="str">
        <f>_xlfn.CONCAT(C325:D325)</f>
        <v/>
      </c>
      <c r="G325" s="273" t="str">
        <f t="shared" si="33"/>
        <v/>
      </c>
      <c r="H325" s="273"/>
      <c r="I325" s="273"/>
      <c r="J325" s="273"/>
      <c r="K325" s="273"/>
      <c r="L325" s="273"/>
      <c r="M325" s="273"/>
      <c r="N325" s="273"/>
      <c r="O325" s="273"/>
      <c r="P325" s="273"/>
      <c r="Q325" s="273"/>
      <c r="R325" s="273"/>
      <c r="S325" s="273"/>
      <c r="T325" s="273"/>
      <c r="U325" s="273"/>
      <c r="V325" s="273"/>
    </row>
    <row r="326" spans="1:22">
      <c r="B326" s="51" t="str">
        <f t="shared" si="32"/>
        <v>19000100</v>
      </c>
      <c r="C326" s="273"/>
      <c r="D326" s="273"/>
      <c r="E326" s="273" t="s">
        <v>1638</v>
      </c>
      <c r="F326" s="273" t="str">
        <f>_xlfn.CONCAT(C326:D326)</f>
        <v/>
      </c>
      <c r="G326" s="273" t="str">
        <f t="shared" si="33"/>
        <v/>
      </c>
      <c r="H326" s="273"/>
      <c r="I326" s="273"/>
      <c r="J326" s="273"/>
      <c r="K326" s="273"/>
      <c r="L326" s="273"/>
      <c r="M326" s="273"/>
      <c r="N326" s="273"/>
      <c r="O326" s="273"/>
      <c r="P326" s="273"/>
      <c r="Q326" s="273"/>
      <c r="R326" s="273"/>
      <c r="S326" s="273"/>
      <c r="T326" s="273"/>
      <c r="U326" s="273"/>
      <c r="V326" s="273"/>
    </row>
    <row r="327" spans="1:22">
      <c r="B327" s="51" t="str">
        <f t="shared" si="32"/>
        <v>19000100</v>
      </c>
      <c r="C327" s="273"/>
      <c r="D327" s="273"/>
      <c r="E327" s="273" t="s">
        <v>1638</v>
      </c>
      <c r="F327" s="273" t="str">
        <f>_xlfn.CONCAT(C327:D327)</f>
        <v/>
      </c>
      <c r="G327" s="273" t="str">
        <f t="shared" si="33"/>
        <v/>
      </c>
      <c r="H327" s="273"/>
      <c r="I327" s="273"/>
      <c r="J327" s="273"/>
      <c r="K327" s="273"/>
      <c r="L327" s="273"/>
      <c r="M327" s="273"/>
      <c r="N327" s="273"/>
      <c r="O327" s="273"/>
      <c r="P327" s="273"/>
      <c r="Q327" s="273"/>
      <c r="R327" s="273"/>
      <c r="S327" s="273"/>
      <c r="T327" s="273"/>
      <c r="U327" s="273"/>
      <c r="V327" s="273"/>
    </row>
    <row r="328" spans="1:22">
      <c r="B328" s="51" t="str">
        <f t="shared" si="32"/>
        <v>19000100</v>
      </c>
      <c r="C328" s="273"/>
      <c r="D328" s="273"/>
      <c r="E328" s="273" t="s">
        <v>1638</v>
      </c>
      <c r="F328" s="273" t="str">
        <f>_xlfn.CONCAT(C328:D328)</f>
        <v/>
      </c>
      <c r="G328" s="273" t="str">
        <f t="shared" si="33"/>
        <v/>
      </c>
      <c r="H328" s="273"/>
      <c r="I328" s="273"/>
      <c r="J328" s="273"/>
      <c r="K328" s="273"/>
      <c r="L328" s="273"/>
      <c r="M328" s="273"/>
      <c r="N328" s="273"/>
      <c r="O328" s="273"/>
      <c r="P328" s="273"/>
      <c r="Q328" s="273"/>
      <c r="R328" s="273"/>
      <c r="S328" s="273"/>
      <c r="T328" s="273"/>
      <c r="U328" s="273"/>
      <c r="V328" s="273"/>
    </row>
    <row r="329" spans="1:22">
      <c r="B329" s="51" t="str">
        <f t="shared" si="32"/>
        <v>19000100</v>
      </c>
      <c r="C329" s="273"/>
      <c r="D329" s="273"/>
      <c r="E329" s="273" t="s">
        <v>1638</v>
      </c>
      <c r="F329" s="273" t="str">
        <f>_xlfn.CONCAT(C329:D329)</f>
        <v/>
      </c>
      <c r="G329" s="273" t="str">
        <f t="shared" si="33"/>
        <v/>
      </c>
      <c r="H329" s="273"/>
      <c r="I329" s="273"/>
      <c r="J329" s="273"/>
      <c r="K329" s="273"/>
      <c r="L329" s="273"/>
      <c r="M329" s="273"/>
      <c r="N329" s="273"/>
      <c r="O329" s="273"/>
      <c r="P329" s="273"/>
      <c r="Q329" s="273"/>
      <c r="R329" s="273"/>
      <c r="S329" s="273"/>
      <c r="T329" s="273"/>
      <c r="U329" s="273"/>
      <c r="V329" s="273"/>
    </row>
    <row r="330" spans="1:22">
      <c r="B330" s="51" t="str">
        <f t="shared" si="32"/>
        <v>19000100</v>
      </c>
      <c r="C330" s="273"/>
      <c r="D330" s="273"/>
      <c r="E330" s="273" t="s">
        <v>1638</v>
      </c>
      <c r="F330" s="273" t="str">
        <f>_xlfn.CONCAT(C330:D330)</f>
        <v/>
      </c>
      <c r="G330" s="273" t="str">
        <f t="shared" si="33"/>
        <v/>
      </c>
      <c r="H330" s="273"/>
      <c r="I330" s="273"/>
      <c r="J330" s="273"/>
      <c r="K330" s="273"/>
      <c r="L330" s="273"/>
      <c r="M330" s="273"/>
      <c r="N330" s="273"/>
      <c r="O330" s="273"/>
      <c r="P330" s="273"/>
      <c r="Q330" s="273"/>
      <c r="R330" s="273"/>
      <c r="S330" s="273"/>
      <c r="T330" s="273"/>
      <c r="U330" s="273"/>
      <c r="V330" s="273"/>
    </row>
    <row r="331" spans="1:22">
      <c r="B331" s="51" t="str">
        <f t="shared" si="32"/>
        <v>19000100</v>
      </c>
      <c r="C331" s="273"/>
      <c r="D331" s="273"/>
      <c r="E331" s="273" t="s">
        <v>1638</v>
      </c>
      <c r="F331" s="273" t="str">
        <f t="shared" si="30"/>
        <v/>
      </c>
      <c r="G331" s="273" t="str">
        <f t="shared" si="33"/>
        <v/>
      </c>
      <c r="H331" s="273"/>
      <c r="I331" s="273"/>
      <c r="J331" s="273"/>
      <c r="K331" s="273"/>
      <c r="L331" s="273"/>
      <c r="M331" s="273"/>
      <c r="N331" s="273"/>
      <c r="O331" s="273"/>
      <c r="P331" s="273"/>
      <c r="Q331" s="273"/>
      <c r="R331" s="273"/>
      <c r="S331" s="273"/>
      <c r="T331" s="273"/>
      <c r="U331" s="273"/>
      <c r="V331" s="273"/>
    </row>
    <row r="332" spans="1:22">
      <c r="B332" s="51" t="str">
        <f t="shared" si="32"/>
        <v>19000100</v>
      </c>
      <c r="C332" s="273"/>
      <c r="D332" s="273"/>
      <c r="E332" s="273" t="s">
        <v>1638</v>
      </c>
      <c r="F332" s="273" t="str">
        <f t="shared" si="30"/>
        <v/>
      </c>
      <c r="G332" s="273" t="str">
        <f t="shared" si="33"/>
        <v/>
      </c>
      <c r="H332" s="273"/>
      <c r="I332" s="273"/>
      <c r="J332" s="273"/>
      <c r="K332" s="273"/>
      <c r="L332" s="273"/>
      <c r="M332" s="273"/>
      <c r="N332" s="273"/>
      <c r="O332" s="273"/>
      <c r="P332" s="273"/>
      <c r="Q332" s="273"/>
      <c r="R332" s="273"/>
      <c r="S332" s="273"/>
      <c r="T332" s="273"/>
      <c r="U332" s="273"/>
      <c r="V332" s="273"/>
    </row>
    <row r="333" spans="1:22">
      <c r="B333" s="51" t="str">
        <f t="shared" si="32"/>
        <v>19000100</v>
      </c>
      <c r="C333" s="273"/>
      <c r="D333" s="273"/>
      <c r="E333" s="273" t="s">
        <v>1638</v>
      </c>
      <c r="F333" s="273" t="str">
        <f t="shared" si="30"/>
        <v/>
      </c>
      <c r="G333" s="273" t="str">
        <f t="shared" si="33"/>
        <v/>
      </c>
      <c r="H333" s="273"/>
      <c r="I333" s="273"/>
      <c r="J333" s="273"/>
      <c r="K333" s="273"/>
      <c r="L333" s="273"/>
      <c r="M333" s="273"/>
      <c r="N333" s="273"/>
      <c r="O333" s="273"/>
      <c r="P333" s="273"/>
      <c r="Q333" s="273"/>
      <c r="R333" s="273"/>
      <c r="S333" s="273"/>
      <c r="T333" s="273"/>
      <c r="U333" s="273"/>
      <c r="V333" s="273"/>
    </row>
    <row r="334" spans="1:22">
      <c r="B334" s="51" t="str">
        <f t="shared" si="32"/>
        <v>19000100</v>
      </c>
      <c r="C334" s="273"/>
      <c r="D334" s="273"/>
      <c r="E334" s="273" t="s">
        <v>1638</v>
      </c>
      <c r="F334" s="273" t="str">
        <f t="shared" si="30"/>
        <v/>
      </c>
      <c r="G334" s="273" t="str">
        <f t="shared" si="33"/>
        <v/>
      </c>
      <c r="H334" s="273"/>
      <c r="I334" s="273"/>
      <c r="J334" s="273"/>
      <c r="K334" s="273"/>
      <c r="L334" s="273"/>
      <c r="M334" s="273"/>
      <c r="N334" s="273"/>
      <c r="O334" s="273"/>
      <c r="P334" s="273"/>
      <c r="Q334" s="273"/>
      <c r="R334" s="273"/>
      <c r="S334" s="273"/>
      <c r="T334" s="273"/>
      <c r="U334" s="273"/>
      <c r="V334" s="273"/>
    </row>
    <row r="335" spans="1:22">
      <c r="B335" s="51" t="str">
        <f t="shared" si="32"/>
        <v>19000100</v>
      </c>
      <c r="C335" s="273"/>
      <c r="D335" s="273"/>
      <c r="E335" s="273" t="s">
        <v>1638</v>
      </c>
      <c r="F335" s="273" t="str">
        <f t="shared" si="30"/>
        <v/>
      </c>
      <c r="G335" s="273" t="str">
        <f t="shared" si="33"/>
        <v/>
      </c>
      <c r="H335" s="273"/>
      <c r="I335" s="273"/>
      <c r="J335" s="273"/>
      <c r="K335" s="273"/>
      <c r="L335" s="273"/>
      <c r="M335" s="273"/>
      <c r="N335" s="273"/>
      <c r="O335" s="273"/>
      <c r="P335" s="273"/>
      <c r="Q335" s="273"/>
      <c r="R335" s="273"/>
      <c r="S335" s="273"/>
      <c r="T335" s="273"/>
      <c r="U335" s="273"/>
      <c r="V335" s="273"/>
    </row>
    <row r="336" spans="1:22">
      <c r="B336" s="51" t="str">
        <f t="shared" si="32"/>
        <v>19000100</v>
      </c>
      <c r="C336" s="273"/>
      <c r="D336" s="273"/>
      <c r="E336" s="273" t="s">
        <v>1638</v>
      </c>
      <c r="F336" s="273" t="str">
        <f t="shared" si="30"/>
        <v/>
      </c>
      <c r="G336" s="273" t="str">
        <f t="shared" si="33"/>
        <v/>
      </c>
      <c r="H336" s="273"/>
      <c r="I336" s="273"/>
      <c r="J336" s="273"/>
      <c r="K336" s="273"/>
      <c r="L336" s="273"/>
      <c r="M336" s="273"/>
      <c r="N336" s="273"/>
      <c r="O336" s="273"/>
      <c r="P336" s="273"/>
      <c r="Q336" s="273"/>
      <c r="R336" s="273"/>
      <c r="S336" s="273"/>
      <c r="T336" s="273"/>
      <c r="U336" s="273"/>
      <c r="V336" s="273"/>
    </row>
    <row r="337" spans="2:22">
      <c r="B337" s="51" t="str">
        <f t="shared" si="32"/>
        <v>19000100</v>
      </c>
      <c r="C337" s="273"/>
      <c r="D337" s="273"/>
      <c r="E337" s="273" t="s">
        <v>1638</v>
      </c>
      <c r="F337" s="273" t="str">
        <f t="shared" si="30"/>
        <v/>
      </c>
      <c r="G337" s="273" t="str">
        <f t="shared" si="33"/>
        <v/>
      </c>
      <c r="H337" s="273"/>
      <c r="I337" s="273"/>
      <c r="J337" s="273"/>
      <c r="K337" s="273"/>
      <c r="L337" s="273"/>
      <c r="M337" s="273"/>
      <c r="N337" s="273"/>
      <c r="O337" s="273"/>
      <c r="P337" s="273"/>
      <c r="Q337" s="273"/>
      <c r="R337" s="273"/>
      <c r="S337" s="273"/>
      <c r="T337" s="273"/>
      <c r="U337" s="273"/>
      <c r="V337" s="273"/>
    </row>
    <row r="338" spans="2:22">
      <c r="B338" s="51" t="str">
        <f t="shared" si="32"/>
        <v>19000100</v>
      </c>
      <c r="C338" s="273"/>
      <c r="D338" s="273"/>
      <c r="E338" s="273" t="s">
        <v>1638</v>
      </c>
      <c r="F338" s="273" t="str">
        <f t="shared" si="30"/>
        <v/>
      </c>
      <c r="G338" s="273" t="str">
        <f t="shared" si="33"/>
        <v/>
      </c>
      <c r="H338" s="273"/>
      <c r="I338" s="273"/>
      <c r="J338" s="273"/>
      <c r="K338" s="273"/>
      <c r="L338" s="273"/>
      <c r="M338" s="273"/>
      <c r="N338" s="273"/>
      <c r="O338" s="273"/>
      <c r="P338" s="273"/>
      <c r="Q338" s="273"/>
      <c r="R338" s="273"/>
      <c r="S338" s="273"/>
      <c r="T338" s="273"/>
      <c r="U338" s="273"/>
      <c r="V338" s="273"/>
    </row>
    <row r="339" spans="2:22">
      <c r="B339" s="51" t="str">
        <f t="shared" si="32"/>
        <v>19000100</v>
      </c>
      <c r="C339" s="273"/>
      <c r="D339" s="273"/>
      <c r="E339" s="273" t="s">
        <v>1638</v>
      </c>
      <c r="F339" s="273" t="str">
        <f t="shared" si="30"/>
        <v/>
      </c>
      <c r="G339" s="273" t="str">
        <f t="shared" si="33"/>
        <v/>
      </c>
      <c r="H339" s="273"/>
      <c r="I339" s="273"/>
      <c r="J339" s="273"/>
      <c r="K339" s="273"/>
      <c r="L339" s="273"/>
      <c r="M339" s="273"/>
      <c r="N339" s="273"/>
      <c r="O339" s="273"/>
      <c r="P339" s="273"/>
      <c r="Q339" s="273"/>
      <c r="R339" s="273"/>
      <c r="S339" s="273"/>
      <c r="T339" s="273"/>
      <c r="U339" s="273"/>
      <c r="V339" s="273"/>
    </row>
    <row r="340" spans="2:22">
      <c r="B340" s="51" t="str">
        <f t="shared" si="32"/>
        <v>19000100</v>
      </c>
      <c r="C340" s="273"/>
      <c r="D340" s="273"/>
      <c r="E340" s="273" t="s">
        <v>1638</v>
      </c>
      <c r="F340" s="273" t="str">
        <f t="shared" ref="F340:F348" si="34">_xlfn.CONCAT(C340:D340)</f>
        <v/>
      </c>
      <c r="G340" s="273" t="str">
        <f t="shared" si="33"/>
        <v/>
      </c>
      <c r="H340" s="273"/>
      <c r="I340" s="273"/>
      <c r="J340" s="273"/>
      <c r="K340" s="273"/>
      <c r="L340" s="273"/>
      <c r="M340" s="273"/>
      <c r="N340" s="273"/>
      <c r="O340" s="273"/>
      <c r="P340" s="273"/>
      <c r="Q340" s="273"/>
      <c r="R340" s="273"/>
      <c r="S340" s="273"/>
      <c r="T340" s="273"/>
      <c r="U340" s="273"/>
      <c r="V340" s="273"/>
    </row>
    <row r="341" spans="2:22">
      <c r="B341" s="51" t="str">
        <f t="shared" si="32"/>
        <v>19000100</v>
      </c>
      <c r="C341" s="273"/>
      <c r="D341" s="273"/>
      <c r="E341" s="273" t="s">
        <v>1638</v>
      </c>
      <c r="F341" s="273" t="str">
        <f t="shared" si="34"/>
        <v/>
      </c>
      <c r="G341" s="273" t="str">
        <f t="shared" si="33"/>
        <v/>
      </c>
      <c r="H341" s="273"/>
      <c r="I341" s="273"/>
      <c r="J341" s="273"/>
      <c r="K341" s="273"/>
      <c r="L341" s="273"/>
      <c r="M341" s="273"/>
      <c r="N341" s="273"/>
      <c r="O341" s="273"/>
      <c r="P341" s="273"/>
      <c r="Q341" s="273"/>
      <c r="R341" s="273"/>
      <c r="S341" s="273"/>
      <c r="T341" s="273"/>
      <c r="U341" s="273"/>
      <c r="V341" s="273"/>
    </row>
    <row r="342" spans="2:22">
      <c r="B342" s="51" t="str">
        <f t="shared" si="32"/>
        <v>19000100</v>
      </c>
      <c r="C342" s="273"/>
      <c r="D342" s="273"/>
      <c r="E342" s="273" t="s">
        <v>1638</v>
      </c>
      <c r="F342" s="273" t="str">
        <f t="shared" si="34"/>
        <v/>
      </c>
      <c r="G342" s="273" t="str">
        <f t="shared" si="33"/>
        <v/>
      </c>
      <c r="H342" s="273"/>
      <c r="I342" s="273"/>
      <c r="J342" s="273"/>
      <c r="K342" s="273"/>
      <c r="L342" s="273"/>
      <c r="M342" s="273"/>
      <c r="N342" s="273"/>
      <c r="O342" s="273"/>
      <c r="P342" s="273"/>
      <c r="Q342" s="273"/>
      <c r="R342" s="273"/>
      <c r="S342" s="273"/>
      <c r="T342" s="273"/>
      <c r="U342" s="273"/>
      <c r="V342" s="273"/>
    </row>
    <row r="343" spans="2:22">
      <c r="B343" s="51" t="str">
        <f t="shared" si="32"/>
        <v>19000100</v>
      </c>
      <c r="C343" s="273"/>
      <c r="D343" s="273"/>
      <c r="E343" s="273" t="s">
        <v>1638</v>
      </c>
      <c r="F343" s="273" t="str">
        <f t="shared" si="34"/>
        <v/>
      </c>
      <c r="G343" s="273" t="str">
        <f t="shared" si="33"/>
        <v/>
      </c>
      <c r="H343" s="273"/>
      <c r="I343" s="273"/>
      <c r="J343" s="273"/>
      <c r="K343" s="273"/>
      <c r="L343" s="273"/>
      <c r="M343" s="273"/>
      <c r="N343" s="273"/>
      <c r="O343" s="273"/>
      <c r="P343" s="273"/>
      <c r="Q343" s="273"/>
      <c r="R343" s="273"/>
      <c r="S343" s="273"/>
      <c r="T343" s="273"/>
      <c r="U343" s="273"/>
      <c r="V343" s="273"/>
    </row>
    <row r="344" spans="2:22">
      <c r="B344" s="51" t="str">
        <f t="shared" si="32"/>
        <v>19000100</v>
      </c>
      <c r="C344" s="273"/>
      <c r="D344" s="273"/>
      <c r="E344" s="273" t="s">
        <v>1638</v>
      </c>
      <c r="F344" s="273" t="str">
        <f t="shared" si="34"/>
        <v/>
      </c>
      <c r="G344" s="273" t="str">
        <f t="shared" si="33"/>
        <v/>
      </c>
      <c r="H344" s="273"/>
      <c r="I344" s="273"/>
      <c r="J344" s="273"/>
      <c r="K344" s="273"/>
      <c r="L344" s="273"/>
      <c r="M344" s="273"/>
      <c r="N344" s="273"/>
      <c r="O344" s="273"/>
      <c r="P344" s="273"/>
      <c r="Q344" s="273"/>
      <c r="R344" s="273"/>
      <c r="S344" s="273"/>
      <c r="T344" s="273"/>
      <c r="U344" s="273"/>
      <c r="V344" s="273"/>
    </row>
    <row r="345" spans="2:22">
      <c r="B345" s="51" t="str">
        <f t="shared" si="32"/>
        <v>19000100</v>
      </c>
      <c r="C345" s="273"/>
      <c r="D345" s="273"/>
      <c r="E345" s="273" t="s">
        <v>1638</v>
      </c>
      <c r="F345" s="273" t="str">
        <f t="shared" si="34"/>
        <v/>
      </c>
      <c r="G345" s="273" t="str">
        <f t="shared" si="33"/>
        <v/>
      </c>
      <c r="H345" s="273"/>
      <c r="I345" s="273"/>
      <c r="J345" s="273"/>
      <c r="K345" s="273"/>
      <c r="L345" s="273"/>
      <c r="M345" s="273"/>
      <c r="N345" s="273"/>
      <c r="O345" s="273"/>
      <c r="P345" s="273"/>
      <c r="Q345" s="273"/>
      <c r="R345" s="273"/>
      <c r="S345" s="273"/>
      <c r="T345" s="273"/>
      <c r="U345" s="273"/>
      <c r="V345" s="273"/>
    </row>
    <row r="346" spans="2:22">
      <c r="B346" s="51" t="str">
        <f t="shared" si="32"/>
        <v>19000100</v>
      </c>
      <c r="C346" s="273"/>
      <c r="D346" s="273"/>
      <c r="E346" s="273" t="s">
        <v>1638</v>
      </c>
      <c r="F346" s="273" t="str">
        <f t="shared" si="34"/>
        <v/>
      </c>
      <c r="G346" s="273" t="str">
        <f t="shared" si="33"/>
        <v/>
      </c>
      <c r="H346" s="273"/>
      <c r="I346" s="273"/>
      <c r="J346" s="273"/>
      <c r="K346" s="273"/>
      <c r="L346" s="273"/>
      <c r="M346" s="273"/>
      <c r="N346" s="273"/>
      <c r="O346" s="273"/>
      <c r="P346" s="273"/>
      <c r="Q346" s="273"/>
      <c r="R346" s="273"/>
      <c r="S346" s="273"/>
      <c r="T346" s="273"/>
      <c r="U346" s="273"/>
      <c r="V346" s="273"/>
    </row>
    <row r="347" spans="2:22">
      <c r="B347" s="51" t="str">
        <f t="shared" si="32"/>
        <v>19000100</v>
      </c>
      <c r="C347" s="273"/>
      <c r="D347" s="273"/>
      <c r="E347" s="273" t="s">
        <v>1638</v>
      </c>
      <c r="F347" s="273" t="str">
        <f t="shared" si="34"/>
        <v/>
      </c>
      <c r="G347" s="273" t="str">
        <f t="shared" si="33"/>
        <v/>
      </c>
      <c r="H347" s="273"/>
      <c r="I347" s="273"/>
      <c r="J347" s="273"/>
      <c r="K347" s="273"/>
      <c r="L347" s="273"/>
      <c r="M347" s="273"/>
      <c r="N347" s="273"/>
      <c r="O347" s="273"/>
      <c r="P347" s="273"/>
      <c r="Q347" s="273"/>
      <c r="R347" s="273"/>
      <c r="S347" s="273"/>
      <c r="T347" s="273"/>
      <c r="U347" s="273"/>
      <c r="V347" s="273"/>
    </row>
    <row r="348" spans="2:22">
      <c r="B348" s="51" t="str">
        <f t="shared" si="32"/>
        <v>19000100</v>
      </c>
      <c r="C348" s="273"/>
      <c r="D348" s="273"/>
      <c r="E348" s="273" t="s">
        <v>1638</v>
      </c>
      <c r="F348" s="273" t="str">
        <f t="shared" si="34"/>
        <v/>
      </c>
      <c r="G348" s="273" t="str">
        <f t="shared" si="33"/>
        <v/>
      </c>
      <c r="H348" s="273"/>
      <c r="I348" s="273"/>
      <c r="J348" s="273"/>
      <c r="K348" s="273"/>
      <c r="L348" s="273"/>
      <c r="M348" s="273"/>
      <c r="N348" s="273"/>
      <c r="O348" s="273"/>
      <c r="P348" s="273"/>
      <c r="Q348" s="273"/>
      <c r="R348" s="273"/>
      <c r="S348" s="273"/>
      <c r="T348" s="273"/>
      <c r="U348" s="273"/>
      <c r="V348" s="273"/>
    </row>
    <row r="349" spans="2:22">
      <c r="B349" s="273"/>
      <c r="C349" s="273"/>
      <c r="D349" s="273"/>
      <c r="E349" s="273" t="s">
        <v>1638</v>
      </c>
      <c r="F349" s="273"/>
      <c r="G349" s="273"/>
      <c r="H349" s="273"/>
      <c r="I349" s="273"/>
      <c r="J349" s="273"/>
      <c r="K349" s="273"/>
      <c r="L349" s="273"/>
      <c r="M349" s="273"/>
      <c r="N349" s="273"/>
      <c r="O349" s="273"/>
      <c r="P349" s="273"/>
      <c r="Q349" s="273"/>
      <c r="R349" s="273"/>
      <c r="S349" s="273"/>
      <c r="T349" s="273"/>
      <c r="U349" s="273"/>
      <c r="V349" s="273"/>
    </row>
    <row r="350" spans="2:22">
      <c r="B350" s="273"/>
      <c r="C350" s="273"/>
      <c r="D350" s="273"/>
      <c r="E350" s="273" t="s">
        <v>1638</v>
      </c>
      <c r="F350" s="273"/>
      <c r="G350" s="273"/>
      <c r="H350" s="273"/>
      <c r="I350" s="273"/>
      <c r="J350" s="273"/>
      <c r="K350" s="273"/>
      <c r="L350" s="273"/>
      <c r="M350" s="273"/>
      <c r="N350" s="273"/>
      <c r="O350" s="273"/>
      <c r="P350" s="273"/>
      <c r="Q350" s="273"/>
      <c r="R350" s="273"/>
      <c r="S350" s="273"/>
      <c r="T350" s="273"/>
      <c r="U350" s="273"/>
      <c r="V350" s="273"/>
    </row>
    <row r="351" spans="2:22">
      <c r="B351" s="273"/>
      <c r="C351" s="273"/>
      <c r="D351" s="273"/>
      <c r="E351" s="273" t="s">
        <v>1638</v>
      </c>
      <c r="F351" s="273"/>
      <c r="G351" s="273"/>
      <c r="H351" s="273"/>
      <c r="I351" s="273"/>
      <c r="J351" s="273"/>
      <c r="K351" s="273"/>
      <c r="L351" s="273"/>
      <c r="M351" s="273"/>
      <c r="N351" s="273"/>
      <c r="O351" s="273"/>
      <c r="P351" s="273"/>
      <c r="Q351" s="273"/>
      <c r="R351" s="273"/>
      <c r="S351" s="273"/>
      <c r="T351" s="273"/>
      <c r="U351" s="273"/>
      <c r="V351" s="273"/>
    </row>
    <row r="352" spans="2:22">
      <c r="B352" s="273"/>
      <c r="C352" s="273"/>
      <c r="D352" s="273"/>
      <c r="E352" s="273" t="s">
        <v>1638</v>
      </c>
      <c r="F352" s="273"/>
      <c r="G352" s="273"/>
      <c r="H352" s="273"/>
      <c r="I352" s="273"/>
      <c r="J352" s="273"/>
      <c r="K352" s="273"/>
      <c r="L352" s="273"/>
      <c r="M352" s="273"/>
      <c r="N352" s="273"/>
      <c r="O352" s="273"/>
      <c r="P352" s="273"/>
      <c r="Q352" s="273"/>
      <c r="R352" s="273"/>
      <c r="S352" s="273"/>
      <c r="T352" s="273"/>
      <c r="U352" s="273"/>
      <c r="V352" s="273"/>
    </row>
    <row r="353" spans="2:22">
      <c r="B353" s="273"/>
      <c r="C353" s="273"/>
      <c r="D353" s="273"/>
      <c r="E353" s="273" t="s">
        <v>1638</v>
      </c>
      <c r="F353" s="273"/>
      <c r="G353" s="273"/>
      <c r="H353" s="273"/>
      <c r="I353" s="273"/>
      <c r="J353" s="273"/>
      <c r="K353" s="273"/>
      <c r="L353" s="273"/>
      <c r="M353" s="273"/>
      <c r="N353" s="273"/>
      <c r="O353" s="273"/>
      <c r="P353" s="273"/>
      <c r="Q353" s="273"/>
      <c r="R353" s="273"/>
      <c r="S353" s="273"/>
      <c r="T353" s="273"/>
      <c r="U353" s="273"/>
      <c r="V353" s="273"/>
    </row>
    <row r="354" spans="2:22">
      <c r="B354" s="273"/>
      <c r="C354" s="273"/>
      <c r="D354" s="273"/>
      <c r="E354" s="273" t="s">
        <v>1638</v>
      </c>
      <c r="F354" s="273"/>
      <c r="G354" s="273"/>
      <c r="H354" s="273"/>
      <c r="I354" s="273"/>
      <c r="J354" s="273"/>
      <c r="K354" s="273"/>
      <c r="L354" s="273"/>
      <c r="M354" s="273"/>
      <c r="N354" s="273"/>
      <c r="O354" s="273"/>
      <c r="P354" s="273"/>
      <c r="Q354" s="273"/>
      <c r="R354" s="273"/>
      <c r="S354" s="273"/>
      <c r="T354" s="273"/>
      <c r="U354" s="273"/>
      <c r="V354" s="273"/>
    </row>
    <row r="355" spans="2:22">
      <c r="B355" s="273"/>
      <c r="C355" s="273"/>
      <c r="D355" s="273"/>
      <c r="E355" s="273" t="s">
        <v>1638</v>
      </c>
      <c r="F355" s="273"/>
      <c r="G355" s="273"/>
      <c r="H355" s="273"/>
      <c r="I355" s="273"/>
      <c r="J355" s="273"/>
      <c r="K355" s="273"/>
      <c r="L355" s="273"/>
      <c r="M355" s="273"/>
      <c r="N355" s="273"/>
      <c r="O355" s="273"/>
      <c r="P355" s="273"/>
      <c r="Q355" s="273"/>
      <c r="R355" s="273"/>
      <c r="S355" s="273"/>
      <c r="T355" s="273"/>
      <c r="U355" s="273"/>
      <c r="V355" s="273"/>
    </row>
    <row r="356" spans="2:22">
      <c r="B356" s="273"/>
      <c r="C356" s="273"/>
      <c r="D356" s="273"/>
      <c r="E356" s="273" t="s">
        <v>1638</v>
      </c>
      <c r="F356" s="273"/>
      <c r="G356" s="273"/>
      <c r="H356" s="273"/>
      <c r="I356" s="273"/>
      <c r="J356" s="273"/>
      <c r="K356" s="273"/>
      <c r="L356" s="273"/>
      <c r="M356" s="273"/>
      <c r="N356" s="273"/>
      <c r="O356" s="273"/>
      <c r="P356" s="273"/>
      <c r="Q356" s="273"/>
      <c r="R356" s="273"/>
      <c r="S356" s="273"/>
      <c r="T356" s="273"/>
      <c r="U356" s="273"/>
      <c r="V356" s="273"/>
    </row>
    <row r="357" spans="2:22">
      <c r="B357" s="273"/>
      <c r="C357" s="273"/>
      <c r="D357" s="273"/>
      <c r="E357" s="273" t="s">
        <v>1638</v>
      </c>
      <c r="F357" s="273"/>
      <c r="G357" s="273"/>
      <c r="H357" s="273"/>
      <c r="I357" s="273"/>
      <c r="J357" s="273"/>
      <c r="K357" s="273"/>
      <c r="L357" s="273"/>
      <c r="M357" s="273"/>
      <c r="N357" s="273"/>
      <c r="O357" s="273"/>
      <c r="P357" s="273"/>
      <c r="Q357" s="273"/>
      <c r="R357" s="273"/>
      <c r="S357" s="273"/>
      <c r="T357" s="273"/>
      <c r="U357" s="273"/>
      <c r="V357" s="273"/>
    </row>
    <row r="358" spans="2:22">
      <c r="B358" s="273"/>
      <c r="C358" s="273"/>
      <c r="D358" s="273"/>
      <c r="E358" s="273" t="s">
        <v>1638</v>
      </c>
      <c r="F358" s="273"/>
      <c r="G358" s="273"/>
      <c r="H358" s="273"/>
      <c r="I358" s="273"/>
      <c r="J358" s="273"/>
      <c r="K358" s="273"/>
      <c r="L358" s="273"/>
      <c r="M358" s="273"/>
      <c r="N358" s="273"/>
      <c r="O358" s="273"/>
      <c r="P358" s="273"/>
      <c r="Q358" s="273"/>
      <c r="R358" s="273"/>
      <c r="S358" s="273"/>
      <c r="T358" s="273"/>
      <c r="U358" s="273"/>
      <c r="V358" s="273"/>
    </row>
    <row r="359" spans="2:22">
      <c r="B359" s="273"/>
      <c r="C359" s="273"/>
      <c r="D359" s="273"/>
      <c r="E359" s="273" t="s">
        <v>1638</v>
      </c>
      <c r="F359" s="273"/>
      <c r="G359" s="273"/>
      <c r="H359" s="273"/>
      <c r="I359" s="273"/>
      <c r="J359" s="273"/>
      <c r="K359" s="273"/>
      <c r="L359" s="273"/>
      <c r="M359" s="273"/>
      <c r="N359" s="273"/>
      <c r="O359" s="273"/>
      <c r="P359" s="273"/>
      <c r="Q359" s="273"/>
      <c r="R359" s="273"/>
      <c r="S359" s="273"/>
      <c r="T359" s="273"/>
      <c r="U359" s="273"/>
      <c r="V359" s="273"/>
    </row>
    <row r="360" spans="2:22">
      <c r="B360" s="273"/>
      <c r="C360" s="273"/>
      <c r="D360" s="273"/>
      <c r="E360" s="273" t="s">
        <v>1638</v>
      </c>
      <c r="F360" s="273"/>
      <c r="G360" s="273"/>
      <c r="H360" s="273"/>
      <c r="I360" s="273"/>
      <c r="J360" s="273"/>
      <c r="K360" s="273"/>
      <c r="L360" s="273"/>
      <c r="M360" s="273"/>
      <c r="N360" s="273"/>
      <c r="O360" s="273"/>
      <c r="P360" s="273"/>
      <c r="Q360" s="273"/>
      <c r="R360" s="273"/>
      <c r="S360" s="273"/>
      <c r="T360" s="273"/>
      <c r="U360" s="273"/>
      <c r="V360" s="273"/>
    </row>
    <row r="361" spans="2:22">
      <c r="B361" s="273"/>
      <c r="C361" s="273"/>
      <c r="D361" s="273"/>
      <c r="E361" s="273" t="s">
        <v>1638</v>
      </c>
      <c r="F361" s="273"/>
      <c r="G361" s="273"/>
      <c r="H361" s="273"/>
      <c r="I361" s="273"/>
      <c r="J361" s="273"/>
      <c r="K361" s="273"/>
      <c r="L361" s="273"/>
      <c r="M361" s="273"/>
      <c r="N361" s="273"/>
      <c r="O361" s="273"/>
      <c r="P361" s="273"/>
      <c r="Q361" s="273"/>
      <c r="R361" s="273"/>
      <c r="S361" s="273"/>
      <c r="T361" s="273"/>
      <c r="U361" s="273"/>
      <c r="V361" s="273"/>
    </row>
    <row r="362" spans="2:22">
      <c r="B362" s="273"/>
      <c r="C362" s="273"/>
      <c r="D362" s="273"/>
      <c r="E362" s="273" t="s">
        <v>1638</v>
      </c>
      <c r="F362" s="273"/>
      <c r="G362" s="273"/>
      <c r="H362" s="273"/>
      <c r="I362" s="273"/>
      <c r="J362" s="273"/>
      <c r="K362" s="273"/>
      <c r="L362" s="273"/>
      <c r="M362" s="273"/>
      <c r="N362" s="273"/>
      <c r="O362" s="273"/>
      <c r="P362" s="273"/>
      <c r="Q362" s="273"/>
      <c r="R362" s="273"/>
      <c r="S362" s="273"/>
      <c r="T362" s="273"/>
      <c r="U362" s="273"/>
      <c r="V362" s="273"/>
    </row>
    <row r="363" spans="2:22">
      <c r="B363" s="273"/>
      <c r="C363" s="273"/>
      <c r="D363" s="273"/>
      <c r="E363" s="273" t="s">
        <v>1638</v>
      </c>
      <c r="F363" s="273"/>
      <c r="G363" s="273"/>
      <c r="H363" s="273"/>
      <c r="I363" s="273"/>
      <c r="J363" s="273"/>
      <c r="K363" s="273"/>
      <c r="L363" s="273"/>
      <c r="M363" s="273"/>
      <c r="N363" s="273"/>
      <c r="O363" s="273"/>
      <c r="P363" s="273"/>
      <c r="Q363" s="273"/>
      <c r="R363" s="273"/>
      <c r="S363" s="273"/>
      <c r="T363" s="273"/>
      <c r="U363" s="273"/>
      <c r="V363" s="273"/>
    </row>
    <row r="364" spans="2:22">
      <c r="B364" s="273"/>
      <c r="C364" s="273"/>
      <c r="D364" s="273"/>
      <c r="E364" s="273" t="s">
        <v>1638</v>
      </c>
      <c r="F364" s="273"/>
      <c r="G364" s="273"/>
      <c r="H364" s="273"/>
      <c r="I364" s="273"/>
      <c r="J364" s="273"/>
      <c r="K364" s="273"/>
      <c r="L364" s="273"/>
      <c r="M364" s="273"/>
      <c r="N364" s="273"/>
      <c r="O364" s="273"/>
      <c r="P364" s="273"/>
      <c r="Q364" s="273"/>
      <c r="R364" s="273"/>
      <c r="S364" s="273"/>
      <c r="T364" s="273"/>
      <c r="U364" s="273"/>
      <c r="V364" s="273"/>
    </row>
    <row r="365" spans="2:22">
      <c r="B365" s="273"/>
      <c r="C365" s="273"/>
      <c r="D365" s="273"/>
      <c r="E365" s="273" t="s">
        <v>1638</v>
      </c>
      <c r="F365" s="273"/>
      <c r="G365" s="273"/>
      <c r="H365" s="273"/>
      <c r="I365" s="273"/>
      <c r="J365" s="273"/>
      <c r="K365" s="273"/>
      <c r="L365" s="273"/>
      <c r="M365" s="273"/>
      <c r="N365" s="273"/>
      <c r="O365" s="273"/>
      <c r="P365" s="273"/>
      <c r="Q365" s="273"/>
      <c r="R365" s="273"/>
      <c r="S365" s="273"/>
      <c r="T365" s="273"/>
      <c r="U365" s="273"/>
      <c r="V365" s="273"/>
    </row>
    <row r="366" spans="2:22">
      <c r="B366" s="273"/>
      <c r="C366" s="273"/>
      <c r="D366" s="273"/>
      <c r="E366" s="273" t="s">
        <v>1638</v>
      </c>
      <c r="F366" s="273"/>
      <c r="G366" s="273"/>
      <c r="H366" s="273"/>
      <c r="I366" s="273"/>
      <c r="J366" s="273"/>
      <c r="K366" s="273"/>
      <c r="L366" s="273"/>
      <c r="M366" s="273"/>
      <c r="N366" s="273"/>
      <c r="O366" s="273"/>
      <c r="P366" s="273"/>
      <c r="Q366" s="273"/>
      <c r="R366" s="273"/>
      <c r="S366" s="273"/>
      <c r="T366" s="273"/>
      <c r="U366" s="273"/>
      <c r="V366" s="273"/>
    </row>
    <row r="367" spans="2:22">
      <c r="B367" s="273"/>
      <c r="C367" s="273"/>
      <c r="D367" s="273"/>
      <c r="E367" s="273" t="s">
        <v>1638</v>
      </c>
      <c r="F367" s="273"/>
      <c r="G367" s="273"/>
      <c r="H367" s="273"/>
      <c r="I367" s="273"/>
      <c r="J367" s="273"/>
      <c r="K367" s="273"/>
      <c r="L367" s="273"/>
      <c r="M367" s="273"/>
      <c r="N367" s="273"/>
      <c r="O367" s="273"/>
      <c r="P367" s="273"/>
      <c r="Q367" s="273"/>
      <c r="R367" s="273"/>
      <c r="S367" s="273"/>
      <c r="T367" s="273"/>
      <c r="U367" s="273"/>
      <c r="V367" s="273"/>
    </row>
    <row r="368" spans="2:22">
      <c r="B368" s="273"/>
      <c r="C368" s="273"/>
      <c r="D368" s="273"/>
      <c r="E368" s="273" t="s">
        <v>1638</v>
      </c>
      <c r="F368" s="273"/>
      <c r="G368" s="273"/>
      <c r="H368" s="273"/>
      <c r="I368" s="273"/>
      <c r="J368" s="273"/>
      <c r="K368" s="273"/>
      <c r="L368" s="273"/>
      <c r="M368" s="273"/>
      <c r="N368" s="273"/>
      <c r="O368" s="273"/>
      <c r="P368" s="273"/>
      <c r="Q368" s="273"/>
      <c r="R368" s="273"/>
      <c r="S368" s="273"/>
      <c r="T368" s="273"/>
      <c r="U368" s="273"/>
      <c r="V368" s="273"/>
    </row>
    <row r="369" spans="2:22">
      <c r="B369" s="273"/>
      <c r="C369" s="273"/>
      <c r="D369" s="273"/>
      <c r="E369" s="273" t="s">
        <v>1638</v>
      </c>
      <c r="F369" s="273"/>
      <c r="G369" s="273"/>
      <c r="H369" s="273"/>
      <c r="I369" s="273"/>
      <c r="J369" s="273"/>
      <c r="K369" s="273"/>
      <c r="L369" s="273"/>
      <c r="M369" s="273"/>
      <c r="N369" s="273"/>
      <c r="O369" s="273"/>
      <c r="P369" s="273"/>
      <c r="Q369" s="273"/>
      <c r="R369" s="273"/>
      <c r="S369" s="273"/>
      <c r="T369" s="273"/>
      <c r="U369" s="273"/>
      <c r="V369" s="273"/>
    </row>
    <row r="370" spans="2:22">
      <c r="B370" s="273"/>
      <c r="C370" s="273"/>
      <c r="D370" s="273"/>
      <c r="E370" s="273" t="s">
        <v>1638</v>
      </c>
      <c r="F370" s="273"/>
      <c r="G370" s="273"/>
      <c r="H370" s="273"/>
      <c r="I370" s="273"/>
      <c r="J370" s="273"/>
      <c r="K370" s="273"/>
      <c r="L370" s="273"/>
      <c r="M370" s="273"/>
      <c r="N370" s="273"/>
      <c r="O370" s="273"/>
      <c r="P370" s="273"/>
      <c r="Q370" s="273"/>
      <c r="R370" s="273"/>
      <c r="S370" s="273"/>
      <c r="T370" s="273"/>
      <c r="U370" s="273"/>
      <c r="V370" s="273"/>
    </row>
    <row r="371" spans="2:22">
      <c r="B371" s="273"/>
      <c r="C371" s="273"/>
      <c r="D371" s="273"/>
      <c r="E371" s="273" t="s">
        <v>1638</v>
      </c>
      <c r="F371" s="273"/>
      <c r="G371" s="273"/>
      <c r="H371" s="273"/>
      <c r="I371" s="273"/>
      <c r="J371" s="273"/>
      <c r="K371" s="273"/>
      <c r="L371" s="273"/>
      <c r="M371" s="273"/>
      <c r="N371" s="273"/>
      <c r="O371" s="273"/>
      <c r="P371" s="273"/>
      <c r="Q371" s="273"/>
      <c r="R371" s="273"/>
      <c r="S371" s="273"/>
      <c r="T371" s="273"/>
      <c r="U371" s="273"/>
      <c r="V371" s="273"/>
    </row>
    <row r="372" spans="2:22">
      <c r="B372" s="273"/>
      <c r="C372" s="273"/>
      <c r="D372" s="273"/>
      <c r="E372" s="273" t="s">
        <v>1638</v>
      </c>
      <c r="F372" s="273"/>
      <c r="G372" s="273"/>
      <c r="H372" s="273"/>
      <c r="I372" s="273"/>
      <c r="J372" s="273"/>
      <c r="K372" s="273"/>
      <c r="L372" s="273"/>
      <c r="M372" s="273"/>
      <c r="N372" s="273"/>
      <c r="O372" s="273"/>
      <c r="P372" s="273"/>
      <c r="Q372" s="273"/>
      <c r="R372" s="273"/>
      <c r="S372" s="273"/>
      <c r="T372" s="273"/>
      <c r="U372" s="273"/>
      <c r="V372" s="273"/>
    </row>
    <row r="373" spans="2:22">
      <c r="B373" s="273"/>
      <c r="C373" s="273"/>
      <c r="D373" s="273"/>
      <c r="E373" s="273" t="s">
        <v>1638</v>
      </c>
      <c r="F373" s="273"/>
      <c r="G373" s="273"/>
      <c r="H373" s="273"/>
      <c r="I373" s="273"/>
      <c r="J373" s="273"/>
      <c r="K373" s="273"/>
      <c r="L373" s="273"/>
      <c r="M373" s="273"/>
      <c r="N373" s="273"/>
      <c r="O373" s="273"/>
      <c r="P373" s="273"/>
      <c r="Q373" s="273"/>
      <c r="R373" s="273"/>
      <c r="S373" s="273"/>
      <c r="T373" s="273"/>
      <c r="U373" s="273"/>
      <c r="V373" s="273"/>
    </row>
    <row r="374" spans="2:22">
      <c r="B374" s="273"/>
      <c r="C374" s="273"/>
      <c r="D374" s="273"/>
      <c r="E374" s="273" t="s">
        <v>1638</v>
      </c>
      <c r="F374" s="273"/>
      <c r="G374" s="273"/>
      <c r="H374" s="273"/>
      <c r="I374" s="273"/>
      <c r="J374" s="273"/>
      <c r="K374" s="273"/>
      <c r="L374" s="273"/>
      <c r="M374" s="273"/>
      <c r="N374" s="273"/>
      <c r="O374" s="273"/>
      <c r="P374" s="273"/>
      <c r="Q374" s="273"/>
      <c r="R374" s="273"/>
      <c r="S374" s="273"/>
      <c r="T374" s="273"/>
      <c r="U374" s="273"/>
      <c r="V374" s="273"/>
    </row>
    <row r="375" spans="2:22">
      <c r="B375" s="273"/>
      <c r="C375" s="273"/>
      <c r="D375" s="273"/>
      <c r="E375" s="273" t="s">
        <v>1638</v>
      </c>
      <c r="F375" s="273"/>
      <c r="G375" s="273"/>
      <c r="H375" s="273"/>
      <c r="I375" s="273"/>
      <c r="J375" s="273"/>
      <c r="K375" s="273"/>
      <c r="L375" s="273"/>
      <c r="M375" s="273"/>
      <c r="N375" s="273"/>
      <c r="O375" s="273"/>
      <c r="P375" s="273"/>
      <c r="Q375" s="273"/>
      <c r="R375" s="273"/>
      <c r="S375" s="273"/>
      <c r="T375" s="273"/>
      <c r="U375" s="273"/>
      <c r="V375" s="273"/>
    </row>
    <row r="376" spans="2:22">
      <c r="B376" s="273"/>
      <c r="C376" s="273"/>
      <c r="D376" s="273"/>
      <c r="E376" s="273" t="s">
        <v>1638</v>
      </c>
      <c r="F376" s="273"/>
      <c r="G376" s="273"/>
      <c r="H376" s="273"/>
      <c r="I376" s="273"/>
      <c r="J376" s="273"/>
      <c r="K376" s="273"/>
      <c r="L376" s="273"/>
      <c r="M376" s="273"/>
      <c r="N376" s="273"/>
      <c r="O376" s="273"/>
      <c r="P376" s="273"/>
      <c r="Q376" s="273"/>
      <c r="R376" s="273"/>
      <c r="S376" s="273"/>
      <c r="T376" s="273"/>
      <c r="U376" s="273"/>
      <c r="V376" s="273"/>
    </row>
    <row r="377" spans="2:22">
      <c r="B377" s="273"/>
      <c r="C377" s="273"/>
      <c r="D377" s="273"/>
      <c r="E377" s="273" t="s">
        <v>1638</v>
      </c>
      <c r="F377" s="273"/>
      <c r="G377" s="273"/>
      <c r="H377" s="273"/>
      <c r="I377" s="273"/>
      <c r="J377" s="273"/>
      <c r="K377" s="273"/>
      <c r="L377" s="273"/>
      <c r="M377" s="273"/>
      <c r="N377" s="273"/>
      <c r="O377" s="273"/>
      <c r="P377" s="273"/>
      <c r="Q377" s="273"/>
      <c r="R377" s="273"/>
      <c r="S377" s="273"/>
      <c r="T377" s="273"/>
      <c r="U377" s="273"/>
      <c r="V377" s="273"/>
    </row>
    <row r="378" spans="2:22">
      <c r="B378" s="273"/>
      <c r="C378" s="273"/>
      <c r="D378" s="273"/>
      <c r="E378" s="273" t="s">
        <v>1638</v>
      </c>
      <c r="F378" s="273"/>
      <c r="G378" s="273"/>
      <c r="H378" s="273"/>
      <c r="I378" s="273"/>
      <c r="J378" s="273"/>
      <c r="K378" s="273"/>
      <c r="L378" s="273"/>
      <c r="M378" s="273"/>
      <c r="N378" s="273"/>
      <c r="O378" s="273"/>
      <c r="P378" s="273"/>
      <c r="Q378" s="273"/>
      <c r="R378" s="273"/>
      <c r="S378" s="273"/>
      <c r="T378" s="273"/>
      <c r="U378" s="273"/>
      <c r="V378" s="273"/>
    </row>
    <row r="379" spans="2:22">
      <c r="B379" s="273"/>
      <c r="C379" s="273"/>
      <c r="D379" s="273"/>
      <c r="E379" s="273" t="s">
        <v>1638</v>
      </c>
      <c r="F379" s="273"/>
      <c r="G379" s="273"/>
      <c r="H379" s="273"/>
      <c r="I379" s="273"/>
      <c r="J379" s="273"/>
      <c r="K379" s="273"/>
      <c r="L379" s="273"/>
      <c r="M379" s="273"/>
      <c r="N379" s="273"/>
      <c r="O379" s="273"/>
      <c r="P379" s="273"/>
      <c r="Q379" s="273"/>
      <c r="R379" s="273"/>
      <c r="S379" s="273"/>
      <c r="T379" s="273"/>
      <c r="U379" s="273"/>
      <c r="V379" s="273"/>
    </row>
    <row r="380" spans="2:22">
      <c r="B380" s="273"/>
      <c r="C380" s="273"/>
      <c r="D380" s="273"/>
      <c r="E380" s="273" t="s">
        <v>1638</v>
      </c>
      <c r="F380" s="273"/>
      <c r="G380" s="273"/>
      <c r="H380" s="273"/>
      <c r="I380" s="273"/>
      <c r="J380" s="273"/>
      <c r="K380" s="273"/>
      <c r="L380" s="273"/>
      <c r="M380" s="273"/>
      <c r="N380" s="273"/>
      <c r="O380" s="273"/>
      <c r="P380" s="273"/>
      <c r="Q380" s="273"/>
      <c r="R380" s="273"/>
      <c r="S380" s="273"/>
      <c r="T380" s="273"/>
      <c r="U380" s="273"/>
      <c r="V380" s="273"/>
    </row>
    <row r="381" spans="2:22">
      <c r="B381" s="273"/>
      <c r="C381" s="273"/>
      <c r="D381" s="273"/>
      <c r="E381" s="273" t="s">
        <v>1638</v>
      </c>
      <c r="F381" s="273"/>
      <c r="G381" s="273"/>
      <c r="H381" s="273"/>
      <c r="I381" s="273"/>
      <c r="J381" s="273"/>
      <c r="K381" s="273"/>
      <c r="L381" s="273"/>
      <c r="M381" s="273"/>
      <c r="N381" s="273"/>
      <c r="O381" s="273"/>
      <c r="P381" s="273"/>
      <c r="Q381" s="273"/>
      <c r="R381" s="273"/>
      <c r="S381" s="273"/>
      <c r="T381" s="273"/>
      <c r="U381" s="273"/>
      <c r="V381" s="273"/>
    </row>
    <row r="382" spans="2:22">
      <c r="B382" s="273"/>
      <c r="C382" s="273"/>
      <c r="D382" s="273"/>
      <c r="E382" s="273" t="s">
        <v>1638</v>
      </c>
      <c r="F382" s="273"/>
      <c r="G382" s="273"/>
      <c r="H382" s="273"/>
      <c r="I382" s="273"/>
      <c r="J382" s="273"/>
      <c r="K382" s="273"/>
      <c r="L382" s="273"/>
      <c r="M382" s="273"/>
      <c r="N382" s="273"/>
      <c r="O382" s="273"/>
      <c r="P382" s="273"/>
      <c r="Q382" s="273"/>
      <c r="R382" s="273"/>
      <c r="S382" s="273"/>
      <c r="T382" s="273"/>
      <c r="U382" s="273"/>
      <c r="V382" s="273"/>
    </row>
    <row r="383" spans="2:22">
      <c r="B383" s="273"/>
      <c r="C383" s="273"/>
      <c r="D383" s="273"/>
      <c r="E383" s="273" t="s">
        <v>1638</v>
      </c>
      <c r="F383" s="273"/>
      <c r="G383" s="273"/>
      <c r="H383" s="273"/>
      <c r="I383" s="273"/>
      <c r="J383" s="273"/>
      <c r="K383" s="273"/>
      <c r="L383" s="273"/>
      <c r="M383" s="273"/>
      <c r="N383" s="273"/>
      <c r="O383" s="273"/>
      <c r="P383" s="273"/>
      <c r="Q383" s="273"/>
      <c r="R383" s="273"/>
      <c r="S383" s="273"/>
      <c r="T383" s="273"/>
      <c r="U383" s="273"/>
      <c r="V383" s="273"/>
    </row>
    <row r="384" spans="2:22">
      <c r="B384" s="273"/>
      <c r="C384" s="273"/>
      <c r="D384" s="273"/>
      <c r="E384" s="273" t="s">
        <v>1638</v>
      </c>
      <c r="F384" s="273"/>
      <c r="G384" s="273"/>
      <c r="H384" s="273"/>
      <c r="I384" s="273"/>
      <c r="J384" s="273"/>
      <c r="K384" s="273"/>
      <c r="L384" s="273"/>
      <c r="M384" s="273"/>
      <c r="N384" s="273"/>
      <c r="O384" s="273"/>
      <c r="P384" s="273"/>
      <c r="Q384" s="273"/>
      <c r="R384" s="273"/>
      <c r="S384" s="273"/>
      <c r="T384" s="273"/>
      <c r="U384" s="273"/>
      <c r="V384" s="273"/>
    </row>
    <row r="385" spans="2:22">
      <c r="B385" s="273"/>
      <c r="C385" s="273"/>
      <c r="D385" s="273"/>
      <c r="E385" s="273" t="s">
        <v>1638</v>
      </c>
      <c r="F385" s="273"/>
      <c r="G385" s="273"/>
      <c r="H385" s="273"/>
      <c r="I385" s="273"/>
      <c r="J385" s="273"/>
      <c r="K385" s="273"/>
      <c r="L385" s="273"/>
      <c r="M385" s="273"/>
      <c r="N385" s="273"/>
      <c r="O385" s="273"/>
      <c r="P385" s="273"/>
      <c r="Q385" s="273"/>
      <c r="R385" s="273"/>
      <c r="S385" s="273"/>
      <c r="T385" s="273"/>
      <c r="U385" s="273"/>
      <c r="V385" s="273"/>
    </row>
    <row r="386" spans="2:22">
      <c r="B386" s="273"/>
      <c r="C386" s="273"/>
      <c r="D386" s="273"/>
      <c r="E386" s="273"/>
      <c r="F386" s="273"/>
      <c r="G386" s="273"/>
      <c r="H386" s="273"/>
      <c r="I386" s="273"/>
      <c r="J386" s="273"/>
      <c r="K386" s="273"/>
      <c r="L386" s="273"/>
      <c r="M386" s="273"/>
      <c r="N386" s="273"/>
      <c r="O386" s="273"/>
      <c r="P386" s="273"/>
      <c r="Q386" s="273"/>
      <c r="R386" s="273"/>
      <c r="S386" s="273"/>
      <c r="T386" s="273"/>
      <c r="U386" s="273"/>
      <c r="V386" s="273"/>
    </row>
    <row r="387" spans="2:22">
      <c r="B387" s="273"/>
      <c r="C387" s="273"/>
      <c r="D387" s="273"/>
      <c r="E387" s="273"/>
      <c r="F387" s="273"/>
      <c r="G387" s="273"/>
      <c r="H387" s="273"/>
      <c r="I387" s="273"/>
      <c r="J387" s="273"/>
      <c r="K387" s="273"/>
      <c r="L387" s="273"/>
      <c r="M387" s="273"/>
      <c r="N387" s="273"/>
      <c r="O387" s="273"/>
      <c r="P387" s="273"/>
      <c r="Q387" s="273"/>
      <c r="R387" s="273"/>
      <c r="S387" s="273"/>
      <c r="T387" s="273"/>
      <c r="U387" s="273"/>
      <c r="V387" s="273"/>
    </row>
    <row r="388" spans="2:22">
      <c r="B388" s="273"/>
      <c r="C388" s="273"/>
      <c r="D388" s="273"/>
      <c r="E388" s="273"/>
      <c r="F388" s="273"/>
      <c r="G388" s="273"/>
      <c r="H388" s="273"/>
      <c r="I388" s="273"/>
      <c r="J388" s="273"/>
      <c r="K388" s="273"/>
      <c r="L388" s="273"/>
      <c r="M388" s="273"/>
      <c r="N388" s="273"/>
      <c r="O388" s="273"/>
      <c r="P388" s="273"/>
      <c r="Q388" s="273"/>
      <c r="R388" s="273"/>
      <c r="S388" s="273"/>
      <c r="T388" s="273"/>
      <c r="U388" s="273"/>
      <c r="V388" s="273"/>
    </row>
    <row r="389" spans="2:22">
      <c r="B389" s="273"/>
      <c r="C389" s="273"/>
      <c r="D389" s="273"/>
      <c r="E389" s="273"/>
      <c r="F389" s="273"/>
      <c r="G389" s="273"/>
      <c r="H389" s="273"/>
      <c r="I389" s="273"/>
      <c r="J389" s="273"/>
      <c r="K389" s="273"/>
      <c r="L389" s="273"/>
      <c r="M389" s="273"/>
      <c r="N389" s="273"/>
      <c r="O389" s="273"/>
      <c r="P389" s="273"/>
      <c r="Q389" s="273"/>
      <c r="R389" s="273"/>
      <c r="S389" s="273"/>
      <c r="T389" s="273"/>
      <c r="U389" s="273"/>
      <c r="V389" s="273"/>
    </row>
    <row r="390" spans="2:22">
      <c r="B390" s="273"/>
      <c r="C390" s="273"/>
      <c r="D390" s="273"/>
      <c r="E390" s="273"/>
      <c r="F390" s="273"/>
      <c r="G390" s="273"/>
      <c r="H390" s="273"/>
      <c r="I390" s="273"/>
      <c r="J390" s="273"/>
      <c r="K390" s="273"/>
      <c r="L390" s="273"/>
      <c r="M390" s="273"/>
      <c r="N390" s="273"/>
      <c r="O390" s="273"/>
      <c r="P390" s="273"/>
      <c r="Q390" s="273"/>
      <c r="R390" s="273"/>
      <c r="S390" s="273"/>
      <c r="T390" s="273"/>
      <c r="U390" s="273"/>
      <c r="V390" s="273"/>
    </row>
    <row r="391" spans="2:22">
      <c r="B391" s="273"/>
      <c r="C391" s="273"/>
      <c r="D391" s="273"/>
      <c r="E391" s="273"/>
      <c r="F391" s="273"/>
      <c r="G391" s="273"/>
      <c r="H391" s="273"/>
      <c r="I391" s="273"/>
      <c r="J391" s="273"/>
      <c r="K391" s="273"/>
      <c r="L391" s="273"/>
      <c r="M391" s="273"/>
      <c r="N391" s="273"/>
      <c r="O391" s="273"/>
      <c r="P391" s="273"/>
      <c r="Q391" s="273"/>
      <c r="R391" s="273"/>
      <c r="S391" s="273"/>
      <c r="T391" s="273"/>
      <c r="U391" s="273"/>
      <c r="V391" s="273"/>
    </row>
    <row r="392" spans="2:22">
      <c r="B392" s="273"/>
      <c r="C392" s="273"/>
      <c r="D392" s="273"/>
      <c r="E392" s="273"/>
      <c r="F392" s="273"/>
      <c r="G392" s="273"/>
      <c r="H392" s="273"/>
      <c r="I392" s="273"/>
      <c r="J392" s="273"/>
      <c r="K392" s="273"/>
      <c r="L392" s="273"/>
      <c r="M392" s="273"/>
      <c r="N392" s="273"/>
      <c r="O392" s="273"/>
      <c r="P392" s="273"/>
      <c r="Q392" s="273"/>
      <c r="R392" s="273"/>
      <c r="S392" s="273"/>
      <c r="T392" s="273"/>
      <c r="U392" s="273"/>
      <c r="V392" s="273"/>
    </row>
    <row r="393" spans="2:22">
      <c r="B393" s="273"/>
      <c r="C393" s="273"/>
      <c r="D393" s="273"/>
      <c r="E393" s="273"/>
      <c r="F393" s="273"/>
      <c r="G393" s="273"/>
      <c r="H393" s="273"/>
      <c r="I393" s="273"/>
      <c r="J393" s="273"/>
      <c r="K393" s="273"/>
      <c r="L393" s="273"/>
      <c r="M393" s="273"/>
      <c r="N393" s="273"/>
      <c r="O393" s="273"/>
      <c r="P393" s="273"/>
      <c r="Q393" s="273"/>
      <c r="R393" s="273"/>
      <c r="S393" s="273"/>
      <c r="T393" s="273"/>
      <c r="U393" s="273"/>
      <c r="V393" s="273"/>
    </row>
    <row r="394" spans="2:22">
      <c r="B394" s="273"/>
      <c r="C394" s="273"/>
      <c r="D394" s="273"/>
      <c r="E394" s="273"/>
      <c r="F394" s="273"/>
      <c r="G394" s="273"/>
      <c r="H394" s="273"/>
      <c r="I394" s="273"/>
      <c r="J394" s="273"/>
      <c r="K394" s="273"/>
      <c r="L394" s="273"/>
      <c r="M394" s="273"/>
      <c r="N394" s="273"/>
      <c r="O394" s="273"/>
      <c r="P394" s="273"/>
      <c r="Q394" s="273"/>
      <c r="R394" s="273"/>
      <c r="S394" s="273"/>
      <c r="T394" s="273"/>
      <c r="U394" s="273"/>
      <c r="V394" s="273"/>
    </row>
    <row r="395" spans="2:22">
      <c r="B395" s="273"/>
      <c r="C395" s="273"/>
      <c r="D395" s="273"/>
      <c r="E395" s="273"/>
      <c r="F395" s="273"/>
      <c r="G395" s="273"/>
      <c r="H395" s="273"/>
      <c r="I395" s="273"/>
      <c r="J395" s="273"/>
      <c r="K395" s="273"/>
      <c r="L395" s="273"/>
      <c r="M395" s="273"/>
      <c r="N395" s="273"/>
      <c r="O395" s="273"/>
      <c r="P395" s="273"/>
      <c r="Q395" s="273"/>
      <c r="R395" s="273"/>
      <c r="S395" s="273"/>
      <c r="T395" s="273"/>
      <c r="U395" s="273"/>
      <c r="V395" s="273"/>
    </row>
    <row r="396" spans="2:22">
      <c r="B396" s="273"/>
      <c r="C396" s="273"/>
      <c r="D396" s="273"/>
      <c r="E396" s="273"/>
      <c r="F396" s="273"/>
      <c r="G396" s="273"/>
      <c r="H396" s="273"/>
      <c r="I396" s="273"/>
      <c r="J396" s="273"/>
      <c r="K396" s="273"/>
      <c r="L396" s="273"/>
      <c r="M396" s="273"/>
      <c r="N396" s="273"/>
      <c r="O396" s="273"/>
      <c r="P396" s="273"/>
      <c r="Q396" s="273"/>
      <c r="R396" s="273"/>
      <c r="S396" s="273"/>
      <c r="T396" s="273"/>
      <c r="U396" s="273"/>
      <c r="V396" s="273"/>
    </row>
    <row r="397" spans="2:22">
      <c r="B397" s="273"/>
      <c r="C397" s="273"/>
      <c r="D397" s="273"/>
      <c r="E397" s="273"/>
      <c r="F397" s="273"/>
      <c r="G397" s="273"/>
      <c r="H397" s="273"/>
      <c r="I397" s="273"/>
      <c r="J397" s="273"/>
      <c r="K397" s="273"/>
      <c r="L397" s="273"/>
      <c r="M397" s="273"/>
      <c r="N397" s="273"/>
      <c r="O397" s="273"/>
      <c r="P397" s="273"/>
      <c r="Q397" s="273"/>
      <c r="R397" s="273"/>
      <c r="S397" s="273"/>
      <c r="T397" s="273"/>
      <c r="U397" s="273"/>
      <c r="V397" s="273"/>
    </row>
    <row r="398" spans="2:22">
      <c r="B398" s="273"/>
      <c r="C398" s="273"/>
      <c r="D398" s="273"/>
      <c r="E398" s="273"/>
      <c r="F398" s="273"/>
      <c r="G398" s="273"/>
      <c r="H398" s="273"/>
      <c r="I398" s="273"/>
      <c r="J398" s="273"/>
      <c r="K398" s="273"/>
      <c r="L398" s="273"/>
      <c r="M398" s="273"/>
      <c r="N398" s="273"/>
      <c r="O398" s="273"/>
      <c r="P398" s="273"/>
      <c r="Q398" s="273"/>
      <c r="R398" s="273"/>
      <c r="S398" s="273"/>
      <c r="T398" s="273"/>
      <c r="U398" s="273"/>
      <c r="V398" s="273"/>
    </row>
    <row r="399" spans="2:22">
      <c r="B399" s="273"/>
      <c r="C399" s="273"/>
      <c r="D399" s="273"/>
      <c r="E399" s="273"/>
      <c r="F399" s="273"/>
      <c r="G399" s="273"/>
      <c r="H399" s="273"/>
      <c r="I399" s="273"/>
      <c r="J399" s="273"/>
      <c r="K399" s="273"/>
      <c r="L399" s="273"/>
      <c r="M399" s="273"/>
      <c r="N399" s="273"/>
      <c r="O399" s="273"/>
      <c r="P399" s="273"/>
      <c r="Q399" s="273"/>
      <c r="R399" s="273"/>
      <c r="S399" s="273"/>
      <c r="T399" s="273"/>
      <c r="U399" s="273"/>
      <c r="V399" s="273"/>
    </row>
    <row r="400" spans="2:22">
      <c r="B400" s="273"/>
      <c r="C400" s="273"/>
      <c r="D400" s="273"/>
      <c r="E400" s="273"/>
      <c r="F400" s="273"/>
      <c r="G400" s="273"/>
      <c r="H400" s="273"/>
      <c r="I400" s="273"/>
      <c r="J400" s="273"/>
      <c r="K400" s="273"/>
      <c r="L400" s="273"/>
      <c r="M400" s="273"/>
      <c r="N400" s="273"/>
      <c r="O400" s="273"/>
      <c r="P400" s="273"/>
      <c r="Q400" s="273"/>
      <c r="R400" s="273"/>
      <c r="S400" s="273"/>
      <c r="T400" s="273"/>
      <c r="U400" s="273"/>
      <c r="V400" s="273"/>
    </row>
    <row r="401" spans="14:18">
      <c r="N401" s="273"/>
      <c r="O401" s="273"/>
      <c r="P401" s="273"/>
      <c r="Q401" s="273"/>
      <c r="R401" s="273"/>
    </row>
    <row r="402" spans="14:18">
      <c r="N402" s="273"/>
      <c r="O402" s="273"/>
      <c r="P402" s="273"/>
      <c r="Q402" s="273"/>
      <c r="R402" s="273"/>
    </row>
    <row r="403" spans="14:18">
      <c r="N403" s="273"/>
      <c r="O403" s="273"/>
      <c r="P403" s="273"/>
      <c r="Q403" s="273"/>
      <c r="R403" s="273"/>
    </row>
    <row r="404" spans="14:18">
      <c r="N404" s="273"/>
      <c r="O404" s="273"/>
      <c r="P404" s="273"/>
      <c r="Q404" s="273"/>
      <c r="R404" s="273"/>
    </row>
    <row r="405" spans="14:18">
      <c r="N405" s="273"/>
      <c r="O405" s="273"/>
      <c r="P405" s="273"/>
      <c r="Q405" s="273"/>
      <c r="R405" s="273"/>
    </row>
    <row r="406" spans="14:18">
      <c r="N406" s="273"/>
      <c r="O406" s="273"/>
      <c r="P406" s="273"/>
      <c r="Q406" s="273"/>
      <c r="R406" s="273"/>
    </row>
    <row r="407" spans="14:18">
      <c r="N407" s="273"/>
      <c r="O407" s="273"/>
      <c r="P407" s="273"/>
      <c r="Q407" s="273"/>
      <c r="R407" s="273"/>
    </row>
    <row r="408" spans="14:18">
      <c r="N408" s="273"/>
      <c r="O408" s="273"/>
      <c r="P408" s="273"/>
      <c r="Q408" s="273"/>
      <c r="R408" s="273"/>
    </row>
    <row r="409" spans="14:18">
      <c r="N409" s="273"/>
      <c r="O409" s="273"/>
      <c r="P409" s="273"/>
      <c r="Q409" s="273"/>
      <c r="R409" s="273"/>
    </row>
    <row r="410" spans="14:18">
      <c r="N410" s="273"/>
      <c r="O410" s="273"/>
      <c r="P410" s="273"/>
      <c r="Q410" s="273"/>
      <c r="R410" s="273"/>
    </row>
    <row r="411" spans="14:18">
      <c r="N411" s="273"/>
      <c r="O411" s="273"/>
      <c r="P411" s="273"/>
      <c r="Q411" s="273"/>
      <c r="R411" s="273"/>
    </row>
    <row r="412" spans="14:18">
      <c r="N412" s="273"/>
      <c r="O412" s="273"/>
      <c r="P412" s="273"/>
      <c r="Q412" s="273"/>
      <c r="R412" s="273"/>
    </row>
    <row r="413" spans="14:18">
      <c r="N413" s="273"/>
      <c r="O413" s="273"/>
      <c r="P413" s="273"/>
      <c r="Q413" s="273"/>
      <c r="R413" s="273"/>
    </row>
    <row r="414" spans="14:18">
      <c r="N414" s="273"/>
      <c r="O414" s="273"/>
      <c r="P414" s="273"/>
      <c r="Q414" s="273"/>
      <c r="R414" s="273"/>
    </row>
    <row r="415" spans="14:18">
      <c r="N415" s="273"/>
      <c r="O415" s="273"/>
      <c r="P415" s="273"/>
      <c r="Q415" s="273"/>
      <c r="R415" s="273"/>
    </row>
    <row r="416" spans="14:18">
      <c r="N416" s="273"/>
      <c r="O416" s="273"/>
      <c r="P416" s="273"/>
      <c r="Q416" s="273"/>
      <c r="R416" s="273"/>
    </row>
  </sheetData>
  <sortState xmlns:xlrd2="http://schemas.microsoft.com/office/spreadsheetml/2017/richdata2" ref="A2:F92">
    <sortCondition ref="C2:C92"/>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8073435-F73A-48AD-97A5-7A3E9AC1F0E4}">
          <x14:formula1>
            <xm:f>'Read me and More'!$F$18:$F$20</xm:f>
          </x14:formula1>
          <xm:sqref>E38:E385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98"/>
  <sheetViews>
    <sheetView workbookViewId="0">
      <pane ySplit="4" topLeftCell="A69" activePane="bottomLeft" state="frozen"/>
      <selection pane="bottomLeft" activeCell="V75" sqref="V75"/>
    </sheetView>
  </sheetViews>
  <sheetFormatPr defaultColWidth="14.42578125" defaultRowHeight="15.75" customHeight="1"/>
  <cols>
    <col min="1" max="1" width="11" style="77" bestFit="1" customWidth="1"/>
    <col min="2" max="8" width="3.7109375" customWidth="1"/>
    <col min="9" max="9" width="4.85546875" customWidth="1"/>
    <col min="10" max="10" width="11.5703125" customWidth="1"/>
    <col min="11" max="17" width="3.7109375" customWidth="1"/>
    <col min="18" max="18" width="5.5703125" customWidth="1"/>
    <col min="19" max="22" width="3.7109375" customWidth="1"/>
    <col min="23" max="23" width="3.85546875" customWidth="1"/>
    <col min="24" max="24" width="3.7109375" style="143" customWidth="1"/>
  </cols>
  <sheetData>
    <row r="1" spans="1:48" ht="15.75" customHeight="1">
      <c r="A1" s="118" t="s">
        <v>1744</v>
      </c>
      <c r="B1" s="281" t="s">
        <v>1745</v>
      </c>
      <c r="C1" s="277"/>
      <c r="D1" s="277"/>
      <c r="E1" s="277"/>
      <c r="F1" s="277"/>
      <c r="G1" s="277"/>
      <c r="H1" s="277"/>
      <c r="I1" s="35"/>
      <c r="J1" s="274" t="s">
        <v>1746</v>
      </c>
      <c r="K1" s="281" t="s">
        <v>1747</v>
      </c>
      <c r="L1" s="277"/>
      <c r="M1" s="277"/>
      <c r="N1" s="277"/>
      <c r="O1" s="277"/>
      <c r="P1" s="277"/>
      <c r="Q1" s="277"/>
      <c r="R1" s="5"/>
      <c r="S1" s="281" t="s">
        <v>1748</v>
      </c>
      <c r="T1" s="277"/>
      <c r="U1" s="277"/>
      <c r="V1" s="277"/>
      <c r="W1" s="277"/>
      <c r="X1" s="277"/>
      <c r="Y1" s="273"/>
      <c r="Z1" s="273"/>
      <c r="AA1" s="273"/>
      <c r="AB1" s="273"/>
      <c r="AC1" s="273"/>
      <c r="AD1" s="273"/>
      <c r="AE1" s="273"/>
      <c r="AF1" s="273"/>
      <c r="AG1" s="273"/>
      <c r="AH1" s="273"/>
      <c r="AI1" s="273"/>
      <c r="AJ1" s="273"/>
      <c r="AK1" s="273"/>
      <c r="AL1" s="273"/>
      <c r="AM1" s="273"/>
      <c r="AN1" s="273"/>
      <c r="AO1" s="273"/>
      <c r="AP1" s="273"/>
      <c r="AQ1" s="273"/>
      <c r="AR1" s="273"/>
      <c r="AS1" s="273"/>
      <c r="AT1" s="273"/>
      <c r="AU1" s="273"/>
      <c r="AV1" s="273"/>
    </row>
    <row r="2" spans="1:48" ht="12.75">
      <c r="A2" s="119"/>
      <c r="B2" s="30" t="s">
        <v>8</v>
      </c>
      <c r="C2" s="30" t="s">
        <v>19</v>
      </c>
      <c r="D2" s="30" t="s">
        <v>11</v>
      </c>
      <c r="E2" s="30" t="s">
        <v>16</v>
      </c>
      <c r="F2" s="30" t="s">
        <v>24</v>
      </c>
      <c r="G2" s="30" t="s">
        <v>18</v>
      </c>
      <c r="H2" s="29" t="s">
        <v>1749</v>
      </c>
      <c r="I2" s="31"/>
      <c r="J2" s="32"/>
      <c r="K2" s="29" t="s">
        <v>8</v>
      </c>
      <c r="L2" s="29" t="s">
        <v>19</v>
      </c>
      <c r="M2" s="29" t="s">
        <v>11</v>
      </c>
      <c r="N2" s="29" t="s">
        <v>16</v>
      </c>
      <c r="O2" s="29" t="s">
        <v>24</v>
      </c>
      <c r="P2" s="29" t="s">
        <v>18</v>
      </c>
      <c r="Q2" s="29" t="s">
        <v>1749</v>
      </c>
      <c r="R2" s="31"/>
      <c r="S2" s="31"/>
      <c r="T2" s="31"/>
      <c r="U2" s="31"/>
      <c r="V2" s="31"/>
      <c r="W2" s="31"/>
      <c r="X2" s="140"/>
      <c r="Y2" s="273"/>
      <c r="Z2" s="273"/>
      <c r="AA2" s="273"/>
      <c r="AB2" s="273"/>
      <c r="AC2" s="273"/>
      <c r="AD2" s="273"/>
      <c r="AE2" s="273"/>
      <c r="AF2" s="273"/>
      <c r="AG2" s="273"/>
      <c r="AH2" s="273"/>
      <c r="AI2" s="273"/>
      <c r="AJ2" s="273"/>
      <c r="AK2" s="273"/>
      <c r="AL2" s="273"/>
      <c r="AM2" s="273"/>
      <c r="AN2" s="273"/>
      <c r="AO2" s="273"/>
      <c r="AP2" s="273"/>
      <c r="AQ2" s="273"/>
      <c r="AR2" s="273"/>
      <c r="AS2" s="273"/>
      <c r="AT2" s="273"/>
      <c r="AU2" s="273"/>
      <c r="AV2" s="273"/>
    </row>
    <row r="3" spans="1:48" ht="12.75">
      <c r="A3" s="120" t="s">
        <v>1750</v>
      </c>
      <c r="B3" s="34">
        <f>SUM(B5:B998)-SUM(K5:K998)</f>
        <v>2</v>
      </c>
      <c r="C3" s="34">
        <f t="shared" ref="C3:G3" si="0">SUM(C5:C998)-SUM(L5:L998)</f>
        <v>0</v>
      </c>
      <c r="D3" s="34">
        <f t="shared" si="0"/>
        <v>0</v>
      </c>
      <c r="E3" s="34">
        <f>SUM(E5:E998)-SUM(N5:N998)</f>
        <v>4</v>
      </c>
      <c r="F3" s="34">
        <f t="shared" si="0"/>
        <v>2</v>
      </c>
      <c r="G3" s="34">
        <f t="shared" si="0"/>
        <v>0</v>
      </c>
      <c r="H3" s="34">
        <f>SUM(B3:G3)</f>
        <v>8</v>
      </c>
      <c r="I3" s="273"/>
      <c r="J3" s="33" t="s">
        <v>1751</v>
      </c>
      <c r="K3" s="34">
        <f t="shared" ref="K3:O3" si="1">SUM(K5:K998)-SUM(S5:S998)</f>
        <v>0</v>
      </c>
      <c r="L3" s="34">
        <f t="shared" si="1"/>
        <v>0</v>
      </c>
      <c r="M3" s="34">
        <f t="shared" si="1"/>
        <v>10</v>
      </c>
      <c r="N3" s="34">
        <f t="shared" si="1"/>
        <v>11</v>
      </c>
      <c r="O3" s="34">
        <f t="shared" si="1"/>
        <v>0</v>
      </c>
      <c r="P3" s="34">
        <f>SUM(P5:P998)-SUM(X5:X998)</f>
        <v>0</v>
      </c>
      <c r="Q3" s="34">
        <f>SUM(K3:P3)</f>
        <v>21</v>
      </c>
      <c r="R3" s="35"/>
      <c r="S3" s="35"/>
      <c r="T3" s="274"/>
      <c r="U3" s="36"/>
      <c r="V3" s="36"/>
      <c r="W3" s="36"/>
      <c r="X3" s="141"/>
      <c r="Y3" s="273"/>
      <c r="Z3" s="273"/>
      <c r="AA3" s="273"/>
      <c r="AB3" s="273"/>
      <c r="AC3" s="273"/>
      <c r="AD3" s="273"/>
      <c r="AE3" s="273"/>
      <c r="AF3" s="273"/>
      <c r="AG3" s="273"/>
      <c r="AH3" s="273"/>
      <c r="AI3" s="273"/>
      <c r="AJ3" s="273"/>
      <c r="AK3" s="273"/>
      <c r="AL3" s="273"/>
      <c r="AM3" s="273"/>
      <c r="AN3" s="273"/>
      <c r="AO3" s="273"/>
      <c r="AP3" s="273"/>
      <c r="AQ3" s="273"/>
      <c r="AR3" s="273"/>
      <c r="AS3" s="273"/>
      <c r="AT3" s="273"/>
      <c r="AU3" s="273"/>
      <c r="AV3" s="273"/>
    </row>
    <row r="4" spans="1:48" ht="12.75">
      <c r="A4" s="121" t="s">
        <v>60</v>
      </c>
      <c r="B4" s="274" t="s">
        <v>8</v>
      </c>
      <c r="C4" s="274" t="s">
        <v>19</v>
      </c>
      <c r="D4" s="274" t="s">
        <v>11</v>
      </c>
      <c r="E4" s="274" t="s">
        <v>16</v>
      </c>
      <c r="F4" s="274" t="s">
        <v>24</v>
      </c>
      <c r="G4" s="274" t="s">
        <v>18</v>
      </c>
      <c r="H4" s="37"/>
      <c r="I4" s="48"/>
      <c r="J4" s="273"/>
      <c r="K4" s="274" t="s">
        <v>8</v>
      </c>
      <c r="L4" s="274" t="s">
        <v>19</v>
      </c>
      <c r="M4" s="274" t="s">
        <v>11</v>
      </c>
      <c r="N4" s="274" t="s">
        <v>16</v>
      </c>
      <c r="O4" s="274" t="s">
        <v>24</v>
      </c>
      <c r="P4" s="274" t="s">
        <v>18</v>
      </c>
      <c r="Q4" s="37"/>
      <c r="R4" s="273"/>
      <c r="S4" s="274" t="s">
        <v>8</v>
      </c>
      <c r="T4" s="274" t="s">
        <v>19</v>
      </c>
      <c r="U4" s="274" t="s">
        <v>11</v>
      </c>
      <c r="V4" s="274" t="s">
        <v>16</v>
      </c>
      <c r="W4" s="274" t="s">
        <v>24</v>
      </c>
      <c r="X4" s="37" t="s">
        <v>18</v>
      </c>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row>
    <row r="5" spans="1:48" ht="12.75">
      <c r="A5" s="126">
        <v>44011</v>
      </c>
      <c r="B5" s="31" t="str">
        <f>IF((COUNTIFS('Cage Tally'!$A:$A,$A5,'Cage Tally'!$C:$C,'Cage tracking'!B$4,'Cage Tally'!$E:$E, "Dark")=0),"",COUNTIFS('Cage Tally'!$A:$A,$A5,'Cage Tally'!$C:$C,'Cage tracking'!B$4,'Cage Tally'!$E:$E, "Dark"))</f>
        <v/>
      </c>
      <c r="C5" s="31" t="str">
        <f>IF((COUNTIFS('Cage Tally'!$A:$A,$A5,'Cage Tally'!$C:$C,'Cage tracking'!C$4,'Cage Tally'!$E:$E, "Dark")=0),"",COUNTIFS('Cage Tally'!$A:$A,$A5,'Cage Tally'!$C:$C,'Cage tracking'!C$4,'Cage Tally'!$E:$E, "Dark"))</f>
        <v/>
      </c>
      <c r="D5" s="31">
        <f>IF((COUNTIFS('Cage Tally'!$A:$A,$A5,'Cage Tally'!$C:$C,'Cage tracking'!D$4,'Cage Tally'!$E:$E, "Dark")=0),"",COUNTIFS('Cage Tally'!$A:$A,$A5,'Cage Tally'!$C:$C,'Cage tracking'!D$4,'Cage Tally'!$E:$E, "Dark"))</f>
        <v>1</v>
      </c>
      <c r="E5" s="31">
        <f>IF((COUNTIFS('Cage Tally'!$A:$A,$A5,'Cage Tally'!$C:$C,'Cage tracking'!E$4,'Cage Tally'!$E:$E, "Dark")=0),"",COUNTIFS('Cage Tally'!$A:$A,$A5,'Cage Tally'!$C:$C,'Cage tracking'!E$4,'Cage Tally'!$E:$E, "Dark"))</f>
        <v>2</v>
      </c>
      <c r="F5" s="31" t="str">
        <f>IF((COUNTIFS('Cage Tally'!$A:$A,$A5,'Cage Tally'!$C:$C,'Cage tracking'!F$4,'Cage Tally'!$E:$E, "Dark")=0),"",COUNTIFS('Cage Tally'!$A:$A,$A5,'Cage Tally'!$C:$C,'Cage tracking'!F$4,'Cage Tally'!$E:$E, "Dark"))</f>
        <v/>
      </c>
      <c r="G5" s="31" t="str">
        <f>IF((COUNTIFS('Cage Tally'!$A:$A,$A5,'Cage Tally'!$C:$C,'Cage tracking'!G$4,'Cage Tally'!$E:$E, "Dark")=0),"",COUNTIFS('Cage Tally'!$A:$A,$A5,'Cage Tally'!$C:$C,'Cage tracking'!G$4,'Cage Tally'!$E:$E, "Dark"))</f>
        <v/>
      </c>
      <c r="H5" s="127"/>
      <c r="I5" s="128"/>
      <c r="J5" s="31"/>
      <c r="K5" s="31" t="str">
        <f>IF((COUNTIFS('Cage Tally'!$A:$A,$A5,'Cage Tally'!$C:$C,'Cage tracking'!K$4,'Cage Tally'!$E:$E, "Light")=0),"",COUNTIFS('Cage Tally'!$A:$A,$A5,'Cage Tally'!$C:$C,'Cage tracking'!K$4,'Cage Tally'!$E:$E, "Light"))</f>
        <v/>
      </c>
      <c r="L5" s="31" t="str">
        <f>IF((COUNTIFS('Cage Tally'!$A:$A,$A5,'Cage Tally'!$C:$C,'Cage tracking'!L$4,'Cage Tally'!$E:$E, "Light")=0),"",COUNTIFS('Cage Tally'!$A:$A,$A5,'Cage Tally'!$C:$C,'Cage tracking'!L$4,'Cage Tally'!$E:$E, "Light"))</f>
        <v/>
      </c>
      <c r="M5" s="31" t="str">
        <f>IF((COUNTIFS('Cage Tally'!$A:$A,$A5,'Cage Tally'!$C:$C,'Cage tracking'!M$4,'Cage Tally'!$E:$E, "Light")=0),"",COUNTIFS('Cage Tally'!$A:$A,$A5,'Cage Tally'!$C:$C,'Cage tracking'!M$4,'Cage Tally'!$E:$E, "Light"))</f>
        <v/>
      </c>
      <c r="N5" s="31" t="str">
        <f>IF((COUNTIFS('Cage Tally'!$A:$A,$A5,'Cage Tally'!$C:$C,'Cage tracking'!N$4,'Cage Tally'!$E:$E, "Light")=0),"",COUNTIFS('Cage Tally'!$A:$A,$A5,'Cage Tally'!$C:$C,'Cage tracking'!N$4,'Cage Tally'!$E:$E, "Light"))</f>
        <v/>
      </c>
      <c r="O5" s="31" t="str">
        <f>IF((COUNTIFS('Cage Tally'!$A:$A,$A5,'Cage Tally'!$C:$C,'Cage tracking'!O$4,'Cage Tally'!$E:$E, "Light")=0),"",COUNTIFS('Cage Tally'!$A:$A,$A5,'Cage Tally'!$C:$C,'Cage tracking'!O$4,'Cage Tally'!$E:$E, "Light"))</f>
        <v/>
      </c>
      <c r="P5" s="31" t="str">
        <f>IF((COUNTIFS('Cage Tally'!$A:$A,$A5,'Cage Tally'!$C:$C,'Cage tracking'!P$4,'Cage Tally'!$E:$E, "Light")=0),"",COUNTIFS('Cage Tally'!$A:$A,$A5,'Cage Tally'!$C:$C,'Cage tracking'!P$4,'Cage Tally'!$E:$E, "Light"))</f>
        <v/>
      </c>
      <c r="Q5" s="129"/>
      <c r="R5" s="130"/>
      <c r="S5" s="31" t="str">
        <f>IF((COUNTIFS('Cage Tally'!$A:$A,$A5,'Cage Tally'!$C:$C,'Cage tracking'!S$4,'Cage Tally'!$E:$E, "decomm")=0),"",COUNTIFS('Cage Tally'!$A:$A,$A5,'Cage Tally'!$C:$C,'Cage tracking'!S$4,'Cage Tally'!$E:$E, "decomm"))</f>
        <v/>
      </c>
      <c r="T5" s="31" t="str">
        <f>IF((COUNTIFS('Cage Tally'!$A:$A,$A5,'Cage Tally'!$C:$C,'Cage tracking'!T$4,'Cage Tally'!$E:$E, "decomm")=0),"",COUNTIFS('Cage Tally'!$A:$A,$A5,'Cage Tally'!$C:$C,'Cage tracking'!T$4,'Cage Tally'!$E:$E, "decomm"))</f>
        <v/>
      </c>
      <c r="U5" s="31" t="str">
        <f>IF((COUNTIFS('Cage Tally'!$A:$A,$A5,'Cage Tally'!$C:$C,'Cage tracking'!U$4,'Cage Tally'!$E:$E, "decomm")=0),"",COUNTIFS('Cage Tally'!$A:$A,$A5,'Cage Tally'!$C:$C,'Cage tracking'!U$4,'Cage Tally'!$E:$E, "decomm"))</f>
        <v/>
      </c>
      <c r="V5" s="31" t="str">
        <f>IF((COUNTIFS('Cage Tally'!$A:$A,$A5,'Cage Tally'!$C:$C,'Cage tracking'!V$4,'Cage Tally'!$E:$E, "decomm")=0),"",COUNTIFS('Cage Tally'!$A:$A,$A5,'Cage Tally'!$C:$C,'Cage tracking'!V$4,'Cage Tally'!$E:$E, "decomm"))</f>
        <v/>
      </c>
      <c r="W5" s="31" t="str">
        <f>IF((COUNTIFS('Cage Tally'!$A:$A,$A5,'Cage Tally'!$C:$C,'Cage tracking'!W$4,'Cage Tally'!$E:$E, "decomm")=0),"",COUNTIFS('Cage Tally'!$A:$A,$A5,'Cage Tally'!$C:$C,'Cage tracking'!W$4,'Cage Tally'!$E:$E, "decomm"))</f>
        <v/>
      </c>
      <c r="X5" s="140" t="str">
        <f>IF((COUNTIFS('Cage Tally'!$A:$A,$A5,'Cage Tally'!$C:$C,'Cage tracking'!X$4,'Cage Tally'!$E:$E, "decomm")=0),"",COUNTIFS('Cage Tally'!$A:$A,$A5,'Cage Tally'!$C:$C,'Cage tracking'!X$4,'Cage Tally'!$E:$E, "decomm"))</f>
        <v/>
      </c>
      <c r="Y5" s="273"/>
      <c r="Z5" s="273"/>
      <c r="AA5" s="273"/>
      <c r="AB5" s="273"/>
      <c r="AC5" s="273"/>
      <c r="AD5" s="273"/>
      <c r="AE5" s="273"/>
      <c r="AF5" s="273"/>
      <c r="AG5" s="273"/>
      <c r="AH5" s="273"/>
      <c r="AI5" s="273"/>
      <c r="AJ5" s="273"/>
      <c r="AK5" s="273"/>
      <c r="AL5" s="273"/>
      <c r="AM5" s="273"/>
      <c r="AN5" s="273"/>
      <c r="AO5" s="273"/>
      <c r="AP5" s="273"/>
      <c r="AQ5" s="273"/>
      <c r="AR5" s="273"/>
      <c r="AS5" s="273"/>
      <c r="AT5" s="273"/>
      <c r="AU5" s="273"/>
      <c r="AV5" s="273"/>
    </row>
    <row r="6" spans="1:48" ht="12.75">
      <c r="A6" s="131">
        <v>44012</v>
      </c>
      <c r="B6" s="132" t="str">
        <f>IF((COUNTIFS('Cage Tally'!$A:$A,$A6,'Cage Tally'!$C:$C,'Cage tracking'!B$4,'Cage Tally'!$E:$E, "Dark")=0),"",COUNTIFS('Cage Tally'!$A:$A,$A6,'Cage Tally'!$C:$C,'Cage tracking'!B$4,'Cage Tally'!$E:$E, "Dark"))</f>
        <v/>
      </c>
      <c r="C6" s="132" t="str">
        <f>IF((COUNTIFS('Cage Tally'!$A:$A,$A6,'Cage Tally'!$C:$C,'Cage tracking'!C$4,'Cage Tally'!$E:$E, "Dark")=0),"",COUNTIFS('Cage Tally'!$A:$A,$A6,'Cage Tally'!$C:$C,'Cage tracking'!C$4,'Cage Tally'!$E:$E, "Dark"))</f>
        <v/>
      </c>
      <c r="D6" s="132" t="str">
        <f>IF((COUNTIFS('Cage Tally'!$A:$A,$A6,'Cage Tally'!$C:$C,'Cage tracking'!D$4,'Cage Tally'!$E:$E, "Dark")=0),"",COUNTIFS('Cage Tally'!$A:$A,$A6,'Cage Tally'!$C:$C,'Cage tracking'!D$4,'Cage Tally'!$E:$E, "Dark"))</f>
        <v/>
      </c>
      <c r="E6" s="132" t="str">
        <f>IF((COUNTIFS('Cage Tally'!$A:$A,$A6,'Cage Tally'!$C:$C,'Cage tracking'!E$4,'Cage Tally'!$E:$E, "Dark")=0),"",COUNTIFS('Cage Tally'!$A:$A,$A6,'Cage Tally'!$C:$C,'Cage tracking'!E$4,'Cage Tally'!$E:$E, "Dark"))</f>
        <v/>
      </c>
      <c r="F6" s="132">
        <f>IF((COUNTIFS('Cage Tally'!$A:$A,$A6,'Cage Tally'!$C:$C,'Cage tracking'!F$4,'Cage Tally'!$E:$E, "Dark")=0),"",COUNTIFS('Cage Tally'!$A:$A,$A6,'Cage Tally'!$C:$C,'Cage tracking'!F$4,'Cage Tally'!$E:$E, "Dark"))</f>
        <v>3</v>
      </c>
      <c r="G6" s="132" t="str">
        <f>IF((COUNTIFS('Cage Tally'!$A:$A,$A6,'Cage Tally'!$C:$C,'Cage tracking'!G$4,'Cage Tally'!$E:$E, "Dark")=0),"",COUNTIFS('Cage Tally'!$A:$A,$A6,'Cage Tally'!$C:$C,'Cage tracking'!G$4,'Cage Tally'!$E:$E, "Dark"))</f>
        <v/>
      </c>
      <c r="H6" s="133"/>
      <c r="I6" s="134"/>
      <c r="J6" s="132"/>
      <c r="K6" s="132" t="str">
        <f>IF((COUNTIFS('Cage Tally'!$A:$A,$A6,'Cage Tally'!$C:$C,'Cage tracking'!K$4,'Cage Tally'!$E:$E, "Light")=0),"",COUNTIFS('Cage Tally'!$A:$A,$A6,'Cage Tally'!$C:$C,'Cage tracking'!K$4,'Cage Tally'!$E:$E, "Light"))</f>
        <v/>
      </c>
      <c r="L6" s="132" t="str">
        <f>IF((COUNTIFS('Cage Tally'!$A:$A,$A6,'Cage Tally'!$C:$C,'Cage tracking'!L$4,'Cage Tally'!$E:$E, "Light")=0),"",COUNTIFS('Cage Tally'!$A:$A,$A6,'Cage Tally'!$C:$C,'Cage tracking'!L$4,'Cage Tally'!$E:$E, "Light"))</f>
        <v/>
      </c>
      <c r="M6" s="132">
        <f>IF((COUNTIFS('Cage Tally'!$A:$A,$A6,'Cage Tally'!$C:$C,'Cage tracking'!M$4,'Cage Tally'!$E:$E, "Light")=0),"",COUNTIFS('Cage Tally'!$A:$A,$A6,'Cage Tally'!$C:$C,'Cage tracking'!M$4,'Cage Tally'!$E:$E, "Light"))</f>
        <v>1</v>
      </c>
      <c r="N6" s="132" t="str">
        <f>IF((COUNTIFS('Cage Tally'!$A:$A,$A6,'Cage Tally'!$C:$C,'Cage tracking'!N$4,'Cage Tally'!$E:$E, "Light")=0),"",COUNTIFS('Cage Tally'!$A:$A,$A6,'Cage Tally'!$C:$C,'Cage tracking'!N$4,'Cage Tally'!$E:$E, "Light"))</f>
        <v/>
      </c>
      <c r="O6" s="132" t="str">
        <f>IF((COUNTIFS('Cage Tally'!$A:$A,$A6,'Cage Tally'!$C:$C,'Cage tracking'!O$4,'Cage Tally'!$E:$E, "Light")=0),"",COUNTIFS('Cage Tally'!$A:$A,$A6,'Cage Tally'!$C:$C,'Cage tracking'!O$4,'Cage Tally'!$E:$E, "Light"))</f>
        <v/>
      </c>
      <c r="P6" s="132" t="str">
        <f>IF((COUNTIFS('Cage Tally'!$A:$A,$A6,'Cage Tally'!$C:$C,'Cage tracking'!P$4,'Cage Tally'!$E:$E, "Light")=0),"",COUNTIFS('Cage Tally'!$A:$A,$A6,'Cage Tally'!$C:$C,'Cage tracking'!P$4,'Cage Tally'!$E:$E, "Light"))</f>
        <v/>
      </c>
      <c r="Q6" s="135"/>
      <c r="R6" s="136"/>
      <c r="S6" s="132" t="str">
        <f>IF((COUNTIFS('Cage Tally'!$A:$A,$A6,'Cage Tally'!$C:$C,'Cage tracking'!S$4,'Cage Tally'!$E:$E, "decomm")=0),"",COUNTIFS('Cage Tally'!$A:$A,$A6,'Cage Tally'!$C:$C,'Cage tracking'!S$4,'Cage Tally'!$E:$E, "decomm"))</f>
        <v/>
      </c>
      <c r="T6" s="132" t="str">
        <f>IF((COUNTIFS('Cage Tally'!$A:$A,$A6,'Cage Tally'!$C:$C,'Cage tracking'!T$4,'Cage Tally'!$E:$E, "decomm")=0),"",COUNTIFS('Cage Tally'!$A:$A,$A6,'Cage Tally'!$C:$C,'Cage tracking'!T$4,'Cage Tally'!$E:$E, "decomm"))</f>
        <v/>
      </c>
      <c r="U6" s="132" t="str">
        <f>IF((COUNTIFS('Cage Tally'!$A:$A,$A6,'Cage Tally'!$C:$C,'Cage tracking'!U$4,'Cage Tally'!$E:$E, "decomm")=0),"",COUNTIFS('Cage Tally'!$A:$A,$A6,'Cage Tally'!$C:$C,'Cage tracking'!U$4,'Cage Tally'!$E:$E, "decomm"))</f>
        <v/>
      </c>
      <c r="V6" s="132" t="str">
        <f>IF((COUNTIFS('Cage Tally'!$A:$A,$A6,'Cage Tally'!$C:$C,'Cage tracking'!V$4,'Cage Tally'!$E:$E, "decomm")=0),"",COUNTIFS('Cage Tally'!$A:$A,$A6,'Cage Tally'!$C:$C,'Cage tracking'!V$4,'Cage Tally'!$E:$E, "decomm"))</f>
        <v/>
      </c>
      <c r="W6" s="132" t="str">
        <f>IF((COUNTIFS('Cage Tally'!$A:$A,$A6,'Cage Tally'!$C:$C,'Cage tracking'!W$4,'Cage Tally'!$E:$E, "decomm")=0),"",COUNTIFS('Cage Tally'!$A:$A,$A6,'Cage Tally'!$C:$C,'Cage tracking'!W$4,'Cage Tally'!$E:$E, "decomm"))</f>
        <v/>
      </c>
      <c r="X6" s="142" t="str">
        <f>IF((COUNTIFS('Cage Tally'!$A:$A,$A6,'Cage Tally'!$C:$C,'Cage tracking'!X$4,'Cage Tally'!$E:$E, "decomm")=0),"",COUNTIFS('Cage Tally'!$A:$A,$A6,'Cage Tally'!$C:$C,'Cage tracking'!X$4,'Cage Tally'!$E:$E, "decomm"))</f>
        <v/>
      </c>
      <c r="Y6" s="273"/>
      <c r="Z6" s="273"/>
      <c r="AA6" s="273"/>
      <c r="AB6" s="273"/>
      <c r="AC6" s="273"/>
      <c r="AD6" s="273"/>
      <c r="AE6" s="273"/>
      <c r="AF6" s="273"/>
      <c r="AG6" s="273"/>
      <c r="AH6" s="273"/>
      <c r="AI6" s="273"/>
      <c r="AJ6" s="273"/>
      <c r="AK6" s="273"/>
      <c r="AL6" s="273"/>
      <c r="AM6" s="273"/>
      <c r="AN6" s="273"/>
      <c r="AO6" s="273"/>
      <c r="AP6" s="273"/>
      <c r="AQ6" s="273"/>
      <c r="AR6" s="273"/>
      <c r="AS6" s="273"/>
      <c r="AT6" s="273"/>
      <c r="AU6" s="273"/>
      <c r="AV6" s="273"/>
    </row>
    <row r="7" spans="1:48" ht="12.75">
      <c r="A7" s="126">
        <v>44015</v>
      </c>
      <c r="B7" s="31" t="str">
        <f>IF((COUNTIFS('Cage Tally'!$A:$A,$A7,'Cage Tally'!$C:$C,'Cage tracking'!B$4,'Cage Tally'!$E:$E, "Dark")=0),"",COUNTIFS('Cage Tally'!$A:$A,$A7,'Cage Tally'!$C:$C,'Cage tracking'!B$4,'Cage Tally'!$E:$E, "Dark"))</f>
        <v/>
      </c>
      <c r="C7" s="31" t="str">
        <f>IF((COUNTIFS('Cage Tally'!$A:$A,$A7,'Cage Tally'!$C:$C,'Cage tracking'!C$4,'Cage Tally'!$E:$E, "Dark")=0),"",COUNTIFS('Cage Tally'!$A:$A,$A7,'Cage Tally'!$C:$C,'Cage tracking'!C$4,'Cage Tally'!$E:$E, "Dark"))</f>
        <v/>
      </c>
      <c r="D7" s="31">
        <f>IF((COUNTIFS('Cage Tally'!$A:$A,$A7,'Cage Tally'!$C:$C,'Cage tracking'!D$4,'Cage Tally'!$E:$E, "Dark")=0),"",COUNTIFS('Cage Tally'!$A:$A,$A7,'Cage Tally'!$C:$C,'Cage tracking'!D$4,'Cage Tally'!$E:$E, "Dark"))</f>
        <v>1</v>
      </c>
      <c r="E7" s="31" t="str">
        <f>IF((COUNTIFS('Cage Tally'!$A:$A,$A7,'Cage Tally'!$C:$C,'Cage tracking'!E$4,'Cage Tally'!$E:$E, "Dark")=0),"",COUNTIFS('Cage Tally'!$A:$A,$A7,'Cage Tally'!$C:$C,'Cage tracking'!E$4,'Cage Tally'!$E:$E, "Dark"))</f>
        <v/>
      </c>
      <c r="F7" s="31" t="str">
        <f>IF((COUNTIFS('Cage Tally'!$A:$A,$A7,'Cage Tally'!$C:$C,'Cage tracking'!F$4,'Cage Tally'!$E:$E, "Dark")=0),"",COUNTIFS('Cage Tally'!$A:$A,$A7,'Cage Tally'!$C:$C,'Cage tracking'!F$4,'Cage Tally'!$E:$E, "Dark"))</f>
        <v/>
      </c>
      <c r="G7" s="31" t="str">
        <f>IF((COUNTIFS('Cage Tally'!$A:$A,$A7,'Cage Tally'!$C:$C,'Cage tracking'!G$4,'Cage Tally'!$E:$E, "Dark")=0),"",COUNTIFS('Cage Tally'!$A:$A,$A7,'Cage Tally'!$C:$C,'Cage tracking'!G$4,'Cage Tally'!$E:$E, "Dark"))</f>
        <v/>
      </c>
      <c r="H7" s="127"/>
      <c r="I7" s="128"/>
      <c r="J7" s="31"/>
      <c r="K7" s="31" t="str">
        <f>IF((COUNTIFS('Cage Tally'!$A:$A,$A7,'Cage Tally'!$C:$C,'Cage tracking'!K$4,'Cage Tally'!$E:$E, "Light")=0),"",COUNTIFS('Cage Tally'!$A:$A,$A7,'Cage Tally'!$C:$C,'Cage tracking'!K$4,'Cage Tally'!$E:$E, "Light"))</f>
        <v/>
      </c>
      <c r="L7" s="31" t="str">
        <f>IF((COUNTIFS('Cage Tally'!$A:$A,$A7,'Cage Tally'!$C:$C,'Cage tracking'!L$4,'Cage Tally'!$E:$E, "Light")=0),"",COUNTIFS('Cage Tally'!$A:$A,$A7,'Cage Tally'!$C:$C,'Cage tracking'!L$4,'Cage Tally'!$E:$E, "Light"))</f>
        <v/>
      </c>
      <c r="M7" s="31" t="str">
        <f>IF((COUNTIFS('Cage Tally'!$A:$A,$A7,'Cage Tally'!$C:$C,'Cage tracking'!M$4,'Cage Tally'!$E:$E, "Light")=0),"",COUNTIFS('Cage Tally'!$A:$A,$A7,'Cage Tally'!$C:$C,'Cage tracking'!M$4,'Cage Tally'!$E:$E, "Light"))</f>
        <v/>
      </c>
      <c r="N7" s="31">
        <f>IF((COUNTIFS('Cage Tally'!$A:$A,$A7,'Cage Tally'!$C:$C,'Cage tracking'!N$4,'Cage Tally'!$E:$E, "Light")=0),"",COUNTIFS('Cage Tally'!$A:$A,$A7,'Cage Tally'!$C:$C,'Cage tracking'!N$4,'Cage Tally'!$E:$E, "Light"))</f>
        <v>2</v>
      </c>
      <c r="O7" s="31" t="str">
        <f>IF((COUNTIFS('Cage Tally'!$A:$A,$A7,'Cage Tally'!$C:$C,'Cage tracking'!O$4,'Cage Tally'!$E:$E, "Light")=0),"",COUNTIFS('Cage Tally'!$A:$A,$A7,'Cage Tally'!$C:$C,'Cage tracking'!O$4,'Cage Tally'!$E:$E, "Light"))</f>
        <v/>
      </c>
      <c r="P7" s="31" t="str">
        <f>IF((COUNTIFS('Cage Tally'!$A:$A,$A7,'Cage Tally'!$C:$C,'Cage tracking'!P$4,'Cage Tally'!$E:$E, "Light")=0),"",COUNTIFS('Cage Tally'!$A:$A,$A7,'Cage Tally'!$C:$C,'Cage tracking'!P$4,'Cage Tally'!$E:$E, "Light"))</f>
        <v/>
      </c>
      <c r="Q7" s="129"/>
      <c r="R7" s="130"/>
      <c r="S7" s="31" t="str">
        <f>IF((COUNTIFS('Cage Tally'!$A:$A,$A7,'Cage Tally'!$C:$C,'Cage tracking'!S$4,'Cage Tally'!$E:$E, "decomm")=0),"",COUNTIFS('Cage Tally'!$A:$A,$A7,'Cage Tally'!$C:$C,'Cage tracking'!S$4,'Cage Tally'!$E:$E, "decomm"))</f>
        <v/>
      </c>
      <c r="T7" s="31" t="str">
        <f>IF((COUNTIFS('Cage Tally'!$A:$A,$A7,'Cage Tally'!$C:$C,'Cage tracking'!T$4,'Cage Tally'!$E:$E, "decomm")=0),"",COUNTIFS('Cage Tally'!$A:$A,$A7,'Cage Tally'!$C:$C,'Cage tracking'!T$4,'Cage Tally'!$E:$E, "decomm"))</f>
        <v/>
      </c>
      <c r="U7" s="31" t="str">
        <f>IF((COUNTIFS('Cage Tally'!$A:$A,$A7,'Cage Tally'!$C:$C,'Cage tracking'!U$4,'Cage Tally'!$E:$E, "decomm")=0),"",COUNTIFS('Cage Tally'!$A:$A,$A7,'Cage Tally'!$C:$C,'Cage tracking'!U$4,'Cage Tally'!$E:$E, "decomm"))</f>
        <v/>
      </c>
      <c r="V7" s="31" t="str">
        <f>IF((COUNTIFS('Cage Tally'!$A:$A,$A7,'Cage Tally'!$C:$C,'Cage tracking'!V$4,'Cage Tally'!$E:$E, "decomm")=0),"",COUNTIFS('Cage Tally'!$A:$A,$A7,'Cage Tally'!$C:$C,'Cage tracking'!V$4,'Cage Tally'!$E:$E, "decomm"))</f>
        <v/>
      </c>
      <c r="W7" s="31" t="str">
        <f>IF((COUNTIFS('Cage Tally'!$A:$A,$A7,'Cage Tally'!$C:$C,'Cage tracking'!W$4,'Cage Tally'!$E:$E, "decomm")=0),"",COUNTIFS('Cage Tally'!$A:$A,$A7,'Cage Tally'!$C:$C,'Cage tracking'!W$4,'Cage Tally'!$E:$E, "decomm"))</f>
        <v/>
      </c>
      <c r="X7" s="140" t="str">
        <f>IF((COUNTIFS('Cage Tally'!$A:$A,$A7,'Cage Tally'!$C:$C,'Cage tracking'!X$4,'Cage Tally'!$E:$E, "decomm")=0),"",COUNTIFS('Cage Tally'!$A:$A,$A7,'Cage Tally'!$C:$C,'Cage tracking'!X$4,'Cage Tally'!$E:$E, "decomm"))</f>
        <v/>
      </c>
      <c r="Y7" s="273"/>
      <c r="Z7" s="273"/>
      <c r="AA7" s="273"/>
      <c r="AB7" s="273"/>
      <c r="AC7" s="273"/>
      <c r="AD7" s="273"/>
      <c r="AE7" s="273"/>
      <c r="AF7" s="273"/>
      <c r="AG7" s="273"/>
      <c r="AH7" s="273"/>
      <c r="AI7" s="273"/>
      <c r="AJ7" s="273"/>
      <c r="AK7" s="273"/>
      <c r="AL7" s="273"/>
      <c r="AM7" s="273"/>
      <c r="AN7" s="273"/>
      <c r="AO7" s="273"/>
      <c r="AP7" s="273"/>
      <c r="AQ7" s="273"/>
      <c r="AR7" s="273"/>
      <c r="AS7" s="273"/>
      <c r="AT7" s="273"/>
      <c r="AU7" s="273"/>
      <c r="AV7" s="273"/>
    </row>
    <row r="8" spans="1:48" ht="12.75">
      <c r="A8" s="131">
        <v>44018</v>
      </c>
      <c r="B8" s="132" t="str">
        <f>IF((COUNTIFS('Cage Tally'!$A:$A,$A8,'Cage Tally'!$C:$C,'Cage tracking'!B$4,'Cage Tally'!$E:$E, "Dark")=0),"",COUNTIFS('Cage Tally'!$A:$A,$A8,'Cage Tally'!$C:$C,'Cage tracking'!B$4,'Cage Tally'!$E:$E, "Dark"))</f>
        <v/>
      </c>
      <c r="C8" s="132" t="str">
        <f>IF((COUNTIFS('Cage Tally'!$A:$A,$A8,'Cage Tally'!$C:$C,'Cage tracking'!C$4,'Cage Tally'!$E:$E, "Dark")=0),"",COUNTIFS('Cage Tally'!$A:$A,$A8,'Cage Tally'!$C:$C,'Cage tracking'!C$4,'Cage Tally'!$E:$E, "Dark"))</f>
        <v/>
      </c>
      <c r="D8" s="132" t="str">
        <f>IF((COUNTIFS('Cage Tally'!$A:$A,$A8,'Cage Tally'!$C:$C,'Cage tracking'!D$4,'Cage Tally'!$E:$E, "Dark")=0),"",COUNTIFS('Cage Tally'!$A:$A,$A8,'Cage Tally'!$C:$C,'Cage tracking'!D$4,'Cage Tally'!$E:$E, "Dark"))</f>
        <v/>
      </c>
      <c r="E8" s="132">
        <f>IF((COUNTIFS('Cage Tally'!$A:$A,$A8,'Cage Tally'!$C:$C,'Cage tracking'!E$4,'Cage Tally'!$E:$E, "Dark")=0),"",COUNTIFS('Cage Tally'!$A:$A,$A8,'Cage Tally'!$C:$C,'Cage tracking'!E$4,'Cage Tally'!$E:$E, "Dark"))</f>
        <v>2</v>
      </c>
      <c r="F8" s="132" t="str">
        <f>IF((COUNTIFS('Cage Tally'!$A:$A,$A8,'Cage Tally'!$C:$C,'Cage tracking'!F$4,'Cage Tally'!$E:$E, "Dark")=0),"",COUNTIFS('Cage Tally'!$A:$A,$A8,'Cage Tally'!$C:$C,'Cage tracking'!F$4,'Cage Tally'!$E:$E, "Dark"))</f>
        <v/>
      </c>
      <c r="G8" s="132" t="str">
        <f>IF((COUNTIFS('Cage Tally'!$A:$A,$A8,'Cage Tally'!$C:$C,'Cage tracking'!G$4,'Cage Tally'!$E:$E, "Dark")=0),"",COUNTIFS('Cage Tally'!$A:$A,$A8,'Cage Tally'!$C:$C,'Cage tracking'!G$4,'Cage Tally'!$E:$E, "Dark"))</f>
        <v/>
      </c>
      <c r="H8" s="135"/>
      <c r="I8" s="134"/>
      <c r="J8" s="132"/>
      <c r="K8" s="132" t="str">
        <f>IF((COUNTIFS('Cage Tally'!$A:$A,$A8,'Cage Tally'!$C:$C,'Cage tracking'!K$4,'Cage Tally'!$E:$E, "Light")=0),"",COUNTIFS('Cage Tally'!$A:$A,$A8,'Cage Tally'!$C:$C,'Cage tracking'!K$4,'Cage Tally'!$E:$E, "Light"))</f>
        <v/>
      </c>
      <c r="L8" s="132" t="str">
        <f>IF((COUNTIFS('Cage Tally'!$A:$A,$A8,'Cage Tally'!$C:$C,'Cage tracking'!L$4,'Cage Tally'!$E:$E, "Light")=0),"",COUNTIFS('Cage Tally'!$A:$A,$A8,'Cage Tally'!$C:$C,'Cage tracking'!L$4,'Cage Tally'!$E:$E, "Light"))</f>
        <v/>
      </c>
      <c r="M8" s="132" t="str">
        <f>IF((COUNTIFS('Cage Tally'!$A:$A,$A8,'Cage Tally'!$C:$C,'Cage tracking'!M$4,'Cage Tally'!$E:$E, "Light")=0),"",COUNTIFS('Cage Tally'!$A:$A,$A8,'Cage Tally'!$C:$C,'Cage tracking'!M$4,'Cage Tally'!$E:$E, "Light"))</f>
        <v/>
      </c>
      <c r="N8" s="132" t="str">
        <f>IF((COUNTIFS('Cage Tally'!$A:$A,$A8,'Cage Tally'!$C:$C,'Cage tracking'!N$4,'Cage Tally'!$E:$E, "Light")=0),"",COUNTIFS('Cage Tally'!$A:$A,$A8,'Cage Tally'!$C:$C,'Cage tracking'!N$4,'Cage Tally'!$E:$E, "Light"))</f>
        <v/>
      </c>
      <c r="O8" s="132">
        <f>IF((COUNTIFS('Cage Tally'!$A:$A,$A8,'Cage Tally'!$C:$C,'Cage tracking'!O$4,'Cage Tally'!$E:$E, "Light")=0),"",COUNTIFS('Cage Tally'!$A:$A,$A8,'Cage Tally'!$C:$C,'Cage tracking'!O$4,'Cage Tally'!$E:$E, "Light"))</f>
        <v>3</v>
      </c>
      <c r="P8" s="132" t="str">
        <f>IF((COUNTIFS('Cage Tally'!$A:$A,$A8,'Cage Tally'!$C:$C,'Cage tracking'!P$4,'Cage Tally'!$E:$E, "Light")=0),"",COUNTIFS('Cage Tally'!$A:$A,$A8,'Cage Tally'!$C:$C,'Cage tracking'!P$4,'Cage Tally'!$E:$E, "Light"))</f>
        <v/>
      </c>
      <c r="Q8" s="135"/>
      <c r="R8" s="136"/>
      <c r="S8" s="132" t="str">
        <f>IF((COUNTIFS('Cage Tally'!$A:$A,$A8,'Cage Tally'!$C:$C,'Cage tracking'!S$4,'Cage Tally'!$E:$E, "decomm")=0),"",COUNTIFS('Cage Tally'!$A:$A,$A8,'Cage Tally'!$C:$C,'Cage tracking'!S$4,'Cage Tally'!$E:$E, "decomm"))</f>
        <v/>
      </c>
      <c r="T8" s="132" t="str">
        <f>IF((COUNTIFS('Cage Tally'!$A:$A,$A8,'Cage Tally'!$C:$C,'Cage tracking'!T$4,'Cage Tally'!$E:$E, "decomm")=0),"",COUNTIFS('Cage Tally'!$A:$A,$A8,'Cage Tally'!$C:$C,'Cage tracking'!T$4,'Cage Tally'!$E:$E, "decomm"))</f>
        <v/>
      </c>
      <c r="U8" s="132" t="str">
        <f>IF((COUNTIFS('Cage Tally'!$A:$A,$A8,'Cage Tally'!$C:$C,'Cage tracking'!U$4,'Cage Tally'!$E:$E, "decomm")=0),"",COUNTIFS('Cage Tally'!$A:$A,$A8,'Cage Tally'!$C:$C,'Cage tracking'!U$4,'Cage Tally'!$E:$E, "decomm"))</f>
        <v/>
      </c>
      <c r="V8" s="132" t="str">
        <f>IF((COUNTIFS('Cage Tally'!$A:$A,$A8,'Cage Tally'!$C:$C,'Cage tracking'!V$4,'Cage Tally'!$E:$E, "decomm")=0),"",COUNTIFS('Cage Tally'!$A:$A,$A8,'Cage Tally'!$C:$C,'Cage tracking'!V$4,'Cage Tally'!$E:$E, "decomm"))</f>
        <v/>
      </c>
      <c r="W8" s="132" t="str">
        <f>IF((COUNTIFS('Cage Tally'!$A:$A,$A8,'Cage Tally'!$C:$C,'Cage tracking'!W$4,'Cage Tally'!$E:$E, "decomm")=0),"",COUNTIFS('Cage Tally'!$A:$A,$A8,'Cage Tally'!$C:$C,'Cage tracking'!W$4,'Cage Tally'!$E:$E, "decomm"))</f>
        <v/>
      </c>
      <c r="X8" s="142" t="str">
        <f>IF((COUNTIFS('Cage Tally'!$A:$A,$A8,'Cage Tally'!$C:$C,'Cage tracking'!X$4,'Cage Tally'!$E:$E, "decomm")=0),"",COUNTIFS('Cage Tally'!$A:$A,$A8,'Cage Tally'!$C:$C,'Cage tracking'!X$4,'Cage Tally'!$E:$E, "decomm"))</f>
        <v/>
      </c>
      <c r="Y8" s="273"/>
      <c r="Z8" s="273"/>
      <c r="AA8" s="273"/>
      <c r="AB8" s="273"/>
      <c r="AC8" s="273"/>
      <c r="AD8" s="273"/>
      <c r="AE8" s="273"/>
      <c r="AF8" s="273"/>
      <c r="AG8" s="273"/>
      <c r="AH8" s="273"/>
      <c r="AI8" s="273"/>
      <c r="AJ8" s="273"/>
      <c r="AK8" s="273"/>
      <c r="AL8" s="273"/>
      <c r="AM8" s="273"/>
      <c r="AN8" s="273"/>
      <c r="AO8" s="273"/>
      <c r="AP8" s="273"/>
      <c r="AQ8" s="273"/>
      <c r="AR8" s="273"/>
      <c r="AS8" s="273"/>
      <c r="AT8" s="273"/>
      <c r="AU8" s="273"/>
      <c r="AV8" s="273"/>
    </row>
    <row r="9" spans="1:48" ht="12.75">
      <c r="A9" s="126">
        <v>44019</v>
      </c>
      <c r="B9" s="31" t="str">
        <f>IF((COUNTIFS('Cage Tally'!$A:$A,$A9,'Cage Tally'!$C:$C,'Cage tracking'!B$4,'Cage Tally'!$E:$E, "Dark")=0),"",COUNTIFS('Cage Tally'!$A:$A,$A9,'Cage Tally'!$C:$C,'Cage tracking'!B$4,'Cage Tally'!$E:$E, "Dark"))</f>
        <v/>
      </c>
      <c r="C9" s="31" t="str">
        <f>IF((COUNTIFS('Cage Tally'!$A:$A,$A9,'Cage Tally'!$C:$C,'Cage tracking'!C$4,'Cage Tally'!$E:$E, "Dark")=0),"",COUNTIFS('Cage Tally'!$A:$A,$A9,'Cage Tally'!$C:$C,'Cage tracking'!C$4,'Cage Tally'!$E:$E, "Dark"))</f>
        <v/>
      </c>
      <c r="D9" s="31">
        <f>IF((COUNTIFS('Cage Tally'!$A:$A,$A9,'Cage Tally'!$C:$C,'Cage tracking'!D$4,'Cage Tally'!$E:$E, "Dark")=0),"",COUNTIFS('Cage Tally'!$A:$A,$A9,'Cage Tally'!$C:$C,'Cage tracking'!D$4,'Cage Tally'!$E:$E, "Dark"))</f>
        <v>1</v>
      </c>
      <c r="E9" s="31" t="str">
        <f>IF((COUNTIFS('Cage Tally'!$A:$A,$A9,'Cage Tally'!$C:$C,'Cage tracking'!E$4,'Cage Tally'!$E:$E, "Dark")=0),"",COUNTIFS('Cage Tally'!$A:$A,$A9,'Cage Tally'!$C:$C,'Cage tracking'!E$4,'Cage Tally'!$E:$E, "Dark"))</f>
        <v/>
      </c>
      <c r="F9" s="31" t="str">
        <f>IF((COUNTIFS('Cage Tally'!$A:$A,$A9,'Cage Tally'!$C:$C,'Cage tracking'!F$4,'Cage Tally'!$E:$E, "Dark")=0),"",COUNTIFS('Cage Tally'!$A:$A,$A9,'Cage Tally'!$C:$C,'Cage tracking'!F$4,'Cage Tally'!$E:$E, "Dark"))</f>
        <v/>
      </c>
      <c r="G9" s="31" t="str">
        <f>IF((COUNTIFS('Cage Tally'!$A:$A,$A9,'Cage Tally'!$C:$C,'Cage tracking'!G$4,'Cage Tally'!$E:$E, "Dark")=0),"",COUNTIFS('Cage Tally'!$A:$A,$A9,'Cage Tally'!$C:$C,'Cage tracking'!G$4,'Cage Tally'!$E:$E, "Dark"))</f>
        <v/>
      </c>
      <c r="H9" s="129"/>
      <c r="I9" s="128"/>
      <c r="J9" s="31"/>
      <c r="K9" s="31" t="str">
        <f>IF((COUNTIFS('Cage Tally'!$A:$A,$A9,'Cage Tally'!$C:$C,'Cage tracking'!K$4,'Cage Tally'!$E:$E, "Light")=0),"",COUNTIFS('Cage Tally'!$A:$A,$A9,'Cage Tally'!$C:$C,'Cage tracking'!K$4,'Cage Tally'!$E:$E, "Light"))</f>
        <v/>
      </c>
      <c r="L9" s="31" t="str">
        <f>IF((COUNTIFS('Cage Tally'!$A:$A,$A9,'Cage Tally'!$C:$C,'Cage tracking'!L$4,'Cage Tally'!$E:$E, "Light")=0),"",COUNTIFS('Cage Tally'!$A:$A,$A9,'Cage Tally'!$C:$C,'Cage tracking'!L$4,'Cage Tally'!$E:$E, "Light"))</f>
        <v/>
      </c>
      <c r="M9" s="31" t="str">
        <f>IF((COUNTIFS('Cage Tally'!$A:$A,$A9,'Cage Tally'!$C:$C,'Cage tracking'!M$4,'Cage Tally'!$E:$E, "Light")=0),"",COUNTIFS('Cage Tally'!$A:$A,$A9,'Cage Tally'!$C:$C,'Cage tracking'!M$4,'Cage Tally'!$E:$E, "Light"))</f>
        <v/>
      </c>
      <c r="N9" s="31" t="str">
        <f>IF((COUNTIFS('Cage Tally'!$A:$A,$A9,'Cage Tally'!$C:$C,'Cage tracking'!N$4,'Cage Tally'!$E:$E, "Light")=0),"",COUNTIFS('Cage Tally'!$A:$A,$A9,'Cage Tally'!$C:$C,'Cage tracking'!N$4,'Cage Tally'!$E:$E, "Light"))</f>
        <v/>
      </c>
      <c r="O9" s="31" t="str">
        <f>IF((COUNTIFS('Cage Tally'!$A:$A,$A9,'Cage Tally'!$C:$C,'Cage tracking'!O$4,'Cage Tally'!$E:$E, "Light")=0),"",COUNTIFS('Cage Tally'!$A:$A,$A9,'Cage Tally'!$C:$C,'Cage tracking'!O$4,'Cage Tally'!$E:$E, "Light"))</f>
        <v/>
      </c>
      <c r="P9" s="31" t="str">
        <f>IF((COUNTIFS('Cage Tally'!$A:$A,$A9,'Cage Tally'!$C:$C,'Cage tracking'!P$4,'Cage Tally'!$E:$E, "Light")=0),"",COUNTIFS('Cage Tally'!$A:$A,$A9,'Cage Tally'!$C:$C,'Cage tracking'!P$4,'Cage Tally'!$E:$E, "Light"))</f>
        <v/>
      </c>
      <c r="Q9" s="129"/>
      <c r="R9" s="130"/>
      <c r="S9" s="31" t="str">
        <f>IF((COUNTIFS('Cage Tally'!$A:$A,$A9,'Cage Tally'!$C:$C,'Cage tracking'!S$4,'Cage Tally'!$E:$E, "decomm")=0),"",COUNTIFS('Cage Tally'!$A:$A,$A9,'Cage Tally'!$C:$C,'Cage tracking'!S$4,'Cage Tally'!$E:$E, "decomm"))</f>
        <v/>
      </c>
      <c r="T9" s="31" t="str">
        <f>IF((COUNTIFS('Cage Tally'!$A:$A,$A9,'Cage Tally'!$C:$C,'Cage tracking'!T$4,'Cage Tally'!$E:$E, "decomm")=0),"",COUNTIFS('Cage Tally'!$A:$A,$A9,'Cage Tally'!$C:$C,'Cage tracking'!T$4,'Cage Tally'!$E:$E, "decomm"))</f>
        <v/>
      </c>
      <c r="U9" s="31" t="str">
        <f>IF((COUNTIFS('Cage Tally'!$A:$A,$A9,'Cage Tally'!$C:$C,'Cage tracking'!U$4,'Cage Tally'!$E:$E, "decomm")=0),"",COUNTIFS('Cage Tally'!$A:$A,$A9,'Cage Tally'!$C:$C,'Cage tracking'!U$4,'Cage Tally'!$E:$E, "decomm"))</f>
        <v/>
      </c>
      <c r="V9" s="31" t="str">
        <f>IF((COUNTIFS('Cage Tally'!$A:$A,$A9,'Cage Tally'!$C:$C,'Cage tracking'!V$4,'Cage Tally'!$E:$E, "decomm")=0),"",COUNTIFS('Cage Tally'!$A:$A,$A9,'Cage Tally'!$C:$C,'Cage tracking'!V$4,'Cage Tally'!$E:$E, "decomm"))</f>
        <v/>
      </c>
      <c r="W9" s="31" t="str">
        <f>IF((COUNTIFS('Cage Tally'!$A:$A,$A9,'Cage Tally'!$C:$C,'Cage tracking'!W$4,'Cage Tally'!$E:$E, "decomm")=0),"",COUNTIFS('Cage Tally'!$A:$A,$A9,'Cage Tally'!$C:$C,'Cage tracking'!W$4,'Cage Tally'!$E:$E, "decomm"))</f>
        <v/>
      </c>
      <c r="X9" s="140" t="str">
        <f>IF((COUNTIFS('Cage Tally'!$A:$A,$A9,'Cage Tally'!$C:$C,'Cage tracking'!X$4,'Cage Tally'!$E:$E, "decomm")=0),"",COUNTIFS('Cage Tally'!$A:$A,$A9,'Cage Tally'!$C:$C,'Cage tracking'!X$4,'Cage Tally'!$E:$E, "decomm"))</f>
        <v/>
      </c>
      <c r="Y9" s="273"/>
      <c r="Z9" s="273"/>
      <c r="AA9" s="273"/>
      <c r="AB9" s="273"/>
      <c r="AC9" s="273"/>
      <c r="AD9" s="273"/>
      <c r="AE9" s="273"/>
      <c r="AF9" s="273"/>
      <c r="AG9" s="273"/>
      <c r="AH9" s="273"/>
      <c r="AI9" s="273"/>
      <c r="AJ9" s="273"/>
      <c r="AK9" s="273"/>
      <c r="AL9" s="273"/>
      <c r="AM9" s="273"/>
      <c r="AN9" s="273"/>
      <c r="AO9" s="273"/>
      <c r="AP9" s="273"/>
      <c r="AQ9" s="273"/>
      <c r="AR9" s="273"/>
      <c r="AS9" s="273"/>
      <c r="AT9" s="273"/>
      <c r="AU9" s="273"/>
      <c r="AV9" s="273"/>
    </row>
    <row r="10" spans="1:48" ht="12.75">
      <c r="A10" s="131">
        <v>44020</v>
      </c>
      <c r="B10" s="132" t="str">
        <f>IF((COUNTIFS('Cage Tally'!$A:$A,$A10,'Cage Tally'!$C:$C,'Cage tracking'!B$4,'Cage Tally'!$E:$E, "Dark")=0),"",COUNTIFS('Cage Tally'!$A:$A,$A10,'Cage Tally'!$C:$C,'Cage tracking'!B$4,'Cage Tally'!$E:$E, "Dark"))</f>
        <v/>
      </c>
      <c r="C10" s="132" t="str">
        <f>IF((COUNTIFS('Cage Tally'!$A:$A,$A10,'Cage Tally'!$C:$C,'Cage tracking'!C$4,'Cage Tally'!$E:$E, "Dark")=0),"",COUNTIFS('Cage Tally'!$A:$A,$A10,'Cage Tally'!$C:$C,'Cage tracking'!C$4,'Cage Tally'!$E:$E, "Dark"))</f>
        <v/>
      </c>
      <c r="D10" s="132">
        <f>IF((COUNTIFS('Cage Tally'!$A:$A,$A10,'Cage Tally'!$C:$C,'Cage tracking'!D$4,'Cage Tally'!$E:$E, "Dark")=0),"",COUNTIFS('Cage Tally'!$A:$A,$A10,'Cage Tally'!$C:$C,'Cage tracking'!D$4,'Cage Tally'!$E:$E, "Dark"))</f>
        <v>4</v>
      </c>
      <c r="E10" s="132" t="str">
        <f>IF((COUNTIFS('Cage Tally'!$A:$A,$A10,'Cage Tally'!$C:$C,'Cage tracking'!E$4,'Cage Tally'!$E:$E, "Dark")=0),"",COUNTIFS('Cage Tally'!$A:$A,$A10,'Cage Tally'!$C:$C,'Cage tracking'!E$4,'Cage Tally'!$E:$E, "Dark"))</f>
        <v/>
      </c>
      <c r="F10" s="132" t="str">
        <f>IF((COUNTIFS('Cage Tally'!$A:$A,$A10,'Cage Tally'!$C:$C,'Cage tracking'!F$4,'Cage Tally'!$E:$E, "Dark")=0),"",COUNTIFS('Cage Tally'!$A:$A,$A10,'Cage Tally'!$C:$C,'Cage tracking'!F$4,'Cage Tally'!$E:$E, "Dark"))</f>
        <v/>
      </c>
      <c r="G10" s="132" t="str">
        <f>IF((COUNTIFS('Cage Tally'!$A:$A,$A10,'Cage Tally'!$C:$C,'Cage tracking'!G$4,'Cage Tally'!$E:$E, "Dark")=0),"",COUNTIFS('Cage Tally'!$A:$A,$A10,'Cage Tally'!$C:$C,'Cage tracking'!G$4,'Cage Tally'!$E:$E, "Dark"))</f>
        <v/>
      </c>
      <c r="H10" s="135"/>
      <c r="I10" s="134"/>
      <c r="J10" s="132"/>
      <c r="K10" s="132" t="str">
        <f>IF((COUNTIFS('Cage Tally'!$A:$A,$A10,'Cage Tally'!$C:$C,'Cage tracking'!K$4,'Cage Tally'!$E:$E, "Light")=0),"",COUNTIFS('Cage Tally'!$A:$A,$A10,'Cage Tally'!$C:$C,'Cage tracking'!K$4,'Cage Tally'!$E:$E, "Light"))</f>
        <v/>
      </c>
      <c r="L10" s="132" t="str">
        <f>IF((COUNTIFS('Cage Tally'!$A:$A,$A10,'Cage Tally'!$C:$C,'Cage tracking'!L$4,'Cage Tally'!$E:$E, "Light")=0),"",COUNTIFS('Cage Tally'!$A:$A,$A10,'Cage Tally'!$C:$C,'Cage tracking'!L$4,'Cage Tally'!$E:$E, "Light"))</f>
        <v/>
      </c>
      <c r="M10" s="132">
        <f>IF((COUNTIFS('Cage Tally'!$A:$A,$A10,'Cage Tally'!$C:$C,'Cage tracking'!M$4,'Cage Tally'!$E:$E, "Light")=0),"",COUNTIFS('Cage Tally'!$A:$A,$A10,'Cage Tally'!$C:$C,'Cage tracking'!M$4,'Cage Tally'!$E:$E, "Light"))</f>
        <v>1</v>
      </c>
      <c r="N10" s="132">
        <f>IF((COUNTIFS('Cage Tally'!$A:$A,$A10,'Cage Tally'!$C:$C,'Cage tracking'!N$4,'Cage Tally'!$E:$E, "Light")=0),"",COUNTIFS('Cage Tally'!$A:$A,$A10,'Cage Tally'!$C:$C,'Cage tracking'!N$4,'Cage Tally'!$E:$E, "Light"))</f>
        <v>2</v>
      </c>
      <c r="O10" s="132" t="str">
        <f>IF((COUNTIFS('Cage Tally'!$A:$A,$A10,'Cage Tally'!$C:$C,'Cage tracking'!O$4,'Cage Tally'!$E:$E, "Light")=0),"",COUNTIFS('Cage Tally'!$A:$A,$A10,'Cage Tally'!$C:$C,'Cage tracking'!O$4,'Cage Tally'!$E:$E, "Light"))</f>
        <v/>
      </c>
      <c r="P10" s="132" t="str">
        <f>IF((COUNTIFS('Cage Tally'!$A:$A,$A10,'Cage Tally'!$C:$C,'Cage tracking'!P$4,'Cage Tally'!$E:$E, "Light")=0),"",COUNTIFS('Cage Tally'!$A:$A,$A10,'Cage Tally'!$C:$C,'Cage tracking'!P$4,'Cage Tally'!$E:$E, "Light"))</f>
        <v/>
      </c>
      <c r="Q10" s="135"/>
      <c r="R10" s="136"/>
      <c r="S10" s="132" t="str">
        <f>IF((COUNTIFS('Cage Tally'!$A:$A,$A10,'Cage Tally'!$C:$C,'Cage tracking'!S$4,'Cage Tally'!$E:$E, "decomm")=0),"",COUNTIFS('Cage Tally'!$A:$A,$A10,'Cage Tally'!$C:$C,'Cage tracking'!S$4,'Cage Tally'!$E:$E, "decomm"))</f>
        <v/>
      </c>
      <c r="T10" s="132" t="str">
        <f>IF((COUNTIFS('Cage Tally'!$A:$A,$A10,'Cage Tally'!$C:$C,'Cage tracking'!T$4,'Cage Tally'!$E:$E, "decomm")=0),"",COUNTIFS('Cage Tally'!$A:$A,$A10,'Cage Tally'!$C:$C,'Cage tracking'!T$4,'Cage Tally'!$E:$E, "decomm"))</f>
        <v/>
      </c>
      <c r="U10" s="132" t="str">
        <f>IF((COUNTIFS('Cage Tally'!$A:$A,$A10,'Cage Tally'!$C:$C,'Cage tracking'!U$4,'Cage Tally'!$E:$E, "decomm")=0),"",COUNTIFS('Cage Tally'!$A:$A,$A10,'Cage Tally'!$C:$C,'Cage tracking'!U$4,'Cage Tally'!$E:$E, "decomm"))</f>
        <v/>
      </c>
      <c r="V10" s="132" t="str">
        <f>IF((COUNTIFS('Cage Tally'!$A:$A,$A10,'Cage Tally'!$C:$C,'Cage tracking'!V$4,'Cage Tally'!$E:$E, "decomm")=0),"",COUNTIFS('Cage Tally'!$A:$A,$A10,'Cage Tally'!$C:$C,'Cage tracking'!V$4,'Cage Tally'!$E:$E, "decomm"))</f>
        <v/>
      </c>
      <c r="W10" s="132" t="str">
        <f>IF((COUNTIFS('Cage Tally'!$A:$A,$A10,'Cage Tally'!$C:$C,'Cage tracking'!W$4,'Cage Tally'!$E:$E, "decomm")=0),"",COUNTIFS('Cage Tally'!$A:$A,$A10,'Cage Tally'!$C:$C,'Cage tracking'!W$4,'Cage Tally'!$E:$E, "decomm"))</f>
        <v/>
      </c>
      <c r="X10" s="142" t="str">
        <f>IF((COUNTIFS('Cage Tally'!$A:$A,$A10,'Cage Tally'!$C:$C,'Cage tracking'!X$4,'Cage Tally'!$E:$E, "decomm")=0),"",COUNTIFS('Cage Tally'!$A:$A,$A10,'Cage Tally'!$C:$C,'Cage tracking'!X$4,'Cage Tally'!$E:$E, "decomm"))</f>
        <v/>
      </c>
      <c r="Y10" s="273"/>
      <c r="Z10" s="273"/>
      <c r="AA10" s="273"/>
      <c r="AB10" s="273"/>
      <c r="AC10" s="273"/>
      <c r="AD10" s="273"/>
      <c r="AE10" s="273"/>
      <c r="AF10" s="273"/>
      <c r="AG10" s="273"/>
      <c r="AH10" s="273"/>
      <c r="AI10" s="273"/>
      <c r="AJ10" s="273"/>
      <c r="AK10" s="273"/>
      <c r="AL10" s="273"/>
      <c r="AM10" s="273"/>
      <c r="AN10" s="273"/>
      <c r="AO10" s="273"/>
      <c r="AP10" s="273"/>
      <c r="AQ10" s="273"/>
      <c r="AR10" s="273"/>
      <c r="AS10" s="273"/>
      <c r="AT10" s="273"/>
      <c r="AU10" s="273"/>
      <c r="AV10" s="273"/>
    </row>
    <row r="11" spans="1:48" ht="12.75">
      <c r="A11" s="126">
        <v>44021</v>
      </c>
      <c r="B11" s="31">
        <f>IF((COUNTIFS('Cage Tally'!$A:$A,$A11,'Cage Tally'!$C:$C,'Cage tracking'!B$4,'Cage Tally'!$E:$E, "Dark")=0),"",COUNTIFS('Cage Tally'!$A:$A,$A11,'Cage Tally'!$C:$C,'Cage tracking'!B$4,'Cage Tally'!$E:$E, "Dark"))</f>
        <v>1</v>
      </c>
      <c r="C11" s="31" t="str">
        <f>IF((COUNTIFS('Cage Tally'!$A:$A,$A11,'Cage Tally'!$C:$C,'Cage tracking'!C$4,'Cage Tally'!$E:$E, "Dark")=0),"",COUNTIFS('Cage Tally'!$A:$A,$A11,'Cage Tally'!$C:$C,'Cage tracking'!C$4,'Cage Tally'!$E:$E, "Dark"))</f>
        <v/>
      </c>
      <c r="D11" s="31" t="str">
        <f>IF((COUNTIFS('Cage Tally'!$A:$A,$A11,'Cage Tally'!$C:$C,'Cage tracking'!D$4,'Cage Tally'!$E:$E, "Dark")=0),"",COUNTIFS('Cage Tally'!$A:$A,$A11,'Cage Tally'!$C:$C,'Cage tracking'!D$4,'Cage Tally'!$E:$E, "Dark"))</f>
        <v/>
      </c>
      <c r="E11" s="31" t="str">
        <f>IF((COUNTIFS('Cage Tally'!$A:$A,$A11,'Cage Tally'!$C:$C,'Cage tracking'!E$4,'Cage Tally'!$E:$E, "Dark")=0),"",COUNTIFS('Cage Tally'!$A:$A,$A11,'Cage Tally'!$C:$C,'Cage tracking'!E$4,'Cage Tally'!$E:$E, "Dark"))</f>
        <v/>
      </c>
      <c r="F11" s="31" t="str">
        <f>IF((COUNTIFS('Cage Tally'!$A:$A,$A11,'Cage Tally'!$C:$C,'Cage tracking'!F$4,'Cage Tally'!$E:$E, "Dark")=0),"",COUNTIFS('Cage Tally'!$A:$A,$A11,'Cage Tally'!$C:$C,'Cage tracking'!F$4,'Cage Tally'!$E:$E, "Dark"))</f>
        <v/>
      </c>
      <c r="G11" s="31" t="str">
        <f>IF((COUNTIFS('Cage Tally'!$A:$A,$A11,'Cage Tally'!$C:$C,'Cage tracking'!G$4,'Cage Tally'!$E:$E, "Dark")=0),"",COUNTIFS('Cage Tally'!$A:$A,$A11,'Cage Tally'!$C:$C,'Cage tracking'!G$4,'Cage Tally'!$E:$E, "Dark"))</f>
        <v/>
      </c>
      <c r="H11" s="129"/>
      <c r="I11" s="128"/>
      <c r="J11" s="31"/>
      <c r="K11" s="31" t="str">
        <f>IF((COUNTIFS('Cage Tally'!$A:$A,$A11,'Cage Tally'!$C:$C,'Cage tracking'!K$4,'Cage Tally'!$E:$E, "Light")=0),"",COUNTIFS('Cage Tally'!$A:$A,$A11,'Cage Tally'!$C:$C,'Cage tracking'!K$4,'Cage Tally'!$E:$E, "Light"))</f>
        <v/>
      </c>
      <c r="L11" s="31" t="str">
        <f>IF((COUNTIFS('Cage Tally'!$A:$A,$A11,'Cage Tally'!$C:$C,'Cage tracking'!L$4,'Cage Tally'!$E:$E, "Light")=0),"",COUNTIFS('Cage Tally'!$A:$A,$A11,'Cage Tally'!$C:$C,'Cage tracking'!L$4,'Cage Tally'!$E:$E, "Light"))</f>
        <v/>
      </c>
      <c r="M11" s="31" t="str">
        <f>IF((COUNTIFS('Cage Tally'!$A:$A,$A11,'Cage Tally'!$C:$C,'Cage tracking'!M$4,'Cage Tally'!$E:$E, "Light")=0),"",COUNTIFS('Cage Tally'!$A:$A,$A11,'Cage Tally'!$C:$C,'Cage tracking'!M$4,'Cage Tally'!$E:$E, "Light"))</f>
        <v/>
      </c>
      <c r="N11" s="31" t="str">
        <f>IF((COUNTIFS('Cage Tally'!$A:$A,$A11,'Cage Tally'!$C:$C,'Cage tracking'!N$4,'Cage Tally'!$E:$E, "Light")=0),"",COUNTIFS('Cage Tally'!$A:$A,$A11,'Cage Tally'!$C:$C,'Cage tracking'!N$4,'Cage Tally'!$E:$E, "Light"))</f>
        <v/>
      </c>
      <c r="O11" s="31" t="str">
        <f>IF((COUNTIFS('Cage Tally'!$A:$A,$A11,'Cage Tally'!$C:$C,'Cage tracking'!O$4,'Cage Tally'!$E:$E, "Light")=0),"",COUNTIFS('Cage Tally'!$A:$A,$A11,'Cage Tally'!$C:$C,'Cage tracking'!O$4,'Cage Tally'!$E:$E, "Light"))</f>
        <v/>
      </c>
      <c r="P11" s="31" t="str">
        <f>IF((COUNTIFS('Cage Tally'!$A:$A,$A11,'Cage Tally'!$C:$C,'Cage tracking'!P$4,'Cage Tally'!$E:$E, "Light")=0),"",COUNTIFS('Cage Tally'!$A:$A,$A11,'Cage Tally'!$C:$C,'Cage tracking'!P$4,'Cage Tally'!$E:$E, "Light"))</f>
        <v/>
      </c>
      <c r="Q11" s="129"/>
      <c r="R11" s="130"/>
      <c r="S11" s="31" t="str">
        <f>IF((COUNTIFS('Cage Tally'!$A:$A,$A11,'Cage Tally'!$C:$C,'Cage tracking'!S$4,'Cage Tally'!$E:$E, "decomm")=0),"",COUNTIFS('Cage Tally'!$A:$A,$A11,'Cage Tally'!$C:$C,'Cage tracking'!S$4,'Cage Tally'!$E:$E, "decomm"))</f>
        <v/>
      </c>
      <c r="T11" s="31" t="str">
        <f>IF((COUNTIFS('Cage Tally'!$A:$A,$A11,'Cage Tally'!$C:$C,'Cage tracking'!T$4,'Cage Tally'!$E:$E, "decomm")=0),"",COUNTIFS('Cage Tally'!$A:$A,$A11,'Cage Tally'!$C:$C,'Cage tracking'!T$4,'Cage Tally'!$E:$E, "decomm"))</f>
        <v/>
      </c>
      <c r="U11" s="31" t="str">
        <f>IF((COUNTIFS('Cage Tally'!$A:$A,$A11,'Cage Tally'!$C:$C,'Cage tracking'!U$4,'Cage Tally'!$E:$E, "decomm")=0),"",COUNTIFS('Cage Tally'!$A:$A,$A11,'Cage Tally'!$C:$C,'Cage tracking'!U$4,'Cage Tally'!$E:$E, "decomm"))</f>
        <v/>
      </c>
      <c r="V11" s="31" t="str">
        <f>IF((COUNTIFS('Cage Tally'!$A:$A,$A11,'Cage Tally'!$C:$C,'Cage tracking'!V$4,'Cage Tally'!$E:$E, "decomm")=0),"",COUNTIFS('Cage Tally'!$A:$A,$A11,'Cage Tally'!$C:$C,'Cage tracking'!V$4,'Cage Tally'!$E:$E, "decomm"))</f>
        <v/>
      </c>
      <c r="W11" s="31" t="str">
        <f>IF((COUNTIFS('Cage Tally'!$A:$A,$A11,'Cage Tally'!$C:$C,'Cage tracking'!W$4,'Cage Tally'!$E:$E, "decomm")=0),"",COUNTIFS('Cage Tally'!$A:$A,$A11,'Cage Tally'!$C:$C,'Cage tracking'!W$4,'Cage Tally'!$E:$E, "decomm"))</f>
        <v/>
      </c>
      <c r="X11" s="140" t="str">
        <f>IF((COUNTIFS('Cage Tally'!$A:$A,$A11,'Cage Tally'!$C:$C,'Cage tracking'!X$4,'Cage Tally'!$E:$E, "decomm")=0),"",COUNTIFS('Cage Tally'!$A:$A,$A11,'Cage Tally'!$C:$C,'Cage tracking'!X$4,'Cage Tally'!$E:$E, "decomm"))</f>
        <v/>
      </c>
      <c r="Y11" s="273"/>
      <c r="Z11" s="273"/>
      <c r="AA11" s="273"/>
      <c r="AB11" s="273"/>
      <c r="AC11" s="273"/>
      <c r="AD11" s="273"/>
      <c r="AE11" s="273"/>
      <c r="AF11" s="273"/>
      <c r="AG11" s="273"/>
      <c r="AH11" s="273"/>
      <c r="AI11" s="273"/>
      <c r="AJ11" s="273"/>
      <c r="AK11" s="273"/>
      <c r="AL11" s="273"/>
      <c r="AM11" s="273"/>
      <c r="AN11" s="273"/>
      <c r="AO11" s="273"/>
      <c r="AP11" s="273"/>
      <c r="AQ11" s="273"/>
      <c r="AR11" s="273"/>
      <c r="AS11" s="273"/>
      <c r="AT11" s="273"/>
      <c r="AU11" s="273"/>
      <c r="AV11" s="273"/>
    </row>
    <row r="12" spans="1:48" ht="12.75">
      <c r="A12" s="131">
        <v>44025</v>
      </c>
      <c r="B12" s="132" t="str">
        <f>IF((COUNTIFS('Cage Tally'!$A:$A,$A12,'Cage Tally'!$C:$C,'Cage tracking'!B$4,'Cage Tally'!$E:$E, "Dark")=0),"",COUNTIFS('Cage Tally'!$A:$A,$A12,'Cage Tally'!$C:$C,'Cage tracking'!B$4,'Cage Tally'!$E:$E, "Dark"))</f>
        <v/>
      </c>
      <c r="C12" s="132" t="str">
        <f>IF((COUNTIFS('Cage Tally'!$A:$A,$A12,'Cage Tally'!$C:$C,'Cage tracking'!C$4,'Cage Tally'!$E:$E, "Dark")=0),"",COUNTIFS('Cage Tally'!$A:$A,$A12,'Cage Tally'!$C:$C,'Cage tracking'!C$4,'Cage Tally'!$E:$E, "Dark"))</f>
        <v/>
      </c>
      <c r="D12" s="132" t="str">
        <f>IF((COUNTIFS('Cage Tally'!$A:$A,$A12,'Cage Tally'!$C:$C,'Cage tracking'!D$4,'Cage Tally'!$E:$E, "Dark")=0),"",COUNTIFS('Cage Tally'!$A:$A,$A12,'Cage Tally'!$C:$C,'Cage tracking'!D$4,'Cage Tally'!$E:$E, "Dark"))</f>
        <v/>
      </c>
      <c r="E12" s="132" t="str">
        <f>IF((COUNTIFS('Cage Tally'!$A:$A,$A12,'Cage Tally'!$C:$C,'Cage tracking'!E$4,'Cage Tally'!$E:$E, "Dark")=0),"",COUNTIFS('Cage Tally'!$A:$A,$A12,'Cage Tally'!$C:$C,'Cage tracking'!E$4,'Cage Tally'!$E:$E, "Dark"))</f>
        <v/>
      </c>
      <c r="F12" s="132" t="str">
        <f>IF((COUNTIFS('Cage Tally'!$A:$A,$A12,'Cage Tally'!$C:$C,'Cage tracking'!F$4,'Cage Tally'!$E:$E, "Dark")=0),"",COUNTIFS('Cage Tally'!$A:$A,$A12,'Cage Tally'!$C:$C,'Cage tracking'!F$4,'Cage Tally'!$E:$E, "Dark"))</f>
        <v/>
      </c>
      <c r="G12" s="132" t="str">
        <f>IF((COUNTIFS('Cage Tally'!$A:$A,$A12,'Cage Tally'!$C:$C,'Cage tracking'!G$4,'Cage Tally'!$E:$E, "Dark")=0),"",COUNTIFS('Cage Tally'!$A:$A,$A12,'Cage Tally'!$C:$C,'Cage tracking'!G$4,'Cage Tally'!$E:$E, "Dark"))</f>
        <v/>
      </c>
      <c r="H12" s="135"/>
      <c r="I12" s="134"/>
      <c r="J12" s="132"/>
      <c r="K12" s="132" t="str">
        <f>IF((COUNTIFS('Cage Tally'!$A:$A,$A12,'Cage Tally'!$C:$C,'Cage tracking'!K$4,'Cage Tally'!$E:$E, "Light")=0),"",COUNTIFS('Cage Tally'!$A:$A,$A12,'Cage Tally'!$C:$C,'Cage tracking'!K$4,'Cage Tally'!$E:$E, "Light"))</f>
        <v/>
      </c>
      <c r="L12" s="132" t="str">
        <f>IF((COUNTIFS('Cage Tally'!$A:$A,$A12,'Cage Tally'!$C:$C,'Cage tracking'!L$4,'Cage Tally'!$E:$E, "Light")=0),"",COUNTIFS('Cage Tally'!$A:$A,$A12,'Cage Tally'!$C:$C,'Cage tracking'!L$4,'Cage Tally'!$E:$E, "Light"))</f>
        <v/>
      </c>
      <c r="M12" s="132">
        <f>IF((COUNTIFS('Cage Tally'!$A:$A,$A12,'Cage Tally'!$C:$C,'Cage tracking'!M$4,'Cage Tally'!$E:$E, "Light")=0),"",COUNTIFS('Cage Tally'!$A:$A,$A12,'Cage Tally'!$C:$C,'Cage tracking'!M$4,'Cage Tally'!$E:$E, "Light"))</f>
        <v>2</v>
      </c>
      <c r="N12" s="132" t="str">
        <f>IF((COUNTIFS('Cage Tally'!$A:$A,$A12,'Cage Tally'!$C:$C,'Cage tracking'!N$4,'Cage Tally'!$E:$E, "Light")=0),"",COUNTIFS('Cage Tally'!$A:$A,$A12,'Cage Tally'!$C:$C,'Cage tracking'!N$4,'Cage Tally'!$E:$E, "Light"))</f>
        <v/>
      </c>
      <c r="O12" s="132" t="str">
        <f>IF((COUNTIFS('Cage Tally'!$A:$A,$A12,'Cage Tally'!$C:$C,'Cage tracking'!O$4,'Cage Tally'!$E:$E, "Light")=0),"",COUNTIFS('Cage Tally'!$A:$A,$A12,'Cage Tally'!$C:$C,'Cage tracking'!O$4,'Cage Tally'!$E:$E, "Light"))</f>
        <v/>
      </c>
      <c r="P12" s="132" t="str">
        <f>IF((COUNTIFS('Cage Tally'!$A:$A,$A12,'Cage Tally'!$C:$C,'Cage tracking'!P$4,'Cage Tally'!$E:$E, "Light")=0),"",COUNTIFS('Cage Tally'!$A:$A,$A12,'Cage Tally'!$C:$C,'Cage tracking'!P$4,'Cage Tally'!$E:$E, "Light"))</f>
        <v/>
      </c>
      <c r="Q12" s="135"/>
      <c r="R12" s="136"/>
      <c r="S12" s="132" t="str">
        <f>IF((COUNTIFS('Cage Tally'!$A:$A,$A12,'Cage Tally'!$C:$C,'Cage tracking'!S$4,'Cage Tally'!$E:$E, "decomm")=0),"",COUNTIFS('Cage Tally'!$A:$A,$A12,'Cage Tally'!$C:$C,'Cage tracking'!S$4,'Cage Tally'!$E:$E, "decomm"))</f>
        <v/>
      </c>
      <c r="T12" s="132" t="str">
        <f>IF((COUNTIFS('Cage Tally'!$A:$A,$A12,'Cage Tally'!$C:$C,'Cage tracking'!T$4,'Cage Tally'!$E:$E, "decomm")=0),"",COUNTIFS('Cage Tally'!$A:$A,$A12,'Cage Tally'!$C:$C,'Cage tracking'!T$4,'Cage Tally'!$E:$E, "decomm"))</f>
        <v/>
      </c>
      <c r="U12" s="132" t="str">
        <f>IF((COUNTIFS('Cage Tally'!$A:$A,$A12,'Cage Tally'!$C:$C,'Cage tracking'!U$4,'Cage Tally'!$E:$E, "decomm")=0),"",COUNTIFS('Cage Tally'!$A:$A,$A12,'Cage Tally'!$C:$C,'Cage tracking'!U$4,'Cage Tally'!$E:$E, "decomm"))</f>
        <v/>
      </c>
      <c r="V12" s="132" t="str">
        <f>IF((COUNTIFS('Cage Tally'!$A:$A,$A12,'Cage Tally'!$C:$C,'Cage tracking'!V$4,'Cage Tally'!$E:$E, "decomm")=0),"",COUNTIFS('Cage Tally'!$A:$A,$A12,'Cage Tally'!$C:$C,'Cage tracking'!V$4,'Cage Tally'!$E:$E, "decomm"))</f>
        <v/>
      </c>
      <c r="W12" s="132" t="str">
        <f>IF((COUNTIFS('Cage Tally'!$A:$A,$A12,'Cage Tally'!$C:$C,'Cage tracking'!W$4,'Cage Tally'!$E:$E, "decomm")=0),"",COUNTIFS('Cage Tally'!$A:$A,$A12,'Cage Tally'!$C:$C,'Cage tracking'!W$4,'Cage Tally'!$E:$E, "decomm"))</f>
        <v/>
      </c>
      <c r="X12" s="142" t="str">
        <f>IF((COUNTIFS('Cage Tally'!$A:$A,$A12,'Cage Tally'!$C:$C,'Cage tracking'!X$4,'Cage Tally'!$E:$E, "decomm")=0),"",COUNTIFS('Cage Tally'!$A:$A,$A12,'Cage Tally'!$C:$C,'Cage tracking'!X$4,'Cage Tally'!$E:$E, "decomm"))</f>
        <v/>
      </c>
      <c r="Y12" s="273"/>
      <c r="Z12" s="273"/>
      <c r="AA12" s="273"/>
      <c r="AB12" s="273"/>
      <c r="AC12" s="273"/>
      <c r="AD12" s="273"/>
      <c r="AE12" s="273"/>
      <c r="AF12" s="273"/>
      <c r="AG12" s="273"/>
      <c r="AH12" s="273"/>
      <c r="AI12" s="273"/>
      <c r="AJ12" s="273"/>
      <c r="AK12" s="273"/>
      <c r="AL12" s="273"/>
      <c r="AM12" s="273"/>
      <c r="AN12" s="273"/>
      <c r="AO12" s="273"/>
      <c r="AP12" s="273"/>
      <c r="AQ12" s="273"/>
      <c r="AR12" s="273"/>
      <c r="AS12" s="273"/>
      <c r="AT12" s="273"/>
      <c r="AU12" s="273"/>
      <c r="AV12" s="273"/>
    </row>
    <row r="13" spans="1:48" ht="12.75">
      <c r="A13" s="126">
        <v>44026</v>
      </c>
      <c r="B13" s="31" t="str">
        <f>IF((COUNTIFS('Cage Tally'!$A:$A,$A13,'Cage Tally'!$C:$C,'Cage tracking'!B$4,'Cage Tally'!$E:$E, "Dark")=0),"",COUNTIFS('Cage Tally'!$A:$A,$A13,'Cage Tally'!$C:$C,'Cage tracking'!B$4,'Cage Tally'!$E:$E, "Dark"))</f>
        <v/>
      </c>
      <c r="C13" s="31" t="str">
        <f>IF((COUNTIFS('Cage Tally'!$A:$A,$A13,'Cage Tally'!$C:$C,'Cage tracking'!C$4,'Cage Tally'!$E:$E, "Dark")=0),"",COUNTIFS('Cage Tally'!$A:$A,$A13,'Cage Tally'!$C:$C,'Cage tracking'!C$4,'Cage Tally'!$E:$E, "Dark"))</f>
        <v/>
      </c>
      <c r="D13" s="31" t="str">
        <f>IF((COUNTIFS('Cage Tally'!$A:$A,$A13,'Cage Tally'!$C:$C,'Cage tracking'!D$4,'Cage Tally'!$E:$E, "Dark")=0),"",COUNTIFS('Cage Tally'!$A:$A,$A13,'Cage Tally'!$C:$C,'Cage tracking'!D$4,'Cage Tally'!$E:$E, "Dark"))</f>
        <v/>
      </c>
      <c r="E13" s="31" t="str">
        <f>IF((COUNTIFS('Cage Tally'!$A:$A,$A13,'Cage Tally'!$C:$C,'Cage tracking'!E$4,'Cage Tally'!$E:$E, "Dark")=0),"",COUNTIFS('Cage Tally'!$A:$A,$A13,'Cage Tally'!$C:$C,'Cage tracking'!E$4,'Cage Tally'!$E:$E, "Dark"))</f>
        <v/>
      </c>
      <c r="F13" s="31" t="str">
        <f>IF((COUNTIFS('Cage Tally'!$A:$A,$A13,'Cage Tally'!$C:$C,'Cage tracking'!F$4,'Cage Tally'!$E:$E, "Dark")=0),"",COUNTIFS('Cage Tally'!$A:$A,$A13,'Cage Tally'!$C:$C,'Cage tracking'!F$4,'Cage Tally'!$E:$E, "Dark"))</f>
        <v/>
      </c>
      <c r="G13" s="31" t="str">
        <f>IF((COUNTIFS('Cage Tally'!$A:$A,$A13,'Cage Tally'!$C:$C,'Cage tracking'!G$4,'Cage Tally'!$E:$E, "Dark")=0),"",COUNTIFS('Cage Tally'!$A:$A,$A13,'Cage Tally'!$C:$C,'Cage tracking'!G$4,'Cage Tally'!$E:$E, "Dark"))</f>
        <v/>
      </c>
      <c r="H13" s="129"/>
      <c r="I13" s="128"/>
      <c r="J13" s="31"/>
      <c r="K13" s="31" t="str">
        <f>IF((COUNTIFS('Cage Tally'!$A:$A,$A13,'Cage Tally'!$C:$C,'Cage tracking'!K$4,'Cage Tally'!$E:$E, "Light")=0),"",COUNTIFS('Cage Tally'!$A:$A,$A13,'Cage Tally'!$C:$C,'Cage tracking'!K$4,'Cage Tally'!$E:$E, "Light"))</f>
        <v/>
      </c>
      <c r="L13" s="31" t="str">
        <f>IF((COUNTIFS('Cage Tally'!$A:$A,$A13,'Cage Tally'!$C:$C,'Cage tracking'!L$4,'Cage Tally'!$E:$E, "Light")=0),"",COUNTIFS('Cage Tally'!$A:$A,$A13,'Cage Tally'!$C:$C,'Cage tracking'!L$4,'Cage Tally'!$E:$E, "Light"))</f>
        <v/>
      </c>
      <c r="M13" s="31">
        <f>IF((COUNTIFS('Cage Tally'!$A:$A,$A13,'Cage Tally'!$C:$C,'Cage tracking'!M$4,'Cage Tally'!$E:$E, "Light")=0),"",COUNTIFS('Cage Tally'!$A:$A,$A13,'Cage Tally'!$C:$C,'Cage tracking'!M$4,'Cage Tally'!$E:$E, "Light"))</f>
        <v>2</v>
      </c>
      <c r="N13" s="31" t="str">
        <f>IF((COUNTIFS('Cage Tally'!$A:$A,$A13,'Cage Tally'!$C:$C,'Cage tracking'!N$4,'Cage Tally'!$E:$E, "Light")=0),"",COUNTIFS('Cage Tally'!$A:$A,$A13,'Cage Tally'!$C:$C,'Cage tracking'!N$4,'Cage Tally'!$E:$E, "Light"))</f>
        <v/>
      </c>
      <c r="O13" s="31" t="str">
        <f>IF((COUNTIFS('Cage Tally'!$A:$A,$A13,'Cage Tally'!$C:$C,'Cage tracking'!O$4,'Cage Tally'!$E:$E, "Light")=0),"",COUNTIFS('Cage Tally'!$A:$A,$A13,'Cage Tally'!$C:$C,'Cage tracking'!O$4,'Cage Tally'!$E:$E, "Light"))</f>
        <v/>
      </c>
      <c r="P13" s="31" t="str">
        <f>IF((COUNTIFS('Cage Tally'!$A:$A,$A13,'Cage Tally'!$C:$C,'Cage tracking'!P$4,'Cage Tally'!$E:$E, "Light")=0),"",COUNTIFS('Cage Tally'!$A:$A,$A13,'Cage Tally'!$C:$C,'Cage tracking'!P$4,'Cage Tally'!$E:$E, "Light"))</f>
        <v/>
      </c>
      <c r="Q13" s="129"/>
      <c r="R13" s="130"/>
      <c r="S13" s="31" t="str">
        <f>IF((COUNTIFS('Cage Tally'!$A:$A,$A13,'Cage Tally'!$C:$C,'Cage tracking'!S$4,'Cage Tally'!$E:$E, "decomm")=0),"",COUNTIFS('Cage Tally'!$A:$A,$A13,'Cage Tally'!$C:$C,'Cage tracking'!S$4,'Cage Tally'!$E:$E, "decomm"))</f>
        <v/>
      </c>
      <c r="T13" s="31" t="str">
        <f>IF((COUNTIFS('Cage Tally'!$A:$A,$A13,'Cage Tally'!$C:$C,'Cage tracking'!T$4,'Cage Tally'!$E:$E, "decomm")=0),"",COUNTIFS('Cage Tally'!$A:$A,$A13,'Cage Tally'!$C:$C,'Cage tracking'!T$4,'Cage Tally'!$E:$E, "decomm"))</f>
        <v/>
      </c>
      <c r="U13" s="31" t="str">
        <f>IF((COUNTIFS('Cage Tally'!$A:$A,$A13,'Cage Tally'!$C:$C,'Cage tracking'!U$4,'Cage Tally'!$E:$E, "decomm")=0),"",COUNTIFS('Cage Tally'!$A:$A,$A13,'Cage Tally'!$C:$C,'Cage tracking'!U$4,'Cage Tally'!$E:$E, "decomm"))</f>
        <v/>
      </c>
      <c r="V13" s="31" t="str">
        <f>IF((COUNTIFS('Cage Tally'!$A:$A,$A13,'Cage Tally'!$C:$C,'Cage tracking'!V$4,'Cage Tally'!$E:$E, "decomm")=0),"",COUNTIFS('Cage Tally'!$A:$A,$A13,'Cage Tally'!$C:$C,'Cage tracking'!V$4,'Cage Tally'!$E:$E, "decomm"))</f>
        <v/>
      </c>
      <c r="W13" s="31" t="str">
        <f>IF((COUNTIFS('Cage Tally'!$A:$A,$A13,'Cage Tally'!$C:$C,'Cage tracking'!W$4,'Cage Tally'!$E:$E, "decomm")=0),"",COUNTIFS('Cage Tally'!$A:$A,$A13,'Cage Tally'!$C:$C,'Cage tracking'!W$4,'Cage Tally'!$E:$E, "decomm"))</f>
        <v/>
      </c>
      <c r="X13" s="140" t="str">
        <f>IF((COUNTIFS('Cage Tally'!$A:$A,$A13,'Cage Tally'!$C:$C,'Cage tracking'!X$4,'Cage Tally'!$E:$E, "decomm")=0),"",COUNTIFS('Cage Tally'!$A:$A,$A13,'Cage Tally'!$C:$C,'Cage tracking'!X$4,'Cage Tally'!$E:$E, "decomm"))</f>
        <v/>
      </c>
      <c r="Y13" s="273"/>
      <c r="Z13" s="273"/>
      <c r="AA13" s="273"/>
      <c r="AB13" s="273"/>
      <c r="AC13" s="273"/>
      <c r="AD13" s="273"/>
      <c r="AE13" s="273"/>
      <c r="AF13" s="273"/>
      <c r="AG13" s="273"/>
      <c r="AH13" s="273"/>
      <c r="AI13" s="273"/>
      <c r="AJ13" s="273"/>
      <c r="AK13" s="273"/>
      <c r="AL13" s="273"/>
      <c r="AM13" s="273"/>
      <c r="AN13" s="273"/>
      <c r="AO13" s="273"/>
      <c r="AP13" s="273"/>
      <c r="AQ13" s="273"/>
      <c r="AR13" s="273"/>
      <c r="AS13" s="273"/>
      <c r="AT13" s="273"/>
      <c r="AU13" s="273"/>
      <c r="AV13" s="273"/>
    </row>
    <row r="14" spans="1:48" ht="12.75">
      <c r="A14" s="131">
        <v>44029</v>
      </c>
      <c r="B14" s="132" t="str">
        <f>IF((COUNTIFS('Cage Tally'!$A:$A,$A14,'Cage Tally'!$C:$C,'Cage tracking'!B$4,'Cage Tally'!$E:$E, "Dark")=0),"",COUNTIFS('Cage Tally'!$A:$A,$A14,'Cage Tally'!$C:$C,'Cage tracking'!B$4,'Cage Tally'!$E:$E, "Dark"))</f>
        <v/>
      </c>
      <c r="C14" s="132" t="str">
        <f>IF((COUNTIFS('Cage Tally'!$A:$A,$A14,'Cage Tally'!$C:$C,'Cage tracking'!C$4,'Cage Tally'!$E:$E, "Dark")=0),"",COUNTIFS('Cage Tally'!$A:$A,$A14,'Cage Tally'!$C:$C,'Cage tracking'!C$4,'Cage Tally'!$E:$E, "Dark"))</f>
        <v/>
      </c>
      <c r="D14" s="132" t="str">
        <f>IF((COUNTIFS('Cage Tally'!$A:$A,$A14,'Cage Tally'!$C:$C,'Cage tracking'!D$4,'Cage Tally'!$E:$E, "Dark")=0),"",COUNTIFS('Cage Tally'!$A:$A,$A14,'Cage Tally'!$C:$C,'Cage tracking'!D$4,'Cage Tally'!$E:$E, "Dark"))</f>
        <v/>
      </c>
      <c r="E14" s="132" t="str">
        <f>IF((COUNTIFS('Cage Tally'!$A:$A,$A14,'Cage Tally'!$C:$C,'Cage tracking'!E$4,'Cage Tally'!$E:$E, "Dark")=0),"",COUNTIFS('Cage Tally'!$A:$A,$A14,'Cage Tally'!$C:$C,'Cage tracking'!E$4,'Cage Tally'!$E:$E, "Dark"))</f>
        <v/>
      </c>
      <c r="F14" s="132" t="str">
        <f>IF((COUNTIFS('Cage Tally'!$A:$A,$A14,'Cage Tally'!$C:$C,'Cage tracking'!F$4,'Cage Tally'!$E:$E, "Dark")=0),"",COUNTIFS('Cage Tally'!$A:$A,$A14,'Cage Tally'!$C:$C,'Cage tracking'!F$4,'Cage Tally'!$E:$E, "Dark"))</f>
        <v/>
      </c>
      <c r="G14" s="132" t="str">
        <f>IF((COUNTIFS('Cage Tally'!$A:$A,$A14,'Cage Tally'!$C:$C,'Cage tracking'!G$4,'Cage Tally'!$E:$E, "Dark")=0),"",COUNTIFS('Cage Tally'!$A:$A,$A14,'Cage Tally'!$C:$C,'Cage tracking'!G$4,'Cage Tally'!$E:$E, "Dark"))</f>
        <v/>
      </c>
      <c r="H14" s="135"/>
      <c r="I14" s="134"/>
      <c r="J14" s="132"/>
      <c r="K14" s="132">
        <f>IF((COUNTIFS('Cage Tally'!$A:$A,$A14,'Cage Tally'!$C:$C,'Cage tracking'!K$4,'Cage Tally'!$E:$E, "Light")=0),"",COUNTIFS('Cage Tally'!$A:$A,$A14,'Cage Tally'!$C:$C,'Cage tracking'!K$4,'Cage Tally'!$E:$E, "Light"))</f>
        <v>1</v>
      </c>
      <c r="L14" s="132" t="str">
        <f>IF((COUNTIFS('Cage Tally'!$A:$A,$A14,'Cage Tally'!$C:$C,'Cage tracking'!L$4,'Cage Tally'!$E:$E, "Light")=0),"",COUNTIFS('Cage Tally'!$A:$A,$A14,'Cage Tally'!$C:$C,'Cage tracking'!L$4,'Cage Tally'!$E:$E, "Light"))</f>
        <v/>
      </c>
      <c r="M14" s="132">
        <f>IF((COUNTIFS('Cage Tally'!$A:$A,$A14,'Cage Tally'!$C:$C,'Cage tracking'!M$4,'Cage Tally'!$E:$E, "Light")=0),"",COUNTIFS('Cage Tally'!$A:$A,$A14,'Cage Tally'!$C:$C,'Cage tracking'!M$4,'Cage Tally'!$E:$E, "Light"))</f>
        <v>1</v>
      </c>
      <c r="N14" s="132" t="str">
        <f>IF((COUNTIFS('Cage Tally'!$A:$A,$A14,'Cage Tally'!$C:$C,'Cage tracking'!N$4,'Cage Tally'!$E:$E, "Light")=0),"",COUNTIFS('Cage Tally'!$A:$A,$A14,'Cage Tally'!$C:$C,'Cage tracking'!N$4,'Cage Tally'!$E:$E, "Light"))</f>
        <v/>
      </c>
      <c r="O14" s="132" t="str">
        <f>IF((COUNTIFS('Cage Tally'!$A:$A,$A14,'Cage Tally'!$C:$C,'Cage tracking'!O$4,'Cage Tally'!$E:$E, "Light")=0),"",COUNTIFS('Cage Tally'!$A:$A,$A14,'Cage Tally'!$C:$C,'Cage tracking'!O$4,'Cage Tally'!$E:$E, "Light"))</f>
        <v/>
      </c>
      <c r="P14" s="132" t="str">
        <f>IF((COUNTIFS('Cage Tally'!$A:$A,$A14,'Cage Tally'!$C:$C,'Cage tracking'!P$4,'Cage Tally'!$E:$E, "Light")=0),"",COUNTIFS('Cage Tally'!$A:$A,$A14,'Cage Tally'!$C:$C,'Cage tracking'!P$4,'Cage Tally'!$E:$E, "Light"))</f>
        <v/>
      </c>
      <c r="Q14" s="135"/>
      <c r="R14" s="136"/>
      <c r="S14" s="132" t="str">
        <f>IF((COUNTIFS('Cage Tally'!$A:$A,$A14,'Cage Tally'!$C:$C,'Cage tracking'!S$4,'Cage Tally'!$E:$E, "decomm")=0),"",COUNTIFS('Cage Tally'!$A:$A,$A14,'Cage Tally'!$C:$C,'Cage tracking'!S$4,'Cage Tally'!$E:$E, "decomm"))</f>
        <v/>
      </c>
      <c r="T14" s="132" t="str">
        <f>IF((COUNTIFS('Cage Tally'!$A:$A,$A14,'Cage Tally'!$C:$C,'Cage tracking'!T$4,'Cage Tally'!$E:$E, "decomm")=0),"",COUNTIFS('Cage Tally'!$A:$A,$A14,'Cage Tally'!$C:$C,'Cage tracking'!T$4,'Cage Tally'!$E:$E, "decomm"))</f>
        <v/>
      </c>
      <c r="U14" s="132" t="str">
        <f>IF((COUNTIFS('Cage Tally'!$A:$A,$A14,'Cage Tally'!$C:$C,'Cage tracking'!U$4,'Cage Tally'!$E:$E, "decomm")=0),"",COUNTIFS('Cage Tally'!$A:$A,$A14,'Cage Tally'!$C:$C,'Cage tracking'!U$4,'Cage Tally'!$E:$E, "decomm"))</f>
        <v/>
      </c>
      <c r="V14" s="132" t="str">
        <f>IF((COUNTIFS('Cage Tally'!$A:$A,$A14,'Cage Tally'!$C:$C,'Cage tracking'!V$4,'Cage Tally'!$E:$E, "decomm")=0),"",COUNTIFS('Cage Tally'!$A:$A,$A14,'Cage Tally'!$C:$C,'Cage tracking'!V$4,'Cage Tally'!$E:$E, "decomm"))</f>
        <v/>
      </c>
      <c r="W14" s="132" t="str">
        <f>IF((COUNTIFS('Cage Tally'!$A:$A,$A14,'Cage Tally'!$C:$C,'Cage tracking'!W$4,'Cage Tally'!$E:$E, "decomm")=0),"",COUNTIFS('Cage Tally'!$A:$A,$A14,'Cage Tally'!$C:$C,'Cage tracking'!W$4,'Cage Tally'!$E:$E, "decomm"))</f>
        <v/>
      </c>
      <c r="X14" s="142" t="str">
        <f>IF((COUNTIFS('Cage Tally'!$A:$A,$A14,'Cage Tally'!$C:$C,'Cage tracking'!X$4,'Cage Tally'!$E:$E, "decomm")=0),"",COUNTIFS('Cage Tally'!$A:$A,$A14,'Cage Tally'!$C:$C,'Cage tracking'!X$4,'Cage Tally'!$E:$E, "decomm"))</f>
        <v/>
      </c>
      <c r="Y14" s="273"/>
      <c r="Z14" s="273"/>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row>
    <row r="15" spans="1:48" ht="12.75">
      <c r="A15" s="126">
        <v>44033</v>
      </c>
      <c r="B15" s="31" t="str">
        <f>IF((COUNTIFS('Cage Tally'!$A:$A,$A15,'Cage Tally'!$C:$C,'Cage tracking'!B$4,'Cage Tally'!$E:$E, "Dark")=0),"",COUNTIFS('Cage Tally'!$A:$A,$A15,'Cage Tally'!$C:$C,'Cage tracking'!B$4,'Cage Tally'!$E:$E, "Dark"))</f>
        <v/>
      </c>
      <c r="C15" s="31">
        <f>IF((COUNTIFS('Cage Tally'!$A:$A,$A15,'Cage Tally'!$C:$C,'Cage tracking'!C$4,'Cage Tally'!$E:$E, "Dark")=0),"",COUNTIFS('Cage Tally'!$A:$A,$A15,'Cage Tally'!$C:$C,'Cage tracking'!C$4,'Cage Tally'!$E:$E, "Dark"))</f>
        <v>1</v>
      </c>
      <c r="D15" s="31" t="str">
        <f>IF((COUNTIFS('Cage Tally'!$A:$A,$A15,'Cage Tally'!$C:$C,'Cage tracking'!D$4,'Cage Tally'!$E:$E, "Dark")=0),"",COUNTIFS('Cage Tally'!$A:$A,$A15,'Cage Tally'!$C:$C,'Cage tracking'!D$4,'Cage Tally'!$E:$E, "Dark"))</f>
        <v/>
      </c>
      <c r="E15" s="31" t="str">
        <f>IF((COUNTIFS('Cage Tally'!$A:$A,$A15,'Cage Tally'!$C:$C,'Cage tracking'!E$4,'Cage Tally'!$E:$E, "Dark")=0),"",COUNTIFS('Cage Tally'!$A:$A,$A15,'Cage Tally'!$C:$C,'Cage tracking'!E$4,'Cage Tally'!$E:$E, "Dark"))</f>
        <v/>
      </c>
      <c r="F15" s="31" t="str">
        <f>IF((COUNTIFS('Cage Tally'!$A:$A,$A15,'Cage Tally'!$C:$C,'Cage tracking'!F$4,'Cage Tally'!$E:$E, "Dark")=0),"",COUNTIFS('Cage Tally'!$A:$A,$A15,'Cage Tally'!$C:$C,'Cage tracking'!F$4,'Cage Tally'!$E:$E, "Dark"))</f>
        <v/>
      </c>
      <c r="G15" s="31" t="str">
        <f>IF((COUNTIFS('Cage Tally'!$A:$A,$A15,'Cage Tally'!$C:$C,'Cage tracking'!G$4,'Cage Tally'!$E:$E, "Dark")=0),"",COUNTIFS('Cage Tally'!$A:$A,$A15,'Cage Tally'!$C:$C,'Cage tracking'!G$4,'Cage Tally'!$E:$E, "Dark"))</f>
        <v/>
      </c>
      <c r="H15" s="129"/>
      <c r="I15" s="128"/>
      <c r="J15" s="31"/>
      <c r="K15" s="31" t="str">
        <f>IF((COUNTIFS('Cage Tally'!$A:$A,$A15,'Cage Tally'!$C:$C,'Cage tracking'!K$4,'Cage Tally'!$E:$E, "Light")=0),"",COUNTIFS('Cage Tally'!$A:$A,$A15,'Cage Tally'!$C:$C,'Cage tracking'!K$4,'Cage Tally'!$E:$E, "Light"))</f>
        <v/>
      </c>
      <c r="L15" s="31" t="str">
        <f>IF((COUNTIFS('Cage Tally'!$A:$A,$A15,'Cage Tally'!$C:$C,'Cage tracking'!L$4,'Cage Tally'!$E:$E, "Light")=0),"",COUNTIFS('Cage Tally'!$A:$A,$A15,'Cage Tally'!$C:$C,'Cage tracking'!L$4,'Cage Tally'!$E:$E, "Light"))</f>
        <v/>
      </c>
      <c r="M15" s="31" t="str">
        <f>IF((COUNTIFS('Cage Tally'!$A:$A,$A15,'Cage Tally'!$C:$C,'Cage tracking'!M$4,'Cage Tally'!$E:$E, "Light")=0),"",COUNTIFS('Cage Tally'!$A:$A,$A15,'Cage Tally'!$C:$C,'Cage tracking'!M$4,'Cage Tally'!$E:$E, "Light"))</f>
        <v/>
      </c>
      <c r="N15" s="31" t="str">
        <f>IF((COUNTIFS('Cage Tally'!$A:$A,$A15,'Cage Tally'!$C:$C,'Cage tracking'!N$4,'Cage Tally'!$E:$E, "Light")=0),"",COUNTIFS('Cage Tally'!$A:$A,$A15,'Cage Tally'!$C:$C,'Cage tracking'!N$4,'Cage Tally'!$E:$E, "Light"))</f>
        <v/>
      </c>
      <c r="O15" s="31" t="str">
        <f>IF((COUNTIFS('Cage Tally'!$A:$A,$A15,'Cage Tally'!$C:$C,'Cage tracking'!O$4,'Cage Tally'!$E:$E, "Light")=0),"",COUNTIFS('Cage Tally'!$A:$A,$A15,'Cage Tally'!$C:$C,'Cage tracking'!O$4,'Cage Tally'!$E:$E, "Light"))</f>
        <v/>
      </c>
      <c r="P15" s="31" t="str">
        <f>IF((COUNTIFS('Cage Tally'!$A:$A,$A15,'Cage Tally'!$C:$C,'Cage tracking'!P$4,'Cage Tally'!$E:$E, "Light")=0),"",COUNTIFS('Cage Tally'!$A:$A,$A15,'Cage Tally'!$C:$C,'Cage tracking'!P$4,'Cage Tally'!$E:$E, "Light"))</f>
        <v/>
      </c>
      <c r="Q15" s="129"/>
      <c r="R15" s="130"/>
      <c r="S15" s="31" t="str">
        <f>IF((COUNTIFS('Cage Tally'!$A:$A,$A15,'Cage Tally'!$C:$C,'Cage tracking'!S$4,'Cage Tally'!$E:$E, "decomm")=0),"",COUNTIFS('Cage Tally'!$A:$A,$A15,'Cage Tally'!$C:$C,'Cage tracking'!S$4,'Cage Tally'!$E:$E, "decomm"))</f>
        <v/>
      </c>
      <c r="T15" s="31" t="str">
        <f>IF((COUNTIFS('Cage Tally'!$A:$A,$A15,'Cage Tally'!$C:$C,'Cage tracking'!T$4,'Cage Tally'!$E:$E, "decomm")=0),"",COUNTIFS('Cage Tally'!$A:$A,$A15,'Cage Tally'!$C:$C,'Cage tracking'!T$4,'Cage Tally'!$E:$E, "decomm"))</f>
        <v/>
      </c>
      <c r="U15" s="31">
        <f>IF((COUNTIFS('Cage Tally'!$A:$A,$A15,'Cage Tally'!$C:$C,'Cage tracking'!U$4,'Cage Tally'!$E:$E, "decomm")=0),"",COUNTIFS('Cage Tally'!$A:$A,$A15,'Cage Tally'!$C:$C,'Cage tracking'!U$4,'Cage Tally'!$E:$E, "decomm"))</f>
        <v>1</v>
      </c>
      <c r="V15" s="31" t="str">
        <f>IF((COUNTIFS('Cage Tally'!$A:$A,$A15,'Cage Tally'!$C:$C,'Cage tracking'!V$4,'Cage Tally'!$E:$E, "decomm")=0),"",COUNTIFS('Cage Tally'!$A:$A,$A15,'Cage Tally'!$C:$C,'Cage tracking'!V$4,'Cage Tally'!$E:$E, "decomm"))</f>
        <v/>
      </c>
      <c r="W15" s="31">
        <f>IF((COUNTIFS('Cage Tally'!$A:$A,$A15,'Cage Tally'!$C:$C,'Cage tracking'!W$4,'Cage Tally'!$E:$E, "decomm")=0),"",COUNTIFS('Cage Tally'!$A:$A,$A15,'Cage Tally'!$C:$C,'Cage tracking'!W$4,'Cage Tally'!$E:$E, "decomm"))</f>
        <v>1</v>
      </c>
      <c r="X15" s="140" t="str">
        <f>IF((COUNTIFS('Cage Tally'!$A:$A,$A15,'Cage Tally'!$C:$C,'Cage tracking'!X$4,'Cage Tally'!$E:$E, "decomm")=0),"",COUNTIFS('Cage Tally'!$A:$A,$A15,'Cage Tally'!$C:$C,'Cage tracking'!X$4,'Cage Tally'!$E:$E, "decomm"))</f>
        <v/>
      </c>
      <c r="Y15" s="273"/>
      <c r="Z15" s="273"/>
      <c r="AA15" s="273"/>
      <c r="AB15" s="273"/>
      <c r="AC15" s="273"/>
      <c r="AD15" s="273"/>
      <c r="AE15" s="273"/>
      <c r="AF15" s="273"/>
      <c r="AG15" s="273"/>
      <c r="AH15" s="273"/>
      <c r="AI15" s="273"/>
      <c r="AJ15" s="273"/>
      <c r="AK15" s="273"/>
      <c r="AL15" s="273"/>
      <c r="AM15" s="273"/>
      <c r="AN15" s="273"/>
      <c r="AO15" s="273"/>
      <c r="AP15" s="273"/>
      <c r="AQ15" s="273"/>
      <c r="AR15" s="273"/>
      <c r="AS15" s="273"/>
      <c r="AT15" s="273"/>
      <c r="AU15" s="273"/>
      <c r="AV15" s="273"/>
    </row>
    <row r="16" spans="1:48" ht="12.75">
      <c r="A16" s="131">
        <v>44039</v>
      </c>
      <c r="B16" s="132" t="str">
        <f>IF((COUNTIFS('Cage Tally'!$A:$A,$A16,'Cage Tally'!$C:$C,'Cage tracking'!B$4,'Cage Tally'!$E:$E, "Dark")=0),"",COUNTIFS('Cage Tally'!$A:$A,$A16,'Cage Tally'!$C:$C,'Cage tracking'!B$4,'Cage Tally'!$E:$E, "Dark"))</f>
        <v/>
      </c>
      <c r="C16" s="132" t="str">
        <f>IF((COUNTIFS('Cage Tally'!$A:$A,$A16,'Cage Tally'!$C:$C,'Cage tracking'!C$4,'Cage Tally'!$E:$E, "Dark")=0),"",COUNTIFS('Cage Tally'!$A:$A,$A16,'Cage Tally'!$C:$C,'Cage tracking'!C$4,'Cage Tally'!$E:$E, "Dark"))</f>
        <v/>
      </c>
      <c r="D16" s="132">
        <f>IF((COUNTIFS('Cage Tally'!$A:$A,$A16,'Cage Tally'!$C:$C,'Cage tracking'!D$4,'Cage Tally'!$E:$E, "Dark")=0),"",COUNTIFS('Cage Tally'!$A:$A,$A16,'Cage Tally'!$C:$C,'Cage tracking'!D$4,'Cage Tally'!$E:$E, "Dark"))</f>
        <v>1</v>
      </c>
      <c r="E16" s="132">
        <f>IF((COUNTIFS('Cage Tally'!$A:$A,$A16,'Cage Tally'!$C:$C,'Cage tracking'!E$4,'Cage Tally'!$E:$E, "Dark")=0),"",COUNTIFS('Cage Tally'!$A:$A,$A16,'Cage Tally'!$C:$C,'Cage tracking'!E$4,'Cage Tally'!$E:$E, "Dark"))</f>
        <v>1</v>
      </c>
      <c r="F16" s="132" t="str">
        <f>IF((COUNTIFS('Cage Tally'!$A:$A,$A16,'Cage Tally'!$C:$C,'Cage tracking'!F$4,'Cage Tally'!$E:$E, "Dark")=0),"",COUNTIFS('Cage Tally'!$A:$A,$A16,'Cage Tally'!$C:$C,'Cage tracking'!F$4,'Cage Tally'!$E:$E, "Dark"))</f>
        <v/>
      </c>
      <c r="G16" s="132" t="str">
        <f>IF((COUNTIFS('Cage Tally'!$A:$A,$A16,'Cage Tally'!$C:$C,'Cage tracking'!G$4,'Cage Tally'!$E:$E, "Dark")=0),"",COUNTIFS('Cage Tally'!$A:$A,$A16,'Cage Tally'!$C:$C,'Cage tracking'!G$4,'Cage Tally'!$E:$E, "Dark"))</f>
        <v/>
      </c>
      <c r="H16" s="135"/>
      <c r="I16" s="134"/>
      <c r="J16" s="132"/>
      <c r="K16" s="132" t="str">
        <f>IF((COUNTIFS('Cage Tally'!$A:$A,$A16,'Cage Tally'!$C:$C,'Cage tracking'!K$4,'Cage Tally'!$E:$E, "Light")=0),"",COUNTIFS('Cage Tally'!$A:$A,$A16,'Cage Tally'!$C:$C,'Cage tracking'!K$4,'Cage Tally'!$E:$E, "Light"))</f>
        <v/>
      </c>
      <c r="L16" s="132">
        <f>IF((COUNTIFS('Cage Tally'!$A:$A,$A16,'Cage Tally'!$C:$C,'Cage tracking'!L$4,'Cage Tally'!$E:$E, "Light")=0),"",COUNTIFS('Cage Tally'!$A:$A,$A16,'Cage Tally'!$C:$C,'Cage tracking'!L$4,'Cage Tally'!$E:$E, "Light"))</f>
        <v>1</v>
      </c>
      <c r="M16" s="132" t="str">
        <f>IF((COUNTIFS('Cage Tally'!$A:$A,$A16,'Cage Tally'!$C:$C,'Cage tracking'!M$4,'Cage Tally'!$E:$E, "Light")=0),"",COUNTIFS('Cage Tally'!$A:$A,$A16,'Cage Tally'!$C:$C,'Cage tracking'!M$4,'Cage Tally'!$E:$E, "Light"))</f>
        <v/>
      </c>
      <c r="N16" s="132" t="str">
        <f>IF((COUNTIFS('Cage Tally'!$A:$A,$A16,'Cage Tally'!$C:$C,'Cage tracking'!N$4,'Cage Tally'!$E:$E, "Light")=0),"",COUNTIFS('Cage Tally'!$A:$A,$A16,'Cage Tally'!$C:$C,'Cage tracking'!N$4,'Cage Tally'!$E:$E, "Light"))</f>
        <v/>
      </c>
      <c r="O16" s="132" t="str">
        <f>IF((COUNTIFS('Cage Tally'!$A:$A,$A16,'Cage Tally'!$C:$C,'Cage tracking'!O$4,'Cage Tally'!$E:$E, "Light")=0),"",COUNTIFS('Cage Tally'!$A:$A,$A16,'Cage Tally'!$C:$C,'Cage tracking'!O$4,'Cage Tally'!$E:$E, "Light"))</f>
        <v/>
      </c>
      <c r="P16" s="132" t="str">
        <f>IF((COUNTIFS('Cage Tally'!$A:$A,$A16,'Cage Tally'!$C:$C,'Cage tracking'!P$4,'Cage Tally'!$E:$E, "Light")=0),"",COUNTIFS('Cage Tally'!$A:$A,$A16,'Cage Tally'!$C:$C,'Cage tracking'!P$4,'Cage Tally'!$E:$E, "Light"))</f>
        <v/>
      </c>
      <c r="Q16" s="135"/>
      <c r="R16" s="136"/>
      <c r="S16" s="132" t="str">
        <f>IF((COUNTIFS('Cage Tally'!$A:$A,$A16,'Cage Tally'!$C:$C,'Cage tracking'!S$4,'Cage Tally'!$E:$E, "decomm")=0),"",COUNTIFS('Cage Tally'!$A:$A,$A16,'Cage Tally'!$C:$C,'Cage tracking'!S$4,'Cage Tally'!$E:$E, "decomm"))</f>
        <v/>
      </c>
      <c r="T16" s="132" t="str">
        <f>IF((COUNTIFS('Cage Tally'!$A:$A,$A16,'Cage Tally'!$C:$C,'Cage tracking'!T$4,'Cage Tally'!$E:$E, "decomm")=0),"",COUNTIFS('Cage Tally'!$A:$A,$A16,'Cage Tally'!$C:$C,'Cage tracking'!T$4,'Cage Tally'!$E:$E, "decomm"))</f>
        <v/>
      </c>
      <c r="U16" s="132" t="str">
        <f>IF((COUNTIFS('Cage Tally'!$A:$A,$A16,'Cage Tally'!$C:$C,'Cage tracking'!U$4,'Cage Tally'!$E:$E, "decomm")=0),"",COUNTIFS('Cage Tally'!$A:$A,$A16,'Cage Tally'!$C:$C,'Cage tracking'!U$4,'Cage Tally'!$E:$E, "decomm"))</f>
        <v/>
      </c>
      <c r="V16" s="132" t="str">
        <f>IF((COUNTIFS('Cage Tally'!$A:$A,$A16,'Cage Tally'!$C:$C,'Cage tracking'!V$4,'Cage Tally'!$E:$E, "decomm")=0),"",COUNTIFS('Cage Tally'!$A:$A,$A16,'Cage Tally'!$C:$C,'Cage tracking'!V$4,'Cage Tally'!$E:$E, "decomm"))</f>
        <v/>
      </c>
      <c r="W16" s="132" t="str">
        <f>IF((COUNTIFS('Cage Tally'!$A:$A,$A16,'Cage Tally'!$C:$C,'Cage tracking'!W$4,'Cage Tally'!$E:$E, "decomm")=0),"",COUNTIFS('Cage Tally'!$A:$A,$A16,'Cage Tally'!$C:$C,'Cage tracking'!W$4,'Cage Tally'!$E:$E, "decomm"))</f>
        <v/>
      </c>
      <c r="X16" s="142" t="str">
        <f>IF((COUNTIFS('Cage Tally'!$A:$A,$A16,'Cage Tally'!$C:$C,'Cage tracking'!X$4,'Cage Tally'!$E:$E, "decomm")=0),"",COUNTIFS('Cage Tally'!$A:$A,$A16,'Cage Tally'!$C:$C,'Cage tracking'!X$4,'Cage Tally'!$E:$E, "decomm"))</f>
        <v/>
      </c>
      <c r="Y16" s="273"/>
      <c r="Z16" s="273"/>
      <c r="AA16" s="273"/>
      <c r="AB16" s="273"/>
      <c r="AC16" s="273"/>
      <c r="AD16" s="273"/>
      <c r="AE16" s="273"/>
      <c r="AF16" s="273"/>
      <c r="AG16" s="273"/>
      <c r="AH16" s="273"/>
      <c r="AI16" s="273"/>
      <c r="AJ16" s="273"/>
      <c r="AK16" s="273"/>
      <c r="AL16" s="273"/>
      <c r="AM16" s="273"/>
      <c r="AN16" s="273"/>
      <c r="AO16" s="273"/>
      <c r="AP16" s="273"/>
      <c r="AQ16" s="273"/>
      <c r="AR16" s="273"/>
      <c r="AS16" s="273"/>
      <c r="AT16" s="273"/>
      <c r="AU16" s="273"/>
      <c r="AV16" s="273"/>
    </row>
    <row r="17" spans="1:48" ht="12.75">
      <c r="A17" s="126">
        <v>44046</v>
      </c>
      <c r="B17" s="31" t="str">
        <f>IF((COUNTIFS('Cage Tally'!$A:$A,$A17,'Cage Tally'!$C:$C,'Cage tracking'!B$4,'Cage Tally'!$E:$E, "Dark")=0),"",COUNTIFS('Cage Tally'!$A:$A,$A17,'Cage Tally'!$C:$C,'Cage tracking'!B$4,'Cage Tally'!$E:$E, "Dark"))</f>
        <v/>
      </c>
      <c r="C17" s="31" t="str">
        <f>IF((COUNTIFS('Cage Tally'!$A:$A,$A17,'Cage Tally'!$C:$C,'Cage tracking'!C$4,'Cage Tally'!$E:$E, "Dark")=0),"",COUNTIFS('Cage Tally'!$A:$A,$A17,'Cage Tally'!$C:$C,'Cage tracking'!C$4,'Cage Tally'!$E:$E, "Dark"))</f>
        <v/>
      </c>
      <c r="D17" s="31" t="str">
        <f>IF((COUNTIFS('Cage Tally'!$A:$A,$A17,'Cage Tally'!$C:$C,'Cage tracking'!D$4,'Cage Tally'!$E:$E, "Dark")=0),"",COUNTIFS('Cage Tally'!$A:$A,$A17,'Cage Tally'!$C:$C,'Cage tracking'!D$4,'Cage Tally'!$E:$E, "Dark"))</f>
        <v/>
      </c>
      <c r="E17" s="31">
        <f>IF((COUNTIFS('Cage Tally'!$A:$A,$A17,'Cage Tally'!$C:$C,'Cage tracking'!E$4,'Cage Tally'!$E:$E, "Dark")=0),"",COUNTIFS('Cage Tally'!$A:$A,$A17,'Cage Tally'!$C:$C,'Cage tracking'!E$4,'Cage Tally'!$E:$E, "Dark"))</f>
        <v>2</v>
      </c>
      <c r="F17" s="31" t="str">
        <f>IF((COUNTIFS('Cage Tally'!$A:$A,$A17,'Cage Tally'!$C:$C,'Cage tracking'!F$4,'Cage Tally'!$E:$E, "Dark")=0),"",COUNTIFS('Cage Tally'!$A:$A,$A17,'Cage Tally'!$C:$C,'Cage tracking'!F$4,'Cage Tally'!$E:$E, "Dark"))</f>
        <v/>
      </c>
      <c r="G17" s="31" t="str">
        <f>IF((COUNTIFS('Cage Tally'!$A:$A,$A17,'Cage Tally'!$C:$C,'Cage tracking'!G$4,'Cage Tally'!$E:$E, "Dark")=0),"",COUNTIFS('Cage Tally'!$A:$A,$A17,'Cage Tally'!$C:$C,'Cage tracking'!G$4,'Cage Tally'!$E:$E, "Dark"))</f>
        <v/>
      </c>
      <c r="H17" s="129"/>
      <c r="I17" s="128"/>
      <c r="J17" s="31"/>
      <c r="K17" s="31" t="str">
        <f>IF((COUNTIFS('Cage Tally'!$A:$A,$A17,'Cage Tally'!$C:$C,'Cage tracking'!K$4,'Cage Tally'!$E:$E, "Light")=0),"",COUNTIFS('Cage Tally'!$A:$A,$A17,'Cage Tally'!$C:$C,'Cage tracking'!K$4,'Cage Tally'!$E:$E, "Light"))</f>
        <v/>
      </c>
      <c r="L17" s="31" t="str">
        <f>IF((COUNTIFS('Cage Tally'!$A:$A,$A17,'Cage Tally'!$C:$C,'Cage tracking'!L$4,'Cage Tally'!$E:$E, "Light")=0),"",COUNTIFS('Cage Tally'!$A:$A,$A17,'Cage Tally'!$C:$C,'Cage tracking'!L$4,'Cage Tally'!$E:$E, "Light"))</f>
        <v/>
      </c>
      <c r="M17" s="31">
        <f>IF((COUNTIFS('Cage Tally'!$A:$A,$A17,'Cage Tally'!$C:$C,'Cage tracking'!M$4,'Cage Tally'!$E:$E, "Light")=0),"",COUNTIFS('Cage Tally'!$A:$A,$A17,'Cage Tally'!$C:$C,'Cage tracking'!M$4,'Cage Tally'!$E:$E, "Light"))</f>
        <v>1</v>
      </c>
      <c r="N17" s="31">
        <f>IF((COUNTIFS('Cage Tally'!$A:$A,$A17,'Cage Tally'!$C:$C,'Cage tracking'!N$4,'Cage Tally'!$E:$E, "Light")=0),"",COUNTIFS('Cage Tally'!$A:$A,$A17,'Cage Tally'!$C:$C,'Cage tracking'!N$4,'Cage Tally'!$E:$E, "Light"))</f>
        <v>1</v>
      </c>
      <c r="O17" s="31" t="str">
        <f>IF((COUNTIFS('Cage Tally'!$A:$A,$A17,'Cage Tally'!$C:$C,'Cage tracking'!O$4,'Cage Tally'!$E:$E, "Light")=0),"",COUNTIFS('Cage Tally'!$A:$A,$A17,'Cage Tally'!$C:$C,'Cage tracking'!O$4,'Cage Tally'!$E:$E, "Light"))</f>
        <v/>
      </c>
      <c r="P17" s="31" t="str">
        <f>IF((COUNTIFS('Cage Tally'!$A:$A,$A17,'Cage Tally'!$C:$C,'Cage tracking'!P$4,'Cage Tally'!$E:$E, "Light")=0),"",COUNTIFS('Cage Tally'!$A:$A,$A17,'Cage Tally'!$C:$C,'Cage tracking'!P$4,'Cage Tally'!$E:$E, "Light"))</f>
        <v/>
      </c>
      <c r="Q17" s="129"/>
      <c r="R17" s="130"/>
      <c r="S17" s="31" t="str">
        <f>IF((COUNTIFS('Cage Tally'!$A:$A,$A17,'Cage Tally'!$C:$C,'Cage tracking'!S$4,'Cage Tally'!$E:$E, "decomm")=0),"",COUNTIFS('Cage Tally'!$A:$A,$A17,'Cage Tally'!$C:$C,'Cage tracking'!S$4,'Cage Tally'!$E:$E, "decomm"))</f>
        <v/>
      </c>
      <c r="T17" s="31" t="str">
        <f>IF((COUNTIFS('Cage Tally'!$A:$A,$A17,'Cage Tally'!$C:$C,'Cage tracking'!T$4,'Cage Tally'!$E:$E, "decomm")=0),"",COUNTIFS('Cage Tally'!$A:$A,$A17,'Cage Tally'!$C:$C,'Cage tracking'!T$4,'Cage Tally'!$E:$E, "decomm"))</f>
        <v/>
      </c>
      <c r="U17" s="31" t="str">
        <f>IF((COUNTIFS('Cage Tally'!$A:$A,$A17,'Cage Tally'!$C:$C,'Cage tracking'!U$4,'Cage Tally'!$E:$E, "decomm")=0),"",COUNTIFS('Cage Tally'!$A:$A,$A17,'Cage Tally'!$C:$C,'Cage tracking'!U$4,'Cage Tally'!$E:$E, "decomm"))</f>
        <v/>
      </c>
      <c r="V17" s="31" t="str">
        <f>IF((COUNTIFS('Cage Tally'!$A:$A,$A17,'Cage Tally'!$C:$C,'Cage tracking'!V$4,'Cage Tally'!$E:$E, "decomm")=0),"",COUNTIFS('Cage Tally'!$A:$A,$A17,'Cage Tally'!$C:$C,'Cage tracking'!V$4,'Cage Tally'!$E:$E, "decomm"))</f>
        <v/>
      </c>
      <c r="W17" s="31" t="str">
        <f>IF((COUNTIFS('Cage Tally'!$A:$A,$A17,'Cage Tally'!$C:$C,'Cage tracking'!W$4,'Cage Tally'!$E:$E, "decomm")=0),"",COUNTIFS('Cage Tally'!$A:$A,$A17,'Cage Tally'!$C:$C,'Cage tracking'!W$4,'Cage Tally'!$E:$E, "decomm"))</f>
        <v/>
      </c>
      <c r="X17" s="140" t="str">
        <f>IF((COUNTIFS('Cage Tally'!$A:$A,$A17,'Cage Tally'!$C:$C,'Cage tracking'!X$4,'Cage Tally'!$E:$E, "decomm")=0),"",COUNTIFS('Cage Tally'!$A:$A,$A17,'Cage Tally'!$C:$C,'Cage tracking'!X$4,'Cage Tally'!$E:$E, "decomm"))</f>
        <v/>
      </c>
      <c r="Y17" s="273"/>
      <c r="Z17" s="273"/>
      <c r="AA17" s="273"/>
      <c r="AB17" s="273"/>
      <c r="AC17" s="273"/>
      <c r="AD17" s="273"/>
      <c r="AE17" s="273"/>
      <c r="AF17" s="273"/>
      <c r="AG17" s="273"/>
      <c r="AH17" s="273"/>
      <c r="AI17" s="273"/>
      <c r="AJ17" s="273"/>
      <c r="AK17" s="273"/>
      <c r="AL17" s="273"/>
      <c r="AM17" s="273"/>
      <c r="AN17" s="273"/>
      <c r="AO17" s="273"/>
      <c r="AP17" s="273"/>
      <c r="AQ17" s="273"/>
      <c r="AR17" s="273"/>
      <c r="AS17" s="273"/>
      <c r="AT17" s="273"/>
      <c r="AU17" s="273"/>
      <c r="AV17" s="273"/>
    </row>
    <row r="18" spans="1:48" s="75" customFormat="1" ht="12.75">
      <c r="A18" s="131">
        <v>44054</v>
      </c>
      <c r="B18" s="132" t="str">
        <f>IF((COUNTIFS('Cage Tally'!$A:$A,$A18,'Cage Tally'!$C:$C,'Cage tracking'!B$4,'Cage Tally'!$E:$E, "Dark")=0),"",COUNTIFS('Cage Tally'!$A:$A,$A18,'Cage Tally'!$C:$C,'Cage tracking'!B$4,'Cage Tally'!$E:$E, "Dark"))</f>
        <v/>
      </c>
      <c r="C18" s="132" t="str">
        <f>IF((COUNTIFS('Cage Tally'!$A:$A,$A18,'Cage Tally'!$C:$C,'Cage tracking'!C$4,'Cage Tally'!$E:$E, "Dark")=0),"",COUNTIFS('Cage Tally'!$A:$A,$A18,'Cage Tally'!$C:$C,'Cage tracking'!C$4,'Cage Tally'!$E:$E, "Dark"))</f>
        <v/>
      </c>
      <c r="D18" s="132">
        <f>IF((COUNTIFS('Cage Tally'!$A:$A,$A18,'Cage Tally'!$C:$C,'Cage tracking'!D$4,'Cage Tally'!$E:$E, "Dark")=0),"",COUNTIFS('Cage Tally'!$A:$A,$A18,'Cage Tally'!$C:$C,'Cage tracking'!D$4,'Cage Tally'!$E:$E, "Dark"))</f>
        <v>3</v>
      </c>
      <c r="E18" s="132">
        <f>IF((COUNTIFS('Cage Tally'!$A:$A,$A18,'Cage Tally'!$C:$C,'Cage tracking'!E$4,'Cage Tally'!$E:$E, "Dark")=0),"",COUNTIFS('Cage Tally'!$A:$A,$A18,'Cage Tally'!$C:$C,'Cage tracking'!E$4,'Cage Tally'!$E:$E, "Dark"))</f>
        <v>8</v>
      </c>
      <c r="F18" s="132" t="str">
        <f>IF((COUNTIFS('Cage Tally'!$A:$A,$A18,'Cage Tally'!$C:$C,'Cage tracking'!F$4,'Cage Tally'!$E:$E, "Dark")=0),"",COUNTIFS('Cage Tally'!$A:$A,$A18,'Cage Tally'!$C:$C,'Cage tracking'!F$4,'Cage Tally'!$E:$E, "Dark"))</f>
        <v/>
      </c>
      <c r="G18" s="132" t="str">
        <f>IF((COUNTIFS('Cage Tally'!$A:$A,$A18,'Cage Tally'!$C:$C,'Cage tracking'!G$4,'Cage Tally'!$E:$E, "Dark")=0),"",COUNTIFS('Cage Tally'!$A:$A,$A18,'Cage Tally'!$C:$C,'Cage tracking'!G$4,'Cage Tally'!$E:$E, "Dark"))</f>
        <v/>
      </c>
      <c r="H18" s="135"/>
      <c r="I18" s="134"/>
      <c r="J18" s="132"/>
      <c r="K18" s="132" t="str">
        <f>IF((COUNTIFS('Cage Tally'!$A:$A,$A18,'Cage Tally'!$C:$C,'Cage tracking'!K$4,'Cage Tally'!$E:$E, "Light")=0),"",COUNTIFS('Cage Tally'!$A:$A,$A18,'Cage Tally'!$C:$C,'Cage tracking'!K$4,'Cage Tally'!$E:$E, "Light"))</f>
        <v/>
      </c>
      <c r="L18" s="132" t="str">
        <f>IF((COUNTIFS('Cage Tally'!$A:$A,$A18,'Cage Tally'!$C:$C,'Cage tracking'!L$4,'Cage Tally'!$E:$E, "Light")=0),"",COUNTIFS('Cage Tally'!$A:$A,$A18,'Cage Tally'!$C:$C,'Cage tracking'!L$4,'Cage Tally'!$E:$E, "Light"))</f>
        <v/>
      </c>
      <c r="M18" s="132" t="str">
        <f>IF((COUNTIFS('Cage Tally'!$A:$A,$A18,'Cage Tally'!$C:$C,'Cage tracking'!M$4,'Cage Tally'!$E:$E, "Light")=0),"",COUNTIFS('Cage Tally'!$A:$A,$A18,'Cage Tally'!$C:$C,'Cage tracking'!M$4,'Cage Tally'!$E:$E, "Light"))</f>
        <v/>
      </c>
      <c r="N18" s="132">
        <f>IF((COUNTIFS('Cage Tally'!$A:$A,$A18,'Cage Tally'!$C:$C,'Cage tracking'!N$4,'Cage Tally'!$E:$E, "Light")=0),"",COUNTIFS('Cage Tally'!$A:$A,$A18,'Cage Tally'!$C:$C,'Cage tracking'!N$4,'Cage Tally'!$E:$E, "Light"))</f>
        <v>2</v>
      </c>
      <c r="O18" s="132" t="str">
        <f>IF((COUNTIFS('Cage Tally'!$A:$A,$A18,'Cage Tally'!$C:$C,'Cage tracking'!O$4,'Cage Tally'!$E:$E, "Light")=0),"",COUNTIFS('Cage Tally'!$A:$A,$A18,'Cage Tally'!$C:$C,'Cage tracking'!O$4,'Cage Tally'!$E:$E, "Light"))</f>
        <v/>
      </c>
      <c r="P18" s="132" t="str">
        <f>IF((COUNTIFS('Cage Tally'!$A:$A,$A18,'Cage Tally'!$C:$C,'Cage tracking'!P$4,'Cage Tally'!$E:$E, "Light")=0),"",COUNTIFS('Cage Tally'!$A:$A,$A18,'Cage Tally'!$C:$C,'Cage tracking'!P$4,'Cage Tally'!$E:$E, "Light"))</f>
        <v/>
      </c>
      <c r="Q18" s="135"/>
      <c r="R18" s="136"/>
      <c r="S18" s="132" t="str">
        <f>IF((COUNTIFS('Cage Tally'!$A:$A,$A18,'Cage Tally'!$C:$C,'Cage tracking'!S$4,'Cage Tally'!$E:$E, "decomm")=0),"",COUNTIFS('Cage Tally'!$A:$A,$A18,'Cage Tally'!$C:$C,'Cage tracking'!S$4,'Cage Tally'!$E:$E, "decomm"))</f>
        <v/>
      </c>
      <c r="T18" s="132" t="str">
        <f>IF((COUNTIFS('Cage Tally'!$A:$A,$A18,'Cage Tally'!$C:$C,'Cage tracking'!T$4,'Cage Tally'!$E:$E, "decomm")=0),"",COUNTIFS('Cage Tally'!$A:$A,$A18,'Cage Tally'!$C:$C,'Cage tracking'!T$4,'Cage Tally'!$E:$E, "decomm"))</f>
        <v/>
      </c>
      <c r="U18" s="132" t="str">
        <f>IF((COUNTIFS('Cage Tally'!$A:$A,$A18,'Cage Tally'!$C:$C,'Cage tracking'!U$4,'Cage Tally'!$E:$E, "decomm")=0),"",COUNTIFS('Cage Tally'!$A:$A,$A18,'Cage Tally'!$C:$C,'Cage tracking'!U$4,'Cage Tally'!$E:$E, "decomm"))</f>
        <v/>
      </c>
      <c r="V18" s="132" t="str">
        <f>IF((COUNTIFS('Cage Tally'!$A:$A,$A18,'Cage Tally'!$C:$C,'Cage tracking'!V$4,'Cage Tally'!$E:$E, "decomm")=0),"",COUNTIFS('Cage Tally'!$A:$A,$A18,'Cage Tally'!$C:$C,'Cage tracking'!V$4,'Cage Tally'!$E:$E, "decomm"))</f>
        <v/>
      </c>
      <c r="W18" s="132" t="str">
        <f>IF((COUNTIFS('Cage Tally'!$A:$A,$A18,'Cage Tally'!$C:$C,'Cage tracking'!W$4,'Cage Tally'!$E:$E, "decomm")=0),"",COUNTIFS('Cage Tally'!$A:$A,$A18,'Cage Tally'!$C:$C,'Cage tracking'!W$4,'Cage Tally'!$E:$E, "decomm"))</f>
        <v/>
      </c>
      <c r="X18" s="142" t="str">
        <f>IF((COUNTIFS('Cage Tally'!$A:$A,$A18,'Cage Tally'!$C:$C,'Cage tracking'!X$4,'Cage Tally'!$E:$E, "decomm")=0),"",COUNTIFS('Cage Tally'!$A:$A,$A18,'Cage Tally'!$C:$C,'Cage tracking'!X$4,'Cage Tally'!$E:$E, "decomm"))</f>
        <v/>
      </c>
      <c r="Y18" s="273"/>
      <c r="Z18" s="273"/>
      <c r="AA18" s="273"/>
      <c r="AB18" s="273"/>
      <c r="AC18" s="273"/>
      <c r="AD18" s="273"/>
      <c r="AE18" s="273"/>
      <c r="AF18" s="273"/>
      <c r="AG18" s="273"/>
      <c r="AH18" s="273"/>
      <c r="AI18" s="273"/>
      <c r="AJ18" s="273"/>
      <c r="AK18" s="273"/>
      <c r="AL18" s="273"/>
      <c r="AM18" s="273"/>
      <c r="AN18" s="273"/>
      <c r="AO18" s="273"/>
      <c r="AP18" s="273"/>
      <c r="AQ18" s="273"/>
      <c r="AR18" s="273"/>
      <c r="AS18" s="273"/>
      <c r="AT18" s="273"/>
      <c r="AU18" s="273"/>
      <c r="AV18" s="273"/>
    </row>
    <row r="19" spans="1:48" ht="12.75">
      <c r="A19" s="126">
        <v>44057</v>
      </c>
      <c r="B19" s="31" t="str">
        <f>IF((COUNTIFS('Cage Tally'!$A:$A,$A19,'Cage Tally'!$C:$C,'Cage tracking'!B$4,'Cage Tally'!$E:$E, "Dark")=0),"",COUNTIFS('Cage Tally'!$A:$A,$A19,'Cage Tally'!$C:$C,'Cage tracking'!B$4,'Cage Tally'!$E:$E, "Dark"))</f>
        <v/>
      </c>
      <c r="C19" s="31" t="str">
        <f>IF((COUNTIFS('Cage Tally'!$A:$A,$A19,'Cage Tally'!$C:$C,'Cage tracking'!C$4,'Cage Tally'!$E:$E, "Dark")=0),"",COUNTIFS('Cage Tally'!$A:$A,$A19,'Cage Tally'!$C:$C,'Cage tracking'!C$4,'Cage Tally'!$E:$E, "Dark"))</f>
        <v/>
      </c>
      <c r="D19" s="31" t="str">
        <f>IF((COUNTIFS('Cage Tally'!$A:$A,$A19,'Cage Tally'!$C:$C,'Cage tracking'!D$4,'Cage Tally'!$E:$E, "Dark")=0),"",COUNTIFS('Cage Tally'!$A:$A,$A19,'Cage Tally'!$C:$C,'Cage tracking'!D$4,'Cage Tally'!$E:$E, "Dark"))</f>
        <v/>
      </c>
      <c r="E19" s="31" t="str">
        <f>IF((COUNTIFS('Cage Tally'!$A:$A,$A19,'Cage Tally'!$C:$C,'Cage tracking'!E$4,'Cage Tally'!$E:$E, "Dark")=0),"",COUNTIFS('Cage Tally'!$A:$A,$A19,'Cage Tally'!$C:$C,'Cage tracking'!E$4,'Cage Tally'!$E:$E, "Dark"))</f>
        <v/>
      </c>
      <c r="F19" s="31" t="str">
        <f>IF((COUNTIFS('Cage Tally'!$A:$A,$A19,'Cage Tally'!$C:$C,'Cage tracking'!F$4,'Cage Tally'!$E:$E, "Dark")=0),"",COUNTIFS('Cage Tally'!$A:$A,$A19,'Cage Tally'!$C:$C,'Cage tracking'!F$4,'Cage Tally'!$E:$E, "Dark"))</f>
        <v/>
      </c>
      <c r="G19" s="31" t="str">
        <f>IF((COUNTIFS('Cage Tally'!$A:$A,$A19,'Cage Tally'!$C:$C,'Cage tracking'!G$4,'Cage Tally'!$E:$E, "Dark")=0),"",COUNTIFS('Cage Tally'!$A:$A,$A19,'Cage Tally'!$C:$C,'Cage tracking'!G$4,'Cage Tally'!$E:$E, "Dark"))</f>
        <v/>
      </c>
      <c r="H19" s="129"/>
      <c r="I19" s="128"/>
      <c r="J19" s="137"/>
      <c r="K19" s="31" t="str">
        <f>IF((COUNTIFS('Cage Tally'!$A:$A,$A19,'Cage Tally'!$C:$C,'Cage tracking'!K$4,'Cage Tally'!$E:$E, "Light")=0),"",COUNTIFS('Cage Tally'!$A:$A,$A19,'Cage Tally'!$C:$C,'Cage tracking'!K$4,'Cage Tally'!$E:$E, "Light"))</f>
        <v/>
      </c>
      <c r="L19" s="31" t="str">
        <f>IF((COUNTIFS('Cage Tally'!$A:$A,$A19,'Cage Tally'!$C:$C,'Cage tracking'!L$4,'Cage Tally'!$E:$E, "Light")=0),"",COUNTIFS('Cage Tally'!$A:$A,$A19,'Cage Tally'!$C:$C,'Cage tracking'!L$4,'Cage Tally'!$E:$E, "Light"))</f>
        <v/>
      </c>
      <c r="M19" s="31">
        <f>IF((COUNTIFS('Cage Tally'!$A:$A,$A19,'Cage Tally'!$C:$C,'Cage tracking'!M$4,'Cage Tally'!$E:$E, "Light")=0),"",COUNTIFS('Cage Tally'!$A:$A,$A19,'Cage Tally'!$C:$C,'Cage tracking'!M$4,'Cage Tally'!$E:$E, "Light"))</f>
        <v>3</v>
      </c>
      <c r="N19" s="31" t="str">
        <f>IF((COUNTIFS('Cage Tally'!$A:$A,$A19,'Cage Tally'!$C:$C,'Cage tracking'!N$4,'Cage Tally'!$E:$E, "Light")=0),"",COUNTIFS('Cage Tally'!$A:$A,$A19,'Cage Tally'!$C:$C,'Cage tracking'!N$4,'Cage Tally'!$E:$E, "Light"))</f>
        <v/>
      </c>
      <c r="O19" s="31" t="str">
        <f>IF((COUNTIFS('Cage Tally'!$A:$A,$A19,'Cage Tally'!$C:$C,'Cage tracking'!O$4,'Cage Tally'!$E:$E, "Light")=0),"",COUNTIFS('Cage Tally'!$A:$A,$A19,'Cage Tally'!$C:$C,'Cage tracking'!O$4,'Cage Tally'!$E:$E, "Light"))</f>
        <v/>
      </c>
      <c r="P19" s="31" t="str">
        <f>IF((COUNTIFS('Cage Tally'!$A:$A,$A19,'Cage Tally'!$C:$C,'Cage tracking'!P$4,'Cage Tally'!$E:$E, "Light")=0),"",COUNTIFS('Cage Tally'!$A:$A,$A19,'Cage Tally'!$C:$C,'Cage tracking'!P$4,'Cage Tally'!$E:$E, "Light"))</f>
        <v/>
      </c>
      <c r="Q19" s="129"/>
      <c r="R19" s="130"/>
      <c r="S19" s="31" t="str">
        <f>IF((COUNTIFS('Cage Tally'!$A:$A,$A19,'Cage Tally'!$C:$C,'Cage tracking'!S$4,'Cage Tally'!$E:$E, "decomm")=0),"",COUNTIFS('Cage Tally'!$A:$A,$A19,'Cage Tally'!$C:$C,'Cage tracking'!S$4,'Cage Tally'!$E:$E, "decomm"))</f>
        <v/>
      </c>
      <c r="T19" s="31" t="str">
        <f>IF((COUNTIFS('Cage Tally'!$A:$A,$A19,'Cage Tally'!$C:$C,'Cage tracking'!T$4,'Cage Tally'!$E:$E, "decomm")=0),"",COUNTIFS('Cage Tally'!$A:$A,$A19,'Cage Tally'!$C:$C,'Cage tracking'!T$4,'Cage Tally'!$E:$E, "decomm"))</f>
        <v/>
      </c>
      <c r="U19" s="31" t="str">
        <f>IF((COUNTIFS('Cage Tally'!$A:$A,$A19,'Cage Tally'!$C:$C,'Cage tracking'!U$4,'Cage Tally'!$E:$E, "decomm")=0),"",COUNTIFS('Cage Tally'!$A:$A,$A19,'Cage Tally'!$C:$C,'Cage tracking'!U$4,'Cage Tally'!$E:$E, "decomm"))</f>
        <v/>
      </c>
      <c r="V19" s="31" t="str">
        <f>IF((COUNTIFS('Cage Tally'!$A:$A,$A19,'Cage Tally'!$C:$C,'Cage tracking'!V$4,'Cage Tally'!$E:$E, "decomm")=0),"",COUNTIFS('Cage Tally'!$A:$A,$A19,'Cage Tally'!$C:$C,'Cage tracking'!V$4,'Cage Tally'!$E:$E, "decomm"))</f>
        <v/>
      </c>
      <c r="W19" s="31">
        <f>IF((COUNTIFS('Cage Tally'!$A:$A,$A19,'Cage Tally'!$C:$C,'Cage tracking'!W$4,'Cage Tally'!$E:$E, "decomm")=0),"",COUNTIFS('Cage Tally'!$A:$A,$A19,'Cage Tally'!$C:$C,'Cage tracking'!W$4,'Cage Tally'!$E:$E, "decomm"))</f>
        <v>2</v>
      </c>
      <c r="X19" s="140" t="str">
        <f>IF((COUNTIFS('Cage Tally'!$A:$A,$A19,'Cage Tally'!$C:$C,'Cage tracking'!X$4,'Cage Tally'!$E:$E, "decomm")=0),"",COUNTIFS('Cage Tally'!$A:$A,$A19,'Cage Tally'!$C:$C,'Cage tracking'!X$4,'Cage Tally'!$E:$E, "decomm"))</f>
        <v/>
      </c>
      <c r="Y19" s="273"/>
      <c r="Z19" s="273"/>
      <c r="AA19" s="273"/>
      <c r="AB19" s="273"/>
      <c r="AC19" s="273"/>
      <c r="AD19" s="273"/>
      <c r="AE19" s="273"/>
      <c r="AF19" s="273"/>
      <c r="AG19" s="273"/>
      <c r="AH19" s="273"/>
      <c r="AI19" s="273"/>
      <c r="AJ19" s="273"/>
      <c r="AK19" s="273"/>
      <c r="AL19" s="273"/>
      <c r="AM19" s="273"/>
      <c r="AN19" s="273"/>
      <c r="AO19" s="273"/>
      <c r="AP19" s="273"/>
      <c r="AQ19" s="273"/>
      <c r="AR19" s="273"/>
      <c r="AS19" s="273"/>
      <c r="AT19" s="273"/>
      <c r="AU19" s="273"/>
      <c r="AV19" s="273"/>
    </row>
    <row r="20" spans="1:48" ht="12.75">
      <c r="A20" s="131">
        <v>44060</v>
      </c>
      <c r="B20" s="132" t="str">
        <f>IF((COUNTIFS('Cage Tally'!$A:$A,$A20,'Cage Tally'!$C:$C,'Cage tracking'!B$4,'Cage Tally'!$E:$E, "Dark")=0),"",COUNTIFS('Cage Tally'!$A:$A,$A20,'Cage Tally'!$C:$C,'Cage tracking'!B$4,'Cage Tally'!$E:$E, "Dark"))</f>
        <v/>
      </c>
      <c r="C20" s="132" t="str">
        <f>IF((COUNTIFS('Cage Tally'!$A:$A,$A20,'Cage Tally'!$C:$C,'Cage tracking'!C$4,'Cage Tally'!$E:$E, "Dark")=0),"",COUNTIFS('Cage Tally'!$A:$A,$A20,'Cage Tally'!$C:$C,'Cage tracking'!C$4,'Cage Tally'!$E:$E, "Dark"))</f>
        <v/>
      </c>
      <c r="D20" s="132" t="str">
        <f>IF((COUNTIFS('Cage Tally'!$A:$A,$A20,'Cage Tally'!$C:$C,'Cage tracking'!D$4,'Cage Tally'!$E:$E, "Dark")=0),"",COUNTIFS('Cage Tally'!$A:$A,$A20,'Cage Tally'!$C:$C,'Cage tracking'!D$4,'Cage Tally'!$E:$E, "Dark"))</f>
        <v/>
      </c>
      <c r="E20" s="132" t="str">
        <f>IF((COUNTIFS('Cage Tally'!$A:$A,$A20,'Cage Tally'!$C:$C,'Cage tracking'!E$4,'Cage Tally'!$E:$E, "Dark")=0),"",COUNTIFS('Cage Tally'!$A:$A,$A20,'Cage Tally'!$C:$C,'Cage tracking'!E$4,'Cage Tally'!$E:$E, "Dark"))</f>
        <v/>
      </c>
      <c r="F20" s="132" t="str">
        <f>IF((COUNTIFS('Cage Tally'!$A:$A,$A20,'Cage Tally'!$C:$C,'Cage tracking'!F$4,'Cage Tally'!$E:$E, "Dark")=0),"",COUNTIFS('Cage Tally'!$A:$A,$A20,'Cage Tally'!$C:$C,'Cage tracking'!F$4,'Cage Tally'!$E:$E, "Dark"))</f>
        <v/>
      </c>
      <c r="G20" s="132" t="str">
        <f>IF((COUNTIFS('Cage Tally'!$A:$A,$A20,'Cage Tally'!$C:$C,'Cage tracking'!G$4,'Cage Tally'!$E:$E, "Dark")=0),"",COUNTIFS('Cage Tally'!$A:$A,$A20,'Cage Tally'!$C:$C,'Cage tracking'!G$4,'Cage Tally'!$E:$E, "Dark"))</f>
        <v/>
      </c>
      <c r="H20" s="135"/>
      <c r="I20" s="134"/>
      <c r="J20" s="132"/>
      <c r="K20" s="132" t="str">
        <f>IF((COUNTIFS('Cage Tally'!$A:$A,$A20,'Cage Tally'!$C:$C,'Cage tracking'!K$4,'Cage Tally'!$E:$E, "Light")=0),"",COUNTIFS('Cage Tally'!$A:$A,$A20,'Cage Tally'!$C:$C,'Cage tracking'!K$4,'Cage Tally'!$E:$E, "Light"))</f>
        <v/>
      </c>
      <c r="L20" s="132" t="str">
        <f>IF((COUNTIFS('Cage Tally'!$A:$A,$A20,'Cage Tally'!$C:$C,'Cage tracking'!L$4,'Cage Tally'!$E:$E, "Light")=0),"",COUNTIFS('Cage Tally'!$A:$A,$A20,'Cage Tally'!$C:$C,'Cage tracking'!L$4,'Cage Tally'!$E:$E, "Light"))</f>
        <v/>
      </c>
      <c r="M20" s="132" t="str">
        <f>IF((COUNTIFS('Cage Tally'!$A:$A,$A20,'Cage Tally'!$C:$C,'Cage tracking'!M$4,'Cage Tally'!$E:$E, "Light")=0),"",COUNTIFS('Cage Tally'!$A:$A,$A20,'Cage Tally'!$C:$C,'Cage tracking'!M$4,'Cage Tally'!$E:$E, "Light"))</f>
        <v/>
      </c>
      <c r="N20" s="132">
        <f>IF((COUNTIFS('Cage Tally'!$A:$A,$A20,'Cage Tally'!$C:$C,'Cage tracking'!N$4,'Cage Tally'!$E:$E, "Light")=0),"",COUNTIFS('Cage Tally'!$A:$A,$A20,'Cage Tally'!$C:$C,'Cage tracking'!N$4,'Cage Tally'!$E:$E, "Light"))</f>
        <v>5</v>
      </c>
      <c r="O20" s="132" t="str">
        <f>IF((COUNTIFS('Cage Tally'!$A:$A,$A20,'Cage Tally'!$C:$C,'Cage tracking'!O$4,'Cage Tally'!$E:$E, "Light")=0),"",COUNTIFS('Cage Tally'!$A:$A,$A20,'Cage Tally'!$C:$C,'Cage tracking'!O$4,'Cage Tally'!$E:$E, "Light"))</f>
        <v/>
      </c>
      <c r="P20" s="132" t="str">
        <f>IF((COUNTIFS('Cage Tally'!$A:$A,$A20,'Cage Tally'!$C:$C,'Cage tracking'!P$4,'Cage Tally'!$E:$E, "Light")=0),"",COUNTIFS('Cage Tally'!$A:$A,$A20,'Cage Tally'!$C:$C,'Cage tracking'!P$4,'Cage Tally'!$E:$E, "Light"))</f>
        <v/>
      </c>
      <c r="Q20" s="135"/>
      <c r="R20" s="136"/>
      <c r="S20" s="132" t="str">
        <f>IF((COUNTIFS('Cage Tally'!$A:$A,$A20,'Cage Tally'!$C:$C,'Cage tracking'!S$4,'Cage Tally'!$E:$E, "decomm")=0),"",COUNTIFS('Cage Tally'!$A:$A,$A20,'Cage Tally'!$C:$C,'Cage tracking'!S$4,'Cage Tally'!$E:$E, "decomm"))</f>
        <v/>
      </c>
      <c r="T20" s="132" t="str">
        <f>IF((COUNTIFS('Cage Tally'!$A:$A,$A20,'Cage Tally'!$C:$C,'Cage tracking'!T$4,'Cage Tally'!$E:$E, "decomm")=0),"",COUNTIFS('Cage Tally'!$A:$A,$A20,'Cage Tally'!$C:$C,'Cage tracking'!T$4,'Cage Tally'!$E:$E, "decomm"))</f>
        <v/>
      </c>
      <c r="U20" s="132">
        <f>IF((COUNTIFS('Cage Tally'!$A:$A,$A20,'Cage Tally'!$C:$C,'Cage tracking'!U$4,'Cage Tally'!$E:$E, "decomm")=0),"",COUNTIFS('Cage Tally'!$A:$A,$A20,'Cage Tally'!$C:$C,'Cage tracking'!U$4,'Cage Tally'!$E:$E, "decomm"))</f>
        <v>2</v>
      </c>
      <c r="V20" s="132">
        <f>IF((COUNTIFS('Cage Tally'!$A:$A,$A20,'Cage Tally'!$C:$C,'Cage tracking'!V$4,'Cage Tally'!$E:$E, "decomm")=0),"",COUNTIFS('Cage Tally'!$A:$A,$A20,'Cage Tally'!$C:$C,'Cage tracking'!V$4,'Cage Tally'!$E:$E, "decomm"))</f>
        <v>1</v>
      </c>
      <c r="W20" s="132" t="str">
        <f>IF((COUNTIFS('Cage Tally'!$A:$A,$A20,'Cage Tally'!$C:$C,'Cage tracking'!W$4,'Cage Tally'!$E:$E, "decomm")=0),"",COUNTIFS('Cage Tally'!$A:$A,$A20,'Cage Tally'!$C:$C,'Cage tracking'!W$4,'Cage Tally'!$E:$E, "decomm"))</f>
        <v/>
      </c>
      <c r="X20" s="142" t="str">
        <f>IF((COUNTIFS('Cage Tally'!$A:$A,$A20,'Cage Tally'!$C:$C,'Cage tracking'!X$4,'Cage Tally'!$E:$E, "decomm")=0),"",COUNTIFS('Cage Tally'!$A:$A,$A20,'Cage Tally'!$C:$C,'Cage tracking'!X$4,'Cage Tally'!$E:$E, "decomm"))</f>
        <v/>
      </c>
      <c r="Y20" s="273"/>
      <c r="Z20" s="273"/>
      <c r="AA20" s="273"/>
      <c r="AB20" s="273"/>
      <c r="AC20" s="273"/>
      <c r="AD20" s="273"/>
      <c r="AE20" s="273"/>
      <c r="AF20" s="273"/>
      <c r="AG20" s="273"/>
      <c r="AH20" s="273"/>
      <c r="AI20" s="273"/>
      <c r="AJ20" s="273"/>
      <c r="AK20" s="273"/>
      <c r="AL20" s="273"/>
      <c r="AM20" s="273"/>
      <c r="AN20" s="273"/>
      <c r="AO20" s="273"/>
      <c r="AP20" s="273"/>
      <c r="AQ20" s="273"/>
      <c r="AR20" s="273"/>
      <c r="AS20" s="273"/>
      <c r="AT20" s="273"/>
      <c r="AU20" s="273"/>
      <c r="AV20" s="273"/>
    </row>
    <row r="21" spans="1:48" ht="12.75">
      <c r="A21" s="126">
        <v>44062</v>
      </c>
      <c r="B21" s="31" t="str">
        <f>IF((COUNTIFS('Cage Tally'!$A:$A,$A21,'Cage Tally'!$C:$C,'Cage tracking'!B$4,'Cage Tally'!$E:$E, "Dark")=0),"",COUNTIFS('Cage Tally'!$A:$A,$A21,'Cage Tally'!$C:$C,'Cage tracking'!B$4,'Cage Tally'!$E:$E, "Dark"))</f>
        <v/>
      </c>
      <c r="C21" s="31" t="str">
        <f>IF((COUNTIFS('Cage Tally'!$A:$A,$A21,'Cage Tally'!$C:$C,'Cage tracking'!C$4,'Cage Tally'!$E:$E, "Dark")=0),"",COUNTIFS('Cage Tally'!$A:$A,$A21,'Cage Tally'!$C:$C,'Cage tracking'!C$4,'Cage Tally'!$E:$E, "Dark"))</f>
        <v/>
      </c>
      <c r="D21" s="31" t="str">
        <f>IF((COUNTIFS('Cage Tally'!$A:$A,$A21,'Cage Tally'!$C:$C,'Cage tracking'!D$4,'Cage Tally'!$E:$E, "Dark")=0),"",COUNTIFS('Cage Tally'!$A:$A,$A21,'Cage Tally'!$C:$C,'Cage tracking'!D$4,'Cage Tally'!$E:$E, "Dark"))</f>
        <v/>
      </c>
      <c r="E21" s="31" t="str">
        <f>IF((COUNTIFS('Cage Tally'!$A:$A,$A21,'Cage Tally'!$C:$C,'Cage tracking'!E$4,'Cage Tally'!$E:$E, "Dark")=0),"",COUNTIFS('Cage Tally'!$A:$A,$A21,'Cage Tally'!$C:$C,'Cage tracking'!E$4,'Cage Tally'!$E:$E, "Dark"))</f>
        <v/>
      </c>
      <c r="F21" s="31" t="str">
        <f>IF((COUNTIFS('Cage Tally'!$A:$A,$A21,'Cage Tally'!$C:$C,'Cage tracking'!F$4,'Cage Tally'!$E:$E, "Dark")=0),"",COUNTIFS('Cage Tally'!$A:$A,$A21,'Cage Tally'!$C:$C,'Cage tracking'!F$4,'Cage Tally'!$E:$E, "Dark"))</f>
        <v/>
      </c>
      <c r="G21" s="31" t="str">
        <f>IF((COUNTIFS('Cage Tally'!$A:$A,$A21,'Cage Tally'!$C:$C,'Cage tracking'!G$4,'Cage Tally'!$E:$E, "Dark")=0),"",COUNTIFS('Cage Tally'!$A:$A,$A21,'Cage Tally'!$C:$C,'Cage tracking'!G$4,'Cage Tally'!$E:$E, "Dark"))</f>
        <v/>
      </c>
      <c r="H21" s="129"/>
      <c r="I21" s="128"/>
      <c r="J21" s="31"/>
      <c r="K21" s="31" t="str">
        <f>IF((COUNTIFS('Cage Tally'!$A:$A,$A21,'Cage Tally'!$C:$C,'Cage tracking'!K$4,'Cage Tally'!$E:$E, "Light")=0),"",COUNTIFS('Cage Tally'!$A:$A,$A21,'Cage Tally'!$C:$C,'Cage tracking'!K$4,'Cage Tally'!$E:$E, "Light"))</f>
        <v/>
      </c>
      <c r="L21" s="31" t="str">
        <f>IF((COUNTIFS('Cage Tally'!$A:$A,$A21,'Cage Tally'!$C:$C,'Cage tracking'!L$4,'Cage Tally'!$E:$E, "Light")=0),"",COUNTIFS('Cage Tally'!$A:$A,$A21,'Cage Tally'!$C:$C,'Cage tracking'!L$4,'Cage Tally'!$E:$E, "Light"))</f>
        <v/>
      </c>
      <c r="M21" s="31" t="str">
        <f>IF((COUNTIFS('Cage Tally'!$A:$A,$A21,'Cage Tally'!$C:$C,'Cage tracking'!M$4,'Cage Tally'!$E:$E, "Light")=0),"",COUNTIFS('Cage Tally'!$A:$A,$A21,'Cage Tally'!$C:$C,'Cage tracking'!M$4,'Cage Tally'!$E:$E, "Light"))</f>
        <v/>
      </c>
      <c r="N21" s="31">
        <f>IF((COUNTIFS('Cage Tally'!$A:$A,$A21,'Cage Tally'!$C:$C,'Cage tracking'!N$4,'Cage Tally'!$E:$E, "Light")=0),"",COUNTIFS('Cage Tally'!$A:$A,$A21,'Cage Tally'!$C:$C,'Cage tracking'!N$4,'Cage Tally'!$E:$E, "Light"))</f>
        <v>3</v>
      </c>
      <c r="O21" s="31" t="str">
        <f>IF((COUNTIFS('Cage Tally'!$A:$A,$A21,'Cage Tally'!$C:$C,'Cage tracking'!O$4,'Cage Tally'!$E:$E, "Light")=0),"",COUNTIFS('Cage Tally'!$A:$A,$A21,'Cage Tally'!$C:$C,'Cage tracking'!O$4,'Cage Tally'!$E:$E, "Light"))</f>
        <v/>
      </c>
      <c r="P21" s="31" t="str">
        <f>IF((COUNTIFS('Cage Tally'!$A:$A,$A21,'Cage Tally'!$C:$C,'Cage tracking'!P$4,'Cage Tally'!$E:$E, "Light")=0),"",COUNTIFS('Cage Tally'!$A:$A,$A21,'Cage Tally'!$C:$C,'Cage tracking'!P$4,'Cage Tally'!$E:$E, "Light"))</f>
        <v/>
      </c>
      <c r="Q21" s="129"/>
      <c r="R21" s="130"/>
      <c r="S21" s="31">
        <f>IF((COUNTIFS('Cage Tally'!$A:$A,$A21,'Cage Tally'!$C:$C,'Cage tracking'!S$4,'Cage Tally'!$E:$E, "decomm")=0),"",COUNTIFS('Cage Tally'!$A:$A,$A21,'Cage Tally'!$C:$C,'Cage tracking'!S$4,'Cage Tally'!$E:$E, "decomm"))</f>
        <v>1</v>
      </c>
      <c r="T21" s="31" t="str">
        <f>IF((COUNTIFS('Cage Tally'!$A:$A,$A21,'Cage Tally'!$C:$C,'Cage tracking'!T$4,'Cage Tally'!$E:$E, "decomm")=0),"",COUNTIFS('Cage Tally'!$A:$A,$A21,'Cage Tally'!$C:$C,'Cage tracking'!T$4,'Cage Tally'!$E:$E, "decomm"))</f>
        <v/>
      </c>
      <c r="U21" s="31">
        <f>IF((COUNTIFS('Cage Tally'!$A:$A,$A21,'Cage Tally'!$C:$C,'Cage tracking'!U$4,'Cage Tally'!$E:$E, "decomm")=0),"",COUNTIFS('Cage Tally'!$A:$A,$A21,'Cage Tally'!$C:$C,'Cage tracking'!U$4,'Cage Tally'!$E:$E, "decomm"))</f>
        <v>5</v>
      </c>
      <c r="V21" s="31">
        <f>IF((COUNTIFS('Cage Tally'!$A:$A,$A21,'Cage Tally'!$C:$C,'Cage tracking'!V$4,'Cage Tally'!$E:$E, "decomm")=0),"",COUNTIFS('Cage Tally'!$A:$A,$A21,'Cage Tally'!$C:$C,'Cage tracking'!V$4,'Cage Tally'!$E:$E, "decomm"))</f>
        <v>4</v>
      </c>
      <c r="W21" s="31" t="str">
        <f>IF((COUNTIFS('Cage Tally'!$A:$A,$A21,'Cage Tally'!$C:$C,'Cage tracking'!W$4,'Cage Tally'!$E:$E, "decomm")=0),"",COUNTIFS('Cage Tally'!$A:$A,$A21,'Cage Tally'!$C:$C,'Cage tracking'!W$4,'Cage Tally'!$E:$E, "decomm"))</f>
        <v/>
      </c>
      <c r="X21" s="140" t="str">
        <f>IF((COUNTIFS('Cage Tally'!$A:$A,$A21,'Cage Tally'!$C:$C,'Cage tracking'!X$4,'Cage Tally'!$E:$E, "decomm")=0),"",COUNTIFS('Cage Tally'!$A:$A,$A21,'Cage Tally'!$C:$C,'Cage tracking'!X$4,'Cage Tally'!$E:$E, "decomm"))</f>
        <v/>
      </c>
      <c r="Y21" s="273"/>
      <c r="Z21" s="273"/>
      <c r="AA21" s="273"/>
      <c r="AB21" s="273"/>
      <c r="AC21" s="273"/>
      <c r="AD21" s="273"/>
      <c r="AE21" s="273"/>
      <c r="AF21" s="273"/>
      <c r="AG21" s="273"/>
      <c r="AH21" s="273"/>
      <c r="AI21" s="273"/>
      <c r="AJ21" s="273"/>
      <c r="AK21" s="273"/>
      <c r="AL21" s="273"/>
      <c r="AM21" s="273"/>
      <c r="AN21" s="273"/>
      <c r="AO21" s="273"/>
      <c r="AP21" s="273"/>
      <c r="AQ21" s="273"/>
      <c r="AR21" s="273"/>
      <c r="AS21" s="273"/>
      <c r="AT21" s="273"/>
      <c r="AU21" s="273"/>
      <c r="AV21" s="273"/>
    </row>
    <row r="22" spans="1:48" ht="12.75">
      <c r="A22" s="131">
        <v>44063</v>
      </c>
      <c r="B22" s="132" t="str">
        <f>IF((COUNTIFS('Cage Tally'!$A:$A,$A22,'Cage Tally'!$C:$C,'Cage tracking'!B$4,'Cage Tally'!$E:$E, "Dark")=0),"",COUNTIFS('Cage Tally'!$A:$A,$A22,'Cage Tally'!$C:$C,'Cage tracking'!B$4,'Cage Tally'!$E:$E, "Dark"))</f>
        <v/>
      </c>
      <c r="C22" s="132" t="str">
        <f>IF((COUNTIFS('Cage Tally'!$A:$A,$A22,'Cage Tally'!$C:$C,'Cage tracking'!C$4,'Cage Tally'!$E:$E, "Dark")=0),"",COUNTIFS('Cage Tally'!$A:$A,$A22,'Cage Tally'!$C:$C,'Cage tracking'!C$4,'Cage Tally'!$E:$E, "Dark"))</f>
        <v/>
      </c>
      <c r="D22" s="132">
        <f>IF((COUNTIFS('Cage Tally'!$A:$A,$A22,'Cage Tally'!$C:$C,'Cage tracking'!D$4,'Cage Tally'!$E:$E, "Dark")=0),"",COUNTIFS('Cage Tally'!$A:$A,$A22,'Cage Tally'!$C:$C,'Cage tracking'!D$4,'Cage Tally'!$E:$E, "Dark"))</f>
        <v>3</v>
      </c>
      <c r="E22" s="132" t="str">
        <f>IF((COUNTIFS('Cage Tally'!$A:$A,$A22,'Cage Tally'!$C:$C,'Cage tracking'!E$4,'Cage Tally'!$E:$E, "Dark")=0),"",COUNTIFS('Cage Tally'!$A:$A,$A22,'Cage Tally'!$C:$C,'Cage tracking'!E$4,'Cage Tally'!$E:$E, "Dark"))</f>
        <v/>
      </c>
      <c r="F22" s="132" t="str">
        <f>IF((COUNTIFS('Cage Tally'!$A:$A,$A22,'Cage Tally'!$C:$C,'Cage tracking'!F$4,'Cage Tally'!$E:$E, "Dark")=0),"",COUNTIFS('Cage Tally'!$A:$A,$A22,'Cage Tally'!$C:$C,'Cage tracking'!F$4,'Cage Tally'!$E:$E, "Dark"))</f>
        <v/>
      </c>
      <c r="G22" s="132" t="str">
        <f>IF((COUNTIFS('Cage Tally'!$A:$A,$A22,'Cage Tally'!$C:$C,'Cage tracking'!G$4,'Cage Tally'!$E:$E, "Dark")=0),"",COUNTIFS('Cage Tally'!$A:$A,$A22,'Cage Tally'!$C:$C,'Cage tracking'!G$4,'Cage Tally'!$E:$E, "Dark"))</f>
        <v/>
      </c>
      <c r="H22" s="135"/>
      <c r="I22" s="134"/>
      <c r="J22" s="132"/>
      <c r="K22" s="132" t="str">
        <f>IF((COUNTIFS('Cage Tally'!$A:$A,$A22,'Cage Tally'!$C:$C,'Cage tracking'!K$4,'Cage Tally'!$E:$E, "Light")=0),"",COUNTIFS('Cage Tally'!$A:$A,$A22,'Cage Tally'!$C:$C,'Cage tracking'!K$4,'Cage Tally'!$E:$E, "Light"))</f>
        <v/>
      </c>
      <c r="L22" s="132" t="str">
        <f>IF((COUNTIFS('Cage Tally'!$A:$A,$A22,'Cage Tally'!$C:$C,'Cage tracking'!L$4,'Cage Tally'!$E:$E, "Light")=0),"",COUNTIFS('Cage Tally'!$A:$A,$A22,'Cage Tally'!$C:$C,'Cage tracking'!L$4,'Cage Tally'!$E:$E, "Light"))</f>
        <v/>
      </c>
      <c r="M22" s="132" t="str">
        <f>IF((COUNTIFS('Cage Tally'!$A:$A,$A22,'Cage Tally'!$C:$C,'Cage tracking'!M$4,'Cage Tally'!$E:$E, "Light")=0),"",COUNTIFS('Cage Tally'!$A:$A,$A22,'Cage Tally'!$C:$C,'Cage tracking'!M$4,'Cage Tally'!$E:$E, "Light"))</f>
        <v/>
      </c>
      <c r="N22" s="132" t="str">
        <f>IF((COUNTIFS('Cage Tally'!$A:$A,$A22,'Cage Tally'!$C:$C,'Cage tracking'!N$4,'Cage Tally'!$E:$E, "Light")=0),"",COUNTIFS('Cage Tally'!$A:$A,$A22,'Cage Tally'!$C:$C,'Cage tracking'!N$4,'Cage Tally'!$E:$E, "Light"))</f>
        <v/>
      </c>
      <c r="O22" s="132" t="str">
        <f>IF((COUNTIFS('Cage Tally'!$A:$A,$A22,'Cage Tally'!$C:$C,'Cage tracking'!O$4,'Cage Tally'!$E:$E, "Light")=0),"",COUNTIFS('Cage Tally'!$A:$A,$A22,'Cage Tally'!$C:$C,'Cage tracking'!O$4,'Cage Tally'!$E:$E, "Light"))</f>
        <v/>
      </c>
      <c r="P22" s="132" t="str">
        <f>IF((COUNTIFS('Cage Tally'!$A:$A,$A22,'Cage Tally'!$C:$C,'Cage tracking'!P$4,'Cage Tally'!$E:$E, "Light")=0),"",COUNTIFS('Cage Tally'!$A:$A,$A22,'Cage Tally'!$C:$C,'Cage tracking'!P$4,'Cage Tally'!$E:$E, "Light"))</f>
        <v/>
      </c>
      <c r="Q22" s="135"/>
      <c r="R22" s="136"/>
      <c r="S22" s="132" t="str">
        <f>IF((COUNTIFS('Cage Tally'!$A:$A,$A22,'Cage Tally'!$C:$C,'Cage tracking'!S$4,'Cage Tally'!$E:$E, "decomm")=0),"",COUNTIFS('Cage Tally'!$A:$A,$A22,'Cage Tally'!$C:$C,'Cage tracking'!S$4,'Cage Tally'!$E:$E, "decomm"))</f>
        <v/>
      </c>
      <c r="T22" s="132" t="str">
        <f>IF((COUNTIFS('Cage Tally'!$A:$A,$A22,'Cage Tally'!$C:$C,'Cage tracking'!T$4,'Cage Tally'!$E:$E, "decomm")=0),"",COUNTIFS('Cage Tally'!$A:$A,$A22,'Cage Tally'!$C:$C,'Cage tracking'!T$4,'Cage Tally'!$E:$E, "decomm"))</f>
        <v/>
      </c>
      <c r="U22" s="132" t="str">
        <f>IF((COUNTIFS('Cage Tally'!$A:$A,$A22,'Cage Tally'!$C:$C,'Cage tracking'!U$4,'Cage Tally'!$E:$E, "decomm")=0),"",COUNTIFS('Cage Tally'!$A:$A,$A22,'Cage Tally'!$C:$C,'Cage tracking'!U$4,'Cage Tally'!$E:$E, "decomm"))</f>
        <v/>
      </c>
      <c r="V22" s="132" t="str">
        <f>IF((COUNTIFS('Cage Tally'!$A:$A,$A22,'Cage Tally'!$C:$C,'Cage tracking'!V$4,'Cage Tally'!$E:$E, "decomm")=0),"",COUNTIFS('Cage Tally'!$A:$A,$A22,'Cage Tally'!$C:$C,'Cage tracking'!V$4,'Cage Tally'!$E:$E, "decomm"))</f>
        <v/>
      </c>
      <c r="W22" s="132" t="str">
        <f>IF((COUNTIFS('Cage Tally'!$A:$A,$A22,'Cage Tally'!$C:$C,'Cage tracking'!W$4,'Cage Tally'!$E:$E, "decomm")=0),"",COUNTIFS('Cage Tally'!$A:$A,$A22,'Cage Tally'!$C:$C,'Cage tracking'!W$4,'Cage Tally'!$E:$E, "decomm"))</f>
        <v/>
      </c>
      <c r="X22" s="142" t="str">
        <f>IF((COUNTIFS('Cage Tally'!$A:$A,$A22,'Cage Tally'!$C:$C,'Cage tracking'!X$4,'Cage Tally'!$E:$E, "decomm")=0),"",COUNTIFS('Cage Tally'!$A:$A,$A22,'Cage Tally'!$C:$C,'Cage tracking'!X$4,'Cage Tally'!$E:$E, "decomm"))</f>
        <v/>
      </c>
      <c r="Y22" s="273"/>
      <c r="Z22" s="273"/>
      <c r="AA22" s="273"/>
      <c r="AB22" s="273"/>
      <c r="AC22" s="273"/>
      <c r="AD22" s="273"/>
      <c r="AE22" s="273"/>
      <c r="AF22" s="273"/>
      <c r="AG22" s="273"/>
      <c r="AH22" s="273"/>
      <c r="AI22" s="273"/>
      <c r="AJ22" s="273"/>
      <c r="AK22" s="273"/>
      <c r="AL22" s="273"/>
      <c r="AM22" s="273"/>
      <c r="AN22" s="273"/>
      <c r="AO22" s="273"/>
      <c r="AP22" s="273"/>
      <c r="AQ22" s="273"/>
      <c r="AR22" s="273"/>
      <c r="AS22" s="273"/>
      <c r="AT22" s="273"/>
      <c r="AU22" s="273"/>
      <c r="AV22" s="273"/>
    </row>
    <row r="23" spans="1:48" ht="12.75">
      <c r="A23" s="126">
        <v>44067</v>
      </c>
      <c r="B23" s="31" t="str">
        <f>IF((COUNTIFS('Cage Tally'!$A:$A,$A23,'Cage Tally'!$C:$C,'Cage tracking'!B$4,'Cage Tally'!$E:$E, "Dark")=0),"",COUNTIFS('Cage Tally'!$A:$A,$A23,'Cage Tally'!$C:$C,'Cage tracking'!B$4,'Cage Tally'!$E:$E, "Dark"))</f>
        <v/>
      </c>
      <c r="C23" s="31" t="str">
        <f>IF((COUNTIFS('Cage Tally'!$A:$A,$A23,'Cage Tally'!$C:$C,'Cage tracking'!C$4,'Cage Tally'!$E:$E, "Dark")=0),"",COUNTIFS('Cage Tally'!$A:$A,$A23,'Cage Tally'!$C:$C,'Cage tracking'!C$4,'Cage Tally'!$E:$E, "Dark"))</f>
        <v/>
      </c>
      <c r="D23" s="31" t="str">
        <f>IF((COUNTIFS('Cage Tally'!$A:$A,$A23,'Cage Tally'!$C:$C,'Cage tracking'!D$4,'Cage Tally'!$E:$E, "Dark")=0),"",COUNTIFS('Cage Tally'!$A:$A,$A23,'Cage Tally'!$C:$C,'Cage tracking'!D$4,'Cage Tally'!$E:$E, "Dark"))</f>
        <v/>
      </c>
      <c r="E23" s="31" t="str">
        <f>IF((COUNTIFS('Cage Tally'!$A:$A,$A23,'Cage Tally'!$C:$C,'Cage tracking'!E$4,'Cage Tally'!$E:$E, "Dark")=0),"",COUNTIFS('Cage Tally'!$A:$A,$A23,'Cage Tally'!$C:$C,'Cage tracking'!E$4,'Cage Tally'!$E:$E, "Dark"))</f>
        <v/>
      </c>
      <c r="F23" s="31" t="str">
        <f>IF((COUNTIFS('Cage Tally'!$A:$A,$A23,'Cage Tally'!$C:$C,'Cage tracking'!F$4,'Cage Tally'!$E:$E, "Dark")=0),"",COUNTIFS('Cage Tally'!$A:$A,$A23,'Cage Tally'!$C:$C,'Cage tracking'!F$4,'Cage Tally'!$E:$E, "Dark"))</f>
        <v/>
      </c>
      <c r="G23" s="31" t="str">
        <f>IF((COUNTIFS('Cage Tally'!$A:$A,$A23,'Cage Tally'!$C:$C,'Cage tracking'!G$4,'Cage Tally'!$E:$E, "Dark")=0),"",COUNTIFS('Cage Tally'!$A:$A,$A23,'Cage Tally'!$C:$C,'Cage tracking'!G$4,'Cage Tally'!$E:$E, "Dark"))</f>
        <v/>
      </c>
      <c r="H23" s="129"/>
      <c r="I23" s="128"/>
      <c r="J23" s="31"/>
      <c r="K23" s="31" t="str">
        <f>IF((COUNTIFS('Cage Tally'!$A:$A,$A23,'Cage Tally'!$C:$C,'Cage tracking'!K$4,'Cage Tally'!$E:$E, "Light")=0),"",COUNTIFS('Cage Tally'!$A:$A,$A23,'Cage Tally'!$C:$C,'Cage tracking'!K$4,'Cage Tally'!$E:$E, "Light"))</f>
        <v/>
      </c>
      <c r="L23" s="31" t="str">
        <f>IF((COUNTIFS('Cage Tally'!$A:$A,$A23,'Cage Tally'!$C:$C,'Cage tracking'!L$4,'Cage Tally'!$E:$E, "Light")=0),"",COUNTIFS('Cage Tally'!$A:$A,$A23,'Cage Tally'!$C:$C,'Cage tracking'!L$4,'Cage Tally'!$E:$E, "Light"))</f>
        <v/>
      </c>
      <c r="M23" s="31">
        <f>IF((COUNTIFS('Cage Tally'!$A:$A,$A23,'Cage Tally'!$C:$C,'Cage tracking'!M$4,'Cage Tally'!$E:$E, "Light")=0),"",COUNTIFS('Cage Tally'!$A:$A,$A23,'Cage Tally'!$C:$C,'Cage tracking'!M$4,'Cage Tally'!$E:$E, "Light"))</f>
        <v>2</v>
      </c>
      <c r="N23" s="31" t="str">
        <f>IF((COUNTIFS('Cage Tally'!$A:$A,$A23,'Cage Tally'!$C:$C,'Cage tracking'!N$4,'Cage Tally'!$E:$E, "Light")=0),"",COUNTIFS('Cage Tally'!$A:$A,$A23,'Cage Tally'!$C:$C,'Cage tracking'!N$4,'Cage Tally'!$E:$E, "Light"))</f>
        <v/>
      </c>
      <c r="O23" s="31" t="str">
        <f>IF((COUNTIFS('Cage Tally'!$A:$A,$A23,'Cage Tally'!$C:$C,'Cage tracking'!O$4,'Cage Tally'!$E:$E, "Light")=0),"",COUNTIFS('Cage Tally'!$A:$A,$A23,'Cage Tally'!$C:$C,'Cage tracking'!O$4,'Cage Tally'!$E:$E, "Light"))</f>
        <v/>
      </c>
      <c r="P23" s="31" t="str">
        <f>IF((COUNTIFS('Cage Tally'!$A:$A,$A23,'Cage Tally'!$C:$C,'Cage tracking'!P$4,'Cage Tally'!$E:$E, "Light")=0),"",COUNTIFS('Cage Tally'!$A:$A,$A23,'Cage Tally'!$C:$C,'Cage tracking'!P$4,'Cage Tally'!$E:$E, "Light"))</f>
        <v/>
      </c>
      <c r="Q23" s="129"/>
      <c r="R23" s="130"/>
      <c r="S23" s="31" t="str">
        <f>IF((COUNTIFS('Cage Tally'!$A:$A,$A23,'Cage Tally'!$C:$C,'Cage tracking'!S$4,'Cage Tally'!$E:$E, "decomm")=0),"",COUNTIFS('Cage Tally'!$A:$A,$A23,'Cage Tally'!$C:$C,'Cage tracking'!S$4,'Cage Tally'!$E:$E, "decomm"))</f>
        <v/>
      </c>
      <c r="T23" s="31" t="str">
        <f>IF((COUNTIFS('Cage Tally'!$A:$A,$A23,'Cage Tally'!$C:$C,'Cage tracking'!T$4,'Cage Tally'!$E:$E, "decomm")=0),"",COUNTIFS('Cage Tally'!$A:$A,$A23,'Cage Tally'!$C:$C,'Cage tracking'!T$4,'Cage Tally'!$E:$E, "decomm"))</f>
        <v/>
      </c>
      <c r="U23" s="31" t="str">
        <f>IF((COUNTIFS('Cage Tally'!$A:$A,$A23,'Cage Tally'!$C:$C,'Cage tracking'!U$4,'Cage Tally'!$E:$E, "decomm")=0),"",COUNTIFS('Cage Tally'!$A:$A,$A23,'Cage Tally'!$C:$C,'Cage tracking'!U$4,'Cage Tally'!$E:$E, "decomm"))</f>
        <v/>
      </c>
      <c r="V23" s="31" t="str">
        <f>IF((COUNTIFS('Cage Tally'!$A:$A,$A23,'Cage Tally'!$C:$C,'Cage tracking'!V$4,'Cage Tally'!$E:$E, "decomm")=0),"",COUNTIFS('Cage Tally'!$A:$A,$A23,'Cage Tally'!$C:$C,'Cage tracking'!V$4,'Cage Tally'!$E:$E, "decomm"))</f>
        <v/>
      </c>
      <c r="W23" s="31" t="str">
        <f>IF((COUNTIFS('Cage Tally'!$A:$A,$A23,'Cage Tally'!$C:$C,'Cage tracking'!W$4,'Cage Tally'!$E:$E, "decomm")=0),"",COUNTIFS('Cage Tally'!$A:$A,$A23,'Cage Tally'!$C:$C,'Cage tracking'!W$4,'Cage Tally'!$E:$E, "decomm"))</f>
        <v/>
      </c>
      <c r="X23" s="140" t="str">
        <f>IF((COUNTIFS('Cage Tally'!$A:$A,$A23,'Cage Tally'!$C:$C,'Cage tracking'!X$4,'Cage Tally'!$E:$E, "decomm")=0),"",COUNTIFS('Cage Tally'!$A:$A,$A23,'Cage Tally'!$C:$C,'Cage tracking'!X$4,'Cage Tally'!$E:$E, "decomm"))</f>
        <v/>
      </c>
      <c r="Y23" s="273"/>
      <c r="Z23" s="273"/>
      <c r="AA23" s="273"/>
      <c r="AB23" s="273"/>
      <c r="AC23" s="273"/>
      <c r="AD23" s="273"/>
      <c r="AE23" s="273"/>
      <c r="AF23" s="273"/>
      <c r="AG23" s="273"/>
      <c r="AH23" s="273"/>
      <c r="AI23" s="273"/>
      <c r="AJ23" s="273"/>
      <c r="AK23" s="273"/>
      <c r="AL23" s="273"/>
      <c r="AM23" s="273"/>
      <c r="AN23" s="273"/>
      <c r="AO23" s="273"/>
      <c r="AP23" s="273"/>
      <c r="AQ23" s="273"/>
      <c r="AR23" s="273"/>
      <c r="AS23" s="273"/>
      <c r="AT23" s="273"/>
      <c r="AU23" s="273"/>
      <c r="AV23" s="273"/>
    </row>
    <row r="24" spans="1:48" ht="12.75">
      <c r="A24" s="131">
        <v>44069</v>
      </c>
      <c r="B24" s="132" t="str">
        <f>IF((COUNTIFS('Cage Tally'!$A:$A,$A24,'Cage Tally'!$C:$C,'Cage tracking'!B$4,'Cage Tally'!$E:$E, "Dark")=0),"",COUNTIFS('Cage Tally'!$A:$A,$A24,'Cage Tally'!$C:$C,'Cage tracking'!B$4,'Cage Tally'!$E:$E, "Dark"))</f>
        <v/>
      </c>
      <c r="C24" s="132" t="str">
        <f>IF((COUNTIFS('Cage Tally'!$A:$A,$A24,'Cage Tally'!$C:$C,'Cage tracking'!C$4,'Cage Tally'!$E:$E, "Dark")=0),"",COUNTIFS('Cage Tally'!$A:$A,$A24,'Cage Tally'!$C:$C,'Cage tracking'!C$4,'Cage Tally'!$E:$E, "Dark"))</f>
        <v/>
      </c>
      <c r="D24" s="132" t="str">
        <f>IF((COUNTIFS('Cage Tally'!$A:$A,$A24,'Cage Tally'!$C:$C,'Cage tracking'!D$4,'Cage Tally'!$E:$E, "Dark")=0),"",COUNTIFS('Cage Tally'!$A:$A,$A24,'Cage Tally'!$C:$C,'Cage tracking'!D$4,'Cage Tally'!$E:$E, "Dark"))</f>
        <v/>
      </c>
      <c r="E24" s="132" t="str">
        <f>IF((COUNTIFS('Cage Tally'!$A:$A,$A24,'Cage Tally'!$C:$C,'Cage tracking'!E$4,'Cage Tally'!$E:$E, "Dark")=0),"",COUNTIFS('Cage Tally'!$A:$A,$A24,'Cage Tally'!$C:$C,'Cage tracking'!E$4,'Cage Tally'!$E:$E, "Dark"))</f>
        <v/>
      </c>
      <c r="F24" s="132" t="str">
        <f>IF((COUNTIFS('Cage Tally'!$A:$A,$A24,'Cage Tally'!$C:$C,'Cage tracking'!F$4,'Cage Tally'!$E:$E, "Dark")=0),"",COUNTIFS('Cage Tally'!$A:$A,$A24,'Cage Tally'!$C:$C,'Cage tracking'!F$4,'Cage Tally'!$E:$E, "Dark"))</f>
        <v/>
      </c>
      <c r="G24" s="132" t="str">
        <f>IF((COUNTIFS('Cage Tally'!$A:$A,$A24,'Cage Tally'!$C:$C,'Cage tracking'!G$4,'Cage Tally'!$E:$E, "Dark")=0),"",COUNTIFS('Cage Tally'!$A:$A,$A24,'Cage Tally'!$C:$C,'Cage tracking'!G$4,'Cage Tally'!$E:$E, "Dark"))</f>
        <v/>
      </c>
      <c r="H24" s="135"/>
      <c r="I24" s="134"/>
      <c r="J24" s="132"/>
      <c r="K24" s="132" t="str">
        <f>IF((COUNTIFS('Cage Tally'!$A:$A,$A24,'Cage Tally'!$C:$C,'Cage tracking'!K$4,'Cage Tally'!$E:$E, "Light")=0),"",COUNTIFS('Cage Tally'!$A:$A,$A24,'Cage Tally'!$C:$C,'Cage tracking'!K$4,'Cage Tally'!$E:$E, "Light"))</f>
        <v/>
      </c>
      <c r="L24" s="132" t="str">
        <f>IF((COUNTIFS('Cage Tally'!$A:$A,$A24,'Cage Tally'!$C:$C,'Cage tracking'!L$4,'Cage Tally'!$E:$E, "Light")=0),"",COUNTIFS('Cage Tally'!$A:$A,$A24,'Cage Tally'!$C:$C,'Cage tracking'!L$4,'Cage Tally'!$E:$E, "Light"))</f>
        <v/>
      </c>
      <c r="M24" s="132">
        <f>IF((COUNTIFS('Cage Tally'!$A:$A,$A24,'Cage Tally'!$C:$C,'Cage tracking'!M$4,'Cage Tally'!$E:$E, "Light")=0),"",COUNTIFS('Cage Tally'!$A:$A,$A24,'Cage Tally'!$C:$C,'Cage tracking'!M$4,'Cage Tally'!$E:$E, "Light"))</f>
        <v>1</v>
      </c>
      <c r="N24" s="132" t="str">
        <f>IF((COUNTIFS('Cage Tally'!$A:$A,$A24,'Cage Tally'!$C:$C,'Cage tracking'!N$4,'Cage Tally'!$E:$E, "Light")=0),"",COUNTIFS('Cage Tally'!$A:$A,$A24,'Cage Tally'!$C:$C,'Cage tracking'!N$4,'Cage Tally'!$E:$E, "Light"))</f>
        <v/>
      </c>
      <c r="O24" s="132" t="str">
        <f>IF((COUNTIFS('Cage Tally'!$A:$A,$A24,'Cage Tally'!$C:$C,'Cage tracking'!O$4,'Cage Tally'!$E:$E, "Light")=0),"",COUNTIFS('Cage Tally'!$A:$A,$A24,'Cage Tally'!$C:$C,'Cage tracking'!O$4,'Cage Tally'!$E:$E, "Light"))</f>
        <v/>
      </c>
      <c r="P24" s="132" t="str">
        <f>IF((COUNTIFS('Cage Tally'!$A:$A,$A24,'Cage Tally'!$C:$C,'Cage tracking'!P$4,'Cage Tally'!$E:$E, "Light")=0),"",COUNTIFS('Cage Tally'!$A:$A,$A24,'Cage Tally'!$C:$C,'Cage tracking'!P$4,'Cage Tally'!$E:$E, "Light"))</f>
        <v/>
      </c>
      <c r="Q24" s="135"/>
      <c r="R24" s="136"/>
      <c r="S24" s="132" t="str">
        <f>IF((COUNTIFS('Cage Tally'!$A:$A,$A24,'Cage Tally'!$C:$C,'Cage tracking'!S$4,'Cage Tally'!$E:$E, "decomm")=0),"",COUNTIFS('Cage Tally'!$A:$A,$A24,'Cage Tally'!$C:$C,'Cage tracking'!S$4,'Cage Tally'!$E:$E, "decomm"))</f>
        <v/>
      </c>
      <c r="T24" s="132" t="str">
        <f>IF((COUNTIFS('Cage Tally'!$A:$A,$A24,'Cage Tally'!$C:$C,'Cage tracking'!T$4,'Cage Tally'!$E:$E, "decomm")=0),"",COUNTIFS('Cage Tally'!$A:$A,$A24,'Cage Tally'!$C:$C,'Cage tracking'!T$4,'Cage Tally'!$E:$E, "decomm"))</f>
        <v/>
      </c>
      <c r="U24" s="132" t="str">
        <f>IF((COUNTIFS('Cage Tally'!$A:$A,$A24,'Cage Tally'!$C:$C,'Cage tracking'!U$4,'Cage Tally'!$E:$E, "decomm")=0),"",COUNTIFS('Cage Tally'!$A:$A,$A24,'Cage Tally'!$C:$C,'Cage tracking'!U$4,'Cage Tally'!$E:$E, "decomm"))</f>
        <v/>
      </c>
      <c r="V24" s="132" t="str">
        <f>IF((COUNTIFS('Cage Tally'!$A:$A,$A24,'Cage Tally'!$C:$C,'Cage tracking'!V$4,'Cage Tally'!$E:$E, "decomm")=0),"",COUNTIFS('Cage Tally'!$A:$A,$A24,'Cage Tally'!$C:$C,'Cage tracking'!V$4,'Cage Tally'!$E:$E, "decomm"))</f>
        <v/>
      </c>
      <c r="W24" s="132" t="str">
        <f>IF((COUNTIFS('Cage Tally'!$A:$A,$A24,'Cage Tally'!$C:$C,'Cage tracking'!W$4,'Cage Tally'!$E:$E, "decomm")=0),"",COUNTIFS('Cage Tally'!$A:$A,$A24,'Cage Tally'!$C:$C,'Cage tracking'!W$4,'Cage Tally'!$E:$E, "decomm"))</f>
        <v/>
      </c>
      <c r="X24" s="142" t="str">
        <f>IF((COUNTIFS('Cage Tally'!$A:$A,$A24,'Cage Tally'!$C:$C,'Cage tracking'!X$4,'Cage Tally'!$E:$E, "decomm")=0),"",COUNTIFS('Cage Tally'!$A:$A,$A24,'Cage Tally'!$C:$C,'Cage tracking'!X$4,'Cage Tally'!$E:$E, "decomm"))</f>
        <v/>
      </c>
      <c r="Y24" s="273"/>
      <c r="Z24" s="273"/>
      <c r="AA24" s="273"/>
      <c r="AB24" s="273"/>
      <c r="AC24" s="273"/>
      <c r="AD24" s="273"/>
      <c r="AE24" s="273"/>
      <c r="AF24" s="273"/>
      <c r="AG24" s="273"/>
      <c r="AH24" s="273"/>
      <c r="AI24" s="273"/>
      <c r="AJ24" s="273"/>
      <c r="AK24" s="273"/>
      <c r="AL24" s="273"/>
      <c r="AM24" s="273"/>
      <c r="AN24" s="273"/>
      <c r="AO24" s="273"/>
      <c r="AP24" s="273"/>
      <c r="AQ24" s="273"/>
      <c r="AR24" s="273"/>
      <c r="AS24" s="273"/>
      <c r="AT24" s="273"/>
      <c r="AU24" s="273"/>
      <c r="AV24" s="273"/>
    </row>
    <row r="25" spans="1:48" ht="12.75">
      <c r="A25" s="126">
        <v>44075</v>
      </c>
      <c r="B25" s="31" t="str">
        <f>IF((COUNTIFS('Cage Tally'!$A:$A,$A25,'Cage Tally'!$C:$C,'Cage tracking'!B$4,'Cage Tally'!$E:$E, "Dark")=0),"",COUNTIFS('Cage Tally'!$A:$A,$A25,'Cage Tally'!$C:$C,'Cage tracking'!B$4,'Cage Tally'!$E:$E, "Dark"))</f>
        <v/>
      </c>
      <c r="C25" s="31" t="str">
        <f>IF((COUNTIFS('Cage Tally'!$A:$A,$A25,'Cage Tally'!$C:$C,'Cage tracking'!C$4,'Cage Tally'!$E:$E, "Dark")=0),"",COUNTIFS('Cage Tally'!$A:$A,$A25,'Cage Tally'!$C:$C,'Cage tracking'!C$4,'Cage Tally'!$E:$E, "Dark"))</f>
        <v/>
      </c>
      <c r="D25" s="31">
        <f>IF((COUNTIFS('Cage Tally'!$A:$A,$A25,'Cage Tally'!$C:$C,'Cage tracking'!D$4,'Cage Tally'!$E:$E, "Dark")=0),"",COUNTIFS('Cage Tally'!$A:$A,$A25,'Cage Tally'!$C:$C,'Cage tracking'!D$4,'Cage Tally'!$E:$E, "Dark"))</f>
        <v>2</v>
      </c>
      <c r="E25" s="31">
        <f>IF((COUNTIFS('Cage Tally'!$A:$A,$A25,'Cage Tally'!$C:$C,'Cage tracking'!E$4,'Cage Tally'!$E:$E, "Dark")=0),"",COUNTIFS('Cage Tally'!$A:$A,$A25,'Cage Tally'!$C:$C,'Cage tracking'!E$4,'Cage Tally'!$E:$E, "Dark"))</f>
        <v>5</v>
      </c>
      <c r="F25" s="31" t="str">
        <f>IF((COUNTIFS('Cage Tally'!$A:$A,$A25,'Cage Tally'!$C:$C,'Cage tracking'!F$4,'Cage Tally'!$E:$E, "Dark")=0),"",COUNTIFS('Cage Tally'!$A:$A,$A25,'Cage Tally'!$C:$C,'Cage tracking'!F$4,'Cage Tally'!$E:$E, "Dark"))</f>
        <v/>
      </c>
      <c r="G25" s="31" t="str">
        <f>IF((COUNTIFS('Cage Tally'!$A:$A,$A25,'Cage Tally'!$C:$C,'Cage tracking'!G$4,'Cage Tally'!$E:$E, "Dark")=0),"",COUNTIFS('Cage Tally'!$A:$A,$A25,'Cage Tally'!$C:$C,'Cage tracking'!G$4,'Cage Tally'!$E:$E, "Dark"))</f>
        <v/>
      </c>
      <c r="H25" s="129"/>
      <c r="I25" s="128"/>
      <c r="J25" s="31"/>
      <c r="K25" s="31" t="str">
        <f>IF((COUNTIFS('Cage Tally'!$A:$A,$A25,'Cage Tally'!$C:$C,'Cage tracking'!K$4,'Cage Tally'!$E:$E, "Light")=0),"",COUNTIFS('Cage Tally'!$A:$A,$A25,'Cage Tally'!$C:$C,'Cage tracking'!K$4,'Cage Tally'!$E:$E, "Light"))</f>
        <v/>
      </c>
      <c r="L25" s="31" t="str">
        <f>IF((COUNTIFS('Cage Tally'!$A:$A,$A25,'Cage Tally'!$C:$C,'Cage tracking'!L$4,'Cage Tally'!$E:$E, "Light")=0),"",COUNTIFS('Cage Tally'!$A:$A,$A25,'Cage Tally'!$C:$C,'Cage tracking'!L$4,'Cage Tally'!$E:$E, "Light"))</f>
        <v/>
      </c>
      <c r="M25" s="31" t="str">
        <f>IF((COUNTIFS('Cage Tally'!$A:$A,$A25,'Cage Tally'!$C:$C,'Cage tracking'!M$4,'Cage Tally'!$E:$E, "Light")=0),"",COUNTIFS('Cage Tally'!$A:$A,$A25,'Cage Tally'!$C:$C,'Cage tracking'!M$4,'Cage Tally'!$E:$E, "Light"))</f>
        <v/>
      </c>
      <c r="N25" s="31" t="str">
        <f>IF((COUNTIFS('Cage Tally'!$A:$A,$A25,'Cage Tally'!$C:$C,'Cage tracking'!N$4,'Cage Tally'!$E:$E, "Light")=0),"",COUNTIFS('Cage Tally'!$A:$A,$A25,'Cage Tally'!$C:$C,'Cage tracking'!N$4,'Cage Tally'!$E:$E, "Light"))</f>
        <v/>
      </c>
      <c r="O25" s="31" t="str">
        <f>IF((COUNTIFS('Cage Tally'!$A:$A,$A25,'Cage Tally'!$C:$C,'Cage tracking'!O$4,'Cage Tally'!$E:$E, "Light")=0),"",COUNTIFS('Cage Tally'!$A:$A,$A25,'Cage Tally'!$C:$C,'Cage tracking'!O$4,'Cage Tally'!$E:$E, "Light"))</f>
        <v/>
      </c>
      <c r="P25" s="31" t="str">
        <f>IF((COUNTIFS('Cage Tally'!$A:$A,$A25,'Cage Tally'!$C:$C,'Cage tracking'!P$4,'Cage Tally'!$E:$E, "Light")=0),"",COUNTIFS('Cage Tally'!$A:$A,$A25,'Cage Tally'!$C:$C,'Cage tracking'!P$4,'Cage Tally'!$E:$E, "Light"))</f>
        <v/>
      </c>
      <c r="Q25" s="129"/>
      <c r="R25" s="130"/>
      <c r="S25" s="31" t="str">
        <f>IF((COUNTIFS('Cage Tally'!$A:$A,$A25,'Cage Tally'!$C:$C,'Cage tracking'!S$4,'Cage Tally'!$E:$E, "decomm")=0),"",COUNTIFS('Cage Tally'!$A:$A,$A25,'Cage Tally'!$C:$C,'Cage tracking'!S$4,'Cage Tally'!$E:$E, "decomm"))</f>
        <v/>
      </c>
      <c r="T25" s="31" t="str">
        <f>IF((COUNTIFS('Cage Tally'!$A:$A,$A25,'Cage Tally'!$C:$C,'Cage tracking'!T$4,'Cage Tally'!$E:$E, "decomm")=0),"",COUNTIFS('Cage Tally'!$A:$A,$A25,'Cage Tally'!$C:$C,'Cage tracking'!T$4,'Cage Tally'!$E:$E, "decomm"))</f>
        <v/>
      </c>
      <c r="U25" s="31" t="str">
        <f>IF((COUNTIFS('Cage Tally'!$A:$A,$A25,'Cage Tally'!$C:$C,'Cage tracking'!U$4,'Cage Tally'!$E:$E, "decomm")=0),"",COUNTIFS('Cage Tally'!$A:$A,$A25,'Cage Tally'!$C:$C,'Cage tracking'!U$4,'Cage Tally'!$E:$E, "decomm"))</f>
        <v/>
      </c>
      <c r="V25" s="31" t="str">
        <f>IF((COUNTIFS('Cage Tally'!$A:$A,$A25,'Cage Tally'!$C:$C,'Cage tracking'!V$4,'Cage Tally'!$E:$E, "decomm")=0),"",COUNTIFS('Cage Tally'!$A:$A,$A25,'Cage Tally'!$C:$C,'Cage tracking'!V$4,'Cage Tally'!$E:$E, "decomm"))</f>
        <v/>
      </c>
      <c r="W25" s="31" t="str">
        <f>IF((COUNTIFS('Cage Tally'!$A:$A,$A25,'Cage Tally'!$C:$C,'Cage tracking'!W$4,'Cage Tally'!$E:$E, "decomm")=0),"",COUNTIFS('Cage Tally'!$A:$A,$A25,'Cage Tally'!$C:$C,'Cage tracking'!W$4,'Cage Tally'!$E:$E, "decomm"))</f>
        <v/>
      </c>
      <c r="X25" s="140" t="str">
        <f>IF((COUNTIFS('Cage Tally'!$A:$A,$A25,'Cage Tally'!$C:$C,'Cage tracking'!X$4,'Cage Tally'!$E:$E, "decomm")=0),"",COUNTIFS('Cage Tally'!$A:$A,$A25,'Cage Tally'!$C:$C,'Cage tracking'!X$4,'Cage Tally'!$E:$E, "decomm"))</f>
        <v/>
      </c>
      <c r="Y25" s="273"/>
      <c r="Z25" s="273"/>
      <c r="AA25" s="273"/>
      <c r="AB25" s="273"/>
      <c r="AC25" s="273"/>
      <c r="AD25" s="273"/>
      <c r="AE25" s="273"/>
      <c r="AF25" s="273"/>
      <c r="AG25" s="273"/>
      <c r="AH25" s="273"/>
      <c r="AI25" s="273"/>
      <c r="AJ25" s="273"/>
      <c r="AK25" s="273"/>
      <c r="AL25" s="273"/>
      <c r="AM25" s="273"/>
      <c r="AN25" s="273"/>
      <c r="AO25" s="273"/>
      <c r="AP25" s="273"/>
      <c r="AQ25" s="273"/>
      <c r="AR25" s="273"/>
      <c r="AS25" s="273"/>
      <c r="AT25" s="273"/>
      <c r="AU25" s="273"/>
      <c r="AV25" s="273"/>
    </row>
    <row r="26" spans="1:48" ht="12.75">
      <c r="A26" s="131">
        <v>44076</v>
      </c>
      <c r="B26" s="132" t="str">
        <f>IF((COUNTIFS('Cage Tally'!$A:$A,$A26,'Cage Tally'!$C:$C,'Cage tracking'!B$4,'Cage Tally'!$E:$E, "Dark")=0),"",COUNTIFS('Cage Tally'!$A:$A,$A26,'Cage Tally'!$C:$C,'Cage tracking'!B$4,'Cage Tally'!$E:$E, "Dark"))</f>
        <v/>
      </c>
      <c r="C26" s="132" t="str">
        <f>IF((COUNTIFS('Cage Tally'!$A:$A,$A26,'Cage Tally'!$C:$C,'Cage tracking'!C$4,'Cage Tally'!$E:$E, "Dark")=0),"",COUNTIFS('Cage Tally'!$A:$A,$A26,'Cage Tally'!$C:$C,'Cage tracking'!C$4,'Cage Tally'!$E:$E, "Dark"))</f>
        <v/>
      </c>
      <c r="D26" s="132">
        <f>IF((COUNTIFS('Cage Tally'!$A:$A,$A26,'Cage Tally'!$C:$C,'Cage tracking'!D$4,'Cage Tally'!$E:$E, "Dark")=0),"",COUNTIFS('Cage Tally'!$A:$A,$A26,'Cage Tally'!$C:$C,'Cage tracking'!D$4,'Cage Tally'!$E:$E, "Dark"))</f>
        <v>3</v>
      </c>
      <c r="E26" s="132" t="str">
        <f>IF((COUNTIFS('Cage Tally'!$A:$A,$A26,'Cage Tally'!$C:$C,'Cage tracking'!E$4,'Cage Tally'!$E:$E, "Dark")=0),"",COUNTIFS('Cage Tally'!$A:$A,$A26,'Cage Tally'!$C:$C,'Cage tracking'!E$4,'Cage Tally'!$E:$E, "Dark"))</f>
        <v/>
      </c>
      <c r="F26" s="132" t="str">
        <f>IF((COUNTIFS('Cage Tally'!$A:$A,$A26,'Cage Tally'!$C:$C,'Cage tracking'!F$4,'Cage Tally'!$E:$E, "Dark")=0),"",COUNTIFS('Cage Tally'!$A:$A,$A26,'Cage Tally'!$C:$C,'Cage tracking'!F$4,'Cage Tally'!$E:$E, "Dark"))</f>
        <v/>
      </c>
      <c r="G26" s="132" t="str">
        <f>IF((COUNTIFS('Cage Tally'!$A:$A,$A26,'Cage Tally'!$C:$C,'Cage tracking'!G$4,'Cage Tally'!$E:$E, "Dark")=0),"",COUNTIFS('Cage Tally'!$A:$A,$A26,'Cage Tally'!$C:$C,'Cage tracking'!G$4,'Cage Tally'!$E:$E, "Dark"))</f>
        <v/>
      </c>
      <c r="H26" s="135"/>
      <c r="I26" s="134"/>
      <c r="J26" s="132"/>
      <c r="K26" s="132" t="str">
        <f>IF((COUNTIFS('Cage Tally'!$A:$A,$A26,'Cage Tally'!$C:$C,'Cage tracking'!K$4,'Cage Tally'!$E:$E, "Light")=0),"",COUNTIFS('Cage Tally'!$A:$A,$A26,'Cage Tally'!$C:$C,'Cage tracking'!K$4,'Cage Tally'!$E:$E, "Light"))</f>
        <v/>
      </c>
      <c r="L26" s="132" t="str">
        <f>IF((COUNTIFS('Cage Tally'!$A:$A,$A26,'Cage Tally'!$C:$C,'Cage tracking'!L$4,'Cage Tally'!$E:$E, "Light")=0),"",COUNTIFS('Cage Tally'!$A:$A,$A26,'Cage Tally'!$C:$C,'Cage tracking'!L$4,'Cage Tally'!$E:$E, "Light"))</f>
        <v/>
      </c>
      <c r="M26" s="132" t="str">
        <f>IF((COUNTIFS('Cage Tally'!$A:$A,$A26,'Cage Tally'!$C:$C,'Cage tracking'!M$4,'Cage Tally'!$E:$E, "Light")=0),"",COUNTIFS('Cage Tally'!$A:$A,$A26,'Cage Tally'!$C:$C,'Cage tracking'!M$4,'Cage Tally'!$E:$E, "Light"))</f>
        <v/>
      </c>
      <c r="N26" s="132" t="str">
        <f>IF((COUNTIFS('Cage Tally'!$A:$A,$A26,'Cage Tally'!$C:$C,'Cage tracking'!N$4,'Cage Tally'!$E:$E, "Light")=0),"",COUNTIFS('Cage Tally'!$A:$A,$A26,'Cage Tally'!$C:$C,'Cage tracking'!N$4,'Cage Tally'!$E:$E, "Light"))</f>
        <v/>
      </c>
      <c r="O26" s="132" t="str">
        <f>IF((COUNTIFS('Cage Tally'!$A:$A,$A26,'Cage Tally'!$C:$C,'Cage tracking'!O$4,'Cage Tally'!$E:$E, "Light")=0),"",COUNTIFS('Cage Tally'!$A:$A,$A26,'Cage Tally'!$C:$C,'Cage tracking'!O$4,'Cage Tally'!$E:$E, "Light"))</f>
        <v/>
      </c>
      <c r="P26" s="132" t="str">
        <f>IF((COUNTIFS('Cage Tally'!$A:$A,$A26,'Cage Tally'!$C:$C,'Cage tracking'!P$4,'Cage Tally'!$E:$E, "Light")=0),"",COUNTIFS('Cage Tally'!$A:$A,$A26,'Cage Tally'!$C:$C,'Cage tracking'!P$4,'Cage Tally'!$E:$E, "Light"))</f>
        <v/>
      </c>
      <c r="Q26" s="135"/>
      <c r="R26" s="136"/>
      <c r="S26" s="132" t="str">
        <f>IF((COUNTIFS('Cage Tally'!$A:$A,$A26,'Cage Tally'!$C:$C,'Cage tracking'!S$4,'Cage Tally'!$E:$E, "decomm")=0),"",COUNTIFS('Cage Tally'!$A:$A,$A26,'Cage Tally'!$C:$C,'Cage tracking'!S$4,'Cage Tally'!$E:$E, "decomm"))</f>
        <v/>
      </c>
      <c r="T26" s="132" t="str">
        <f>IF((COUNTIFS('Cage Tally'!$A:$A,$A26,'Cage Tally'!$C:$C,'Cage tracking'!T$4,'Cage Tally'!$E:$E, "decomm")=0),"",COUNTIFS('Cage Tally'!$A:$A,$A26,'Cage Tally'!$C:$C,'Cage tracking'!T$4,'Cage Tally'!$E:$E, "decomm"))</f>
        <v/>
      </c>
      <c r="U26" s="132" t="str">
        <f>IF((COUNTIFS('Cage Tally'!$A:$A,$A26,'Cage Tally'!$C:$C,'Cage tracking'!U$4,'Cage Tally'!$E:$E, "decomm")=0),"",COUNTIFS('Cage Tally'!$A:$A,$A26,'Cage Tally'!$C:$C,'Cage tracking'!U$4,'Cage Tally'!$E:$E, "decomm"))</f>
        <v/>
      </c>
      <c r="V26" s="132" t="str">
        <f>IF((COUNTIFS('Cage Tally'!$A:$A,$A26,'Cage Tally'!$C:$C,'Cage tracking'!V$4,'Cage Tally'!$E:$E, "decomm")=0),"",COUNTIFS('Cage Tally'!$A:$A,$A26,'Cage Tally'!$C:$C,'Cage tracking'!V$4,'Cage Tally'!$E:$E, "decomm"))</f>
        <v/>
      </c>
      <c r="W26" s="132" t="str">
        <f>IF((COUNTIFS('Cage Tally'!$A:$A,$A26,'Cage Tally'!$C:$C,'Cage tracking'!W$4,'Cage Tally'!$E:$E, "decomm")=0),"",COUNTIFS('Cage Tally'!$A:$A,$A26,'Cage Tally'!$C:$C,'Cage tracking'!W$4,'Cage Tally'!$E:$E, "decomm"))</f>
        <v/>
      </c>
      <c r="X26" s="142" t="str">
        <f>IF((COUNTIFS('Cage Tally'!$A:$A,$A26,'Cage Tally'!$C:$C,'Cage tracking'!X$4,'Cage Tally'!$E:$E, "decomm")=0),"",COUNTIFS('Cage Tally'!$A:$A,$A26,'Cage Tally'!$C:$C,'Cage tracking'!X$4,'Cage Tally'!$E:$E, "decomm"))</f>
        <v/>
      </c>
      <c r="Y26" s="273"/>
      <c r="Z26" s="273"/>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row>
    <row r="27" spans="1:48" ht="12.75">
      <c r="A27" s="126">
        <v>44077</v>
      </c>
      <c r="B27" s="31" t="str">
        <f>IF((COUNTIFS('Cage Tally'!$A:$A,$A27,'Cage Tally'!$C:$C,'Cage tracking'!B$4,'Cage Tally'!$E:$E, "Dark")=0),"",COUNTIFS('Cage Tally'!$A:$A,$A27,'Cage Tally'!$C:$C,'Cage tracking'!B$4,'Cage Tally'!$E:$E, "Dark"))</f>
        <v/>
      </c>
      <c r="C27" s="31">
        <f>IF((COUNTIFS('Cage Tally'!$A:$A,$A27,'Cage Tally'!$C:$C,'Cage tracking'!C$4,'Cage Tally'!$E:$E, "Dark")=0),"",COUNTIFS('Cage Tally'!$A:$A,$A27,'Cage Tally'!$C:$C,'Cage tracking'!C$4,'Cage Tally'!$E:$E, "Dark"))</f>
        <v>2</v>
      </c>
      <c r="D27" s="31">
        <f>IF((COUNTIFS('Cage Tally'!$A:$A,$A27,'Cage Tally'!$C:$C,'Cage tracking'!D$4,'Cage Tally'!$E:$E, "Dark")=0),"",COUNTIFS('Cage Tally'!$A:$A,$A27,'Cage Tally'!$C:$C,'Cage tracking'!D$4,'Cage Tally'!$E:$E, "Dark"))</f>
        <v>1</v>
      </c>
      <c r="E27" s="31" t="str">
        <f>IF((COUNTIFS('Cage Tally'!$A:$A,$A27,'Cage Tally'!$C:$C,'Cage tracking'!E$4,'Cage Tally'!$E:$E, "Dark")=0),"",COUNTIFS('Cage Tally'!$A:$A,$A27,'Cage Tally'!$C:$C,'Cage tracking'!E$4,'Cage Tally'!$E:$E, "Dark"))</f>
        <v/>
      </c>
      <c r="F27" s="31" t="str">
        <f>IF((COUNTIFS('Cage Tally'!$A:$A,$A27,'Cage Tally'!$C:$C,'Cage tracking'!F$4,'Cage Tally'!$E:$E, "Dark")=0),"",COUNTIFS('Cage Tally'!$A:$A,$A27,'Cage Tally'!$C:$C,'Cage tracking'!F$4,'Cage Tally'!$E:$E, "Dark"))</f>
        <v/>
      </c>
      <c r="G27" s="31" t="str">
        <f>IF((COUNTIFS('Cage Tally'!$A:$A,$A27,'Cage Tally'!$C:$C,'Cage tracking'!G$4,'Cage Tally'!$E:$E, "Dark")=0),"",COUNTIFS('Cage Tally'!$A:$A,$A27,'Cage Tally'!$C:$C,'Cage tracking'!G$4,'Cage Tally'!$E:$E, "Dark"))</f>
        <v/>
      </c>
      <c r="H27" s="129"/>
      <c r="I27" s="128"/>
      <c r="J27" s="31"/>
      <c r="K27" s="31" t="str">
        <f>IF((COUNTIFS('Cage Tally'!$A:$A,$A27,'Cage Tally'!$C:$C,'Cage tracking'!K$4,'Cage Tally'!$E:$E, "Light")=0),"",COUNTIFS('Cage Tally'!$A:$A,$A27,'Cage Tally'!$C:$C,'Cage tracking'!K$4,'Cage Tally'!$E:$E, "Light"))</f>
        <v/>
      </c>
      <c r="L27" s="31" t="str">
        <f>IF((COUNTIFS('Cage Tally'!$A:$A,$A27,'Cage Tally'!$C:$C,'Cage tracking'!L$4,'Cage Tally'!$E:$E, "Light")=0),"",COUNTIFS('Cage Tally'!$A:$A,$A27,'Cage Tally'!$C:$C,'Cage tracking'!L$4,'Cage Tally'!$E:$E, "Light"))</f>
        <v/>
      </c>
      <c r="M27" s="31" t="str">
        <f>IF((COUNTIFS('Cage Tally'!$A:$A,$A27,'Cage Tally'!$C:$C,'Cage tracking'!M$4,'Cage Tally'!$E:$E, "Light")=0),"",COUNTIFS('Cage Tally'!$A:$A,$A27,'Cage Tally'!$C:$C,'Cage tracking'!M$4,'Cage Tally'!$E:$E, "Light"))</f>
        <v/>
      </c>
      <c r="N27" s="31" t="str">
        <f>IF((COUNTIFS('Cage Tally'!$A:$A,$A27,'Cage Tally'!$C:$C,'Cage tracking'!N$4,'Cage Tally'!$E:$E, "Light")=0),"",COUNTIFS('Cage Tally'!$A:$A,$A27,'Cage Tally'!$C:$C,'Cage tracking'!N$4,'Cage Tally'!$E:$E, "Light"))</f>
        <v/>
      </c>
      <c r="O27" s="31" t="str">
        <f>IF((COUNTIFS('Cage Tally'!$A:$A,$A27,'Cage Tally'!$C:$C,'Cage tracking'!O$4,'Cage Tally'!$E:$E, "Light")=0),"",COUNTIFS('Cage Tally'!$A:$A,$A27,'Cage Tally'!$C:$C,'Cage tracking'!O$4,'Cage Tally'!$E:$E, "Light"))</f>
        <v/>
      </c>
      <c r="P27" s="31" t="str">
        <f>IF((COUNTIFS('Cage Tally'!$A:$A,$A27,'Cage Tally'!$C:$C,'Cage tracking'!P$4,'Cage Tally'!$E:$E, "Light")=0),"",COUNTIFS('Cage Tally'!$A:$A,$A27,'Cage Tally'!$C:$C,'Cage tracking'!P$4,'Cage Tally'!$E:$E, "Light"))</f>
        <v/>
      </c>
      <c r="Q27" s="129"/>
      <c r="R27" s="130"/>
      <c r="S27" s="31" t="str">
        <f>IF((COUNTIFS('Cage Tally'!$A:$A,$A27,'Cage Tally'!$C:$C,'Cage tracking'!S$4,'Cage Tally'!$E:$E, "decomm")=0),"",COUNTIFS('Cage Tally'!$A:$A,$A27,'Cage Tally'!$C:$C,'Cage tracking'!S$4,'Cage Tally'!$E:$E, "decomm"))</f>
        <v/>
      </c>
      <c r="T27" s="31" t="str">
        <f>IF((COUNTIFS('Cage Tally'!$A:$A,$A27,'Cage Tally'!$C:$C,'Cage tracking'!T$4,'Cage Tally'!$E:$E, "decomm")=0),"",COUNTIFS('Cage Tally'!$A:$A,$A27,'Cage Tally'!$C:$C,'Cage tracking'!T$4,'Cage Tally'!$E:$E, "decomm"))</f>
        <v/>
      </c>
      <c r="U27" s="31" t="str">
        <f>IF((COUNTIFS('Cage Tally'!$A:$A,$A27,'Cage Tally'!$C:$C,'Cage tracking'!U$4,'Cage Tally'!$E:$E, "decomm")=0),"",COUNTIFS('Cage Tally'!$A:$A,$A27,'Cage Tally'!$C:$C,'Cage tracking'!U$4,'Cage Tally'!$E:$E, "decomm"))</f>
        <v/>
      </c>
      <c r="V27" s="31" t="str">
        <f>IF((COUNTIFS('Cage Tally'!$A:$A,$A27,'Cage Tally'!$C:$C,'Cage tracking'!V$4,'Cage Tally'!$E:$E, "decomm")=0),"",COUNTIFS('Cage Tally'!$A:$A,$A27,'Cage Tally'!$C:$C,'Cage tracking'!V$4,'Cage Tally'!$E:$E, "decomm"))</f>
        <v/>
      </c>
      <c r="W27" s="31" t="str">
        <f>IF((COUNTIFS('Cage Tally'!$A:$A,$A27,'Cage Tally'!$C:$C,'Cage tracking'!W$4,'Cage Tally'!$E:$E, "decomm")=0),"",COUNTIFS('Cage Tally'!$A:$A,$A27,'Cage Tally'!$C:$C,'Cage tracking'!W$4,'Cage Tally'!$E:$E, "decomm"))</f>
        <v/>
      </c>
      <c r="X27" s="140" t="str">
        <f>IF((COUNTIFS('Cage Tally'!$A:$A,$A27,'Cage Tally'!$C:$C,'Cage tracking'!X$4,'Cage Tally'!$E:$E, "decomm")=0),"",COUNTIFS('Cage Tally'!$A:$A,$A27,'Cage Tally'!$C:$C,'Cage tracking'!X$4,'Cage Tally'!$E:$E, "decomm"))</f>
        <v/>
      </c>
      <c r="Y27" s="273"/>
      <c r="Z27" s="273"/>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row>
    <row r="28" spans="1:48" ht="12.75">
      <c r="A28" s="131">
        <v>44078</v>
      </c>
      <c r="B28" s="132">
        <f>IF((COUNTIFS('Cage Tally'!$A:$A,$A28,'Cage Tally'!$C:$C,'Cage tracking'!B$4,'Cage Tally'!$E:$E, "Dark")=0),"",COUNTIFS('Cage Tally'!$A:$A,$A28,'Cage Tally'!$C:$C,'Cage tracking'!B$4,'Cage Tally'!$E:$E, "Dark"))</f>
        <v>5</v>
      </c>
      <c r="C28" s="132" t="str">
        <f>IF((COUNTIFS('Cage Tally'!$A:$A,$A28,'Cage Tally'!$C:$C,'Cage tracking'!C$4,'Cage Tally'!$E:$E, "Dark")=0),"",COUNTIFS('Cage Tally'!$A:$A,$A28,'Cage Tally'!$C:$C,'Cage tracking'!C$4,'Cage Tally'!$E:$E, "Dark"))</f>
        <v/>
      </c>
      <c r="D28" s="132" t="str">
        <f>IF((COUNTIFS('Cage Tally'!$A:$A,$A28,'Cage Tally'!$C:$C,'Cage tracking'!D$4,'Cage Tally'!$E:$E, "Dark")=0),"",COUNTIFS('Cage Tally'!$A:$A,$A28,'Cage Tally'!$C:$C,'Cage tracking'!D$4,'Cage Tally'!$E:$E, "Dark"))</f>
        <v/>
      </c>
      <c r="E28" s="132" t="str">
        <f>IF((COUNTIFS('Cage Tally'!$A:$A,$A28,'Cage Tally'!$C:$C,'Cage tracking'!E$4,'Cage Tally'!$E:$E, "Dark")=0),"",COUNTIFS('Cage Tally'!$A:$A,$A28,'Cage Tally'!$C:$C,'Cage tracking'!E$4,'Cage Tally'!$E:$E, "Dark"))</f>
        <v/>
      </c>
      <c r="F28" s="132">
        <f>IF((COUNTIFS('Cage Tally'!$A:$A,$A28,'Cage Tally'!$C:$C,'Cage tracking'!F$4,'Cage Tally'!$E:$E, "Dark")=0),"",COUNTIFS('Cage Tally'!$A:$A,$A28,'Cage Tally'!$C:$C,'Cage tracking'!F$4,'Cage Tally'!$E:$E, "Dark"))</f>
        <v>2</v>
      </c>
      <c r="G28" s="132" t="str">
        <f>IF((COUNTIFS('Cage Tally'!$A:$A,$A28,'Cage Tally'!$C:$C,'Cage tracking'!G$4,'Cage Tally'!$E:$E, "Dark")=0),"",COUNTIFS('Cage Tally'!$A:$A,$A28,'Cage Tally'!$C:$C,'Cage tracking'!G$4,'Cage Tally'!$E:$E, "Dark"))</f>
        <v/>
      </c>
      <c r="H28" s="135"/>
      <c r="I28" s="134"/>
      <c r="J28" s="132"/>
      <c r="K28" s="132" t="str">
        <f>IF((COUNTIFS('Cage Tally'!$A:$A,$A28,'Cage Tally'!$C:$C,'Cage tracking'!K$4,'Cage Tally'!$E:$E, "Light")=0),"",COUNTIFS('Cage Tally'!$A:$A,$A28,'Cage Tally'!$C:$C,'Cage tracking'!K$4,'Cage Tally'!$E:$E, "Light"))</f>
        <v/>
      </c>
      <c r="L28" s="132" t="str">
        <f>IF((COUNTIFS('Cage Tally'!$A:$A,$A28,'Cage Tally'!$C:$C,'Cage tracking'!L$4,'Cage Tally'!$E:$E, "Light")=0),"",COUNTIFS('Cage Tally'!$A:$A,$A28,'Cage Tally'!$C:$C,'Cage tracking'!L$4,'Cage Tally'!$E:$E, "Light"))</f>
        <v/>
      </c>
      <c r="M28" s="132" t="str">
        <f>IF((COUNTIFS('Cage Tally'!$A:$A,$A28,'Cage Tally'!$C:$C,'Cage tracking'!M$4,'Cage Tally'!$E:$E, "Light")=0),"",COUNTIFS('Cage Tally'!$A:$A,$A28,'Cage Tally'!$C:$C,'Cage tracking'!M$4,'Cage Tally'!$E:$E, "Light"))</f>
        <v/>
      </c>
      <c r="N28" s="132" t="str">
        <f>IF((COUNTIFS('Cage Tally'!$A:$A,$A28,'Cage Tally'!$C:$C,'Cage tracking'!N$4,'Cage Tally'!$E:$E, "Light")=0),"",COUNTIFS('Cage Tally'!$A:$A,$A28,'Cage Tally'!$C:$C,'Cage tracking'!N$4,'Cage Tally'!$E:$E, "Light"))</f>
        <v/>
      </c>
      <c r="O28" s="132" t="str">
        <f>IF((COUNTIFS('Cage Tally'!$A:$A,$A28,'Cage Tally'!$C:$C,'Cage tracking'!O$4,'Cage Tally'!$E:$E, "Light")=0),"",COUNTIFS('Cage Tally'!$A:$A,$A28,'Cage Tally'!$C:$C,'Cage tracking'!O$4,'Cage Tally'!$E:$E, "Light"))</f>
        <v/>
      </c>
      <c r="P28" s="132" t="str">
        <f>IF((COUNTIFS('Cage Tally'!$A:$A,$A28,'Cage Tally'!$C:$C,'Cage tracking'!P$4,'Cage Tally'!$E:$E, "Light")=0),"",COUNTIFS('Cage Tally'!$A:$A,$A28,'Cage Tally'!$C:$C,'Cage tracking'!P$4,'Cage Tally'!$E:$E, "Light"))</f>
        <v/>
      </c>
      <c r="Q28" s="135"/>
      <c r="R28" s="136"/>
      <c r="S28" s="132" t="str">
        <f>IF((COUNTIFS('Cage Tally'!$A:$A,$A28,'Cage Tally'!$C:$C,'Cage tracking'!S$4,'Cage Tally'!$E:$E, "decomm")=0),"",COUNTIFS('Cage Tally'!$A:$A,$A28,'Cage Tally'!$C:$C,'Cage tracking'!S$4,'Cage Tally'!$E:$E, "decomm"))</f>
        <v/>
      </c>
      <c r="T28" s="132" t="str">
        <f>IF((COUNTIFS('Cage Tally'!$A:$A,$A28,'Cage Tally'!$C:$C,'Cage tracking'!T$4,'Cage Tally'!$E:$E, "decomm")=0),"",COUNTIFS('Cage Tally'!$A:$A,$A28,'Cage Tally'!$C:$C,'Cage tracking'!T$4,'Cage Tally'!$E:$E, "decomm"))</f>
        <v/>
      </c>
      <c r="U28" s="132" t="str">
        <f>IF((COUNTIFS('Cage Tally'!$A:$A,$A28,'Cage Tally'!$C:$C,'Cage tracking'!U$4,'Cage Tally'!$E:$E, "decomm")=0),"",COUNTIFS('Cage Tally'!$A:$A,$A28,'Cage Tally'!$C:$C,'Cage tracking'!U$4,'Cage Tally'!$E:$E, "decomm"))</f>
        <v/>
      </c>
      <c r="V28" s="132" t="str">
        <f>IF((COUNTIFS('Cage Tally'!$A:$A,$A28,'Cage Tally'!$C:$C,'Cage tracking'!V$4,'Cage Tally'!$E:$E, "decomm")=0),"",COUNTIFS('Cage Tally'!$A:$A,$A28,'Cage Tally'!$C:$C,'Cage tracking'!V$4,'Cage Tally'!$E:$E, "decomm"))</f>
        <v/>
      </c>
      <c r="W28" s="132" t="str">
        <f>IF((COUNTIFS('Cage Tally'!$A:$A,$A28,'Cage Tally'!$C:$C,'Cage tracking'!W$4,'Cage Tally'!$E:$E, "decomm")=0),"",COUNTIFS('Cage Tally'!$A:$A,$A28,'Cage Tally'!$C:$C,'Cage tracking'!W$4,'Cage Tally'!$E:$E, "decomm"))</f>
        <v/>
      </c>
      <c r="X28" s="142" t="str">
        <f>IF((COUNTIFS('Cage Tally'!$A:$A,$A28,'Cage Tally'!$C:$C,'Cage tracking'!X$4,'Cage Tally'!$E:$E, "decomm")=0),"",COUNTIFS('Cage Tally'!$A:$A,$A28,'Cage Tally'!$C:$C,'Cage tracking'!X$4,'Cage Tally'!$E:$E, "decomm"))</f>
        <v/>
      </c>
      <c r="Y28" s="273"/>
      <c r="Z28" s="273"/>
      <c r="AA28" s="273"/>
      <c r="AB28" s="273"/>
      <c r="AC28" s="273"/>
      <c r="AD28" s="273"/>
      <c r="AE28" s="273"/>
      <c r="AF28" s="273"/>
      <c r="AG28" s="273"/>
      <c r="AH28" s="273"/>
      <c r="AI28" s="273"/>
      <c r="AJ28" s="273"/>
      <c r="AK28" s="273"/>
      <c r="AL28" s="273"/>
      <c r="AM28" s="273"/>
      <c r="AN28" s="273"/>
      <c r="AO28" s="273"/>
      <c r="AP28" s="273"/>
      <c r="AQ28" s="273"/>
      <c r="AR28" s="273"/>
      <c r="AS28" s="273"/>
      <c r="AT28" s="273"/>
      <c r="AU28" s="273"/>
      <c r="AV28" s="273"/>
    </row>
    <row r="29" spans="1:48" ht="12.75">
      <c r="A29" s="126">
        <v>44079</v>
      </c>
      <c r="B29" s="31" t="str">
        <f>IF((COUNTIFS('Cage Tally'!$A:$A,$A29,'Cage Tally'!$C:$C,'Cage tracking'!B$4,'Cage Tally'!$E:$E, "Dark")=0),"",COUNTIFS('Cage Tally'!$A:$A,$A29,'Cage Tally'!$C:$C,'Cage tracking'!B$4,'Cage Tally'!$E:$E, "Dark"))</f>
        <v/>
      </c>
      <c r="C29" s="31" t="str">
        <f>IF((COUNTIFS('Cage Tally'!$A:$A,$A29,'Cage Tally'!$C:$C,'Cage tracking'!C$4,'Cage Tally'!$E:$E, "Dark")=0),"",COUNTIFS('Cage Tally'!$A:$A,$A29,'Cage Tally'!$C:$C,'Cage tracking'!C$4,'Cage Tally'!$E:$E, "Dark"))</f>
        <v/>
      </c>
      <c r="D29" s="31" t="str">
        <f>IF((COUNTIFS('Cage Tally'!$A:$A,$A29,'Cage Tally'!$C:$C,'Cage tracking'!D$4,'Cage Tally'!$E:$E, "Dark")=0),"",COUNTIFS('Cage Tally'!$A:$A,$A29,'Cage Tally'!$C:$C,'Cage tracking'!D$4,'Cage Tally'!$E:$E, "Dark"))</f>
        <v/>
      </c>
      <c r="E29" s="31" t="str">
        <f>IF((COUNTIFS('Cage Tally'!$A:$A,$A29,'Cage Tally'!$C:$C,'Cage tracking'!E$4,'Cage Tally'!$E:$E, "Dark")=0),"",COUNTIFS('Cage Tally'!$A:$A,$A29,'Cage Tally'!$C:$C,'Cage tracking'!E$4,'Cage Tally'!$E:$E, "Dark"))</f>
        <v/>
      </c>
      <c r="F29" s="31" t="str">
        <f>IF((COUNTIFS('Cage Tally'!$A:$A,$A29,'Cage Tally'!$C:$C,'Cage tracking'!F$4,'Cage Tally'!$E:$E, "Dark")=0),"",COUNTIFS('Cage Tally'!$A:$A,$A29,'Cage Tally'!$C:$C,'Cage tracking'!F$4,'Cage Tally'!$E:$E, "Dark"))</f>
        <v/>
      </c>
      <c r="G29" s="31" t="str">
        <f>IF((COUNTIFS('Cage Tally'!$A:$A,$A29,'Cage Tally'!$C:$C,'Cage tracking'!G$4,'Cage Tally'!$E:$E, "Dark")=0),"",COUNTIFS('Cage Tally'!$A:$A,$A29,'Cage Tally'!$C:$C,'Cage tracking'!G$4,'Cage Tally'!$E:$E, "Dark"))</f>
        <v/>
      </c>
      <c r="H29" s="129"/>
      <c r="I29" s="128"/>
      <c r="J29" s="31"/>
      <c r="K29" s="31" t="str">
        <f>IF((COUNTIFS('Cage Tally'!$A:$A,$A29,'Cage Tally'!$C:$C,'Cage tracking'!K$4,'Cage Tally'!$E:$E, "Light")=0),"",COUNTIFS('Cage Tally'!$A:$A,$A29,'Cage Tally'!$C:$C,'Cage tracking'!K$4,'Cage Tally'!$E:$E, "Light"))</f>
        <v/>
      </c>
      <c r="L29" s="31" t="str">
        <f>IF((COUNTIFS('Cage Tally'!$A:$A,$A29,'Cage Tally'!$C:$C,'Cage tracking'!L$4,'Cage Tally'!$E:$E, "Light")=0),"",COUNTIFS('Cage Tally'!$A:$A,$A29,'Cage Tally'!$C:$C,'Cage tracking'!L$4,'Cage Tally'!$E:$E, "Light"))</f>
        <v/>
      </c>
      <c r="M29" s="31" t="str">
        <f>IF((COUNTIFS('Cage Tally'!$A:$A,$A29,'Cage Tally'!$C:$C,'Cage tracking'!M$4,'Cage Tally'!$E:$E, "Light")=0),"",COUNTIFS('Cage Tally'!$A:$A,$A29,'Cage Tally'!$C:$C,'Cage tracking'!M$4,'Cage Tally'!$E:$E, "Light"))</f>
        <v/>
      </c>
      <c r="N29" s="31" t="str">
        <f>IF((COUNTIFS('Cage Tally'!$A:$A,$A29,'Cage Tally'!$C:$C,'Cage tracking'!N$4,'Cage Tally'!$E:$E, "Light")=0),"",COUNTIFS('Cage Tally'!$A:$A,$A29,'Cage Tally'!$C:$C,'Cage tracking'!N$4,'Cage Tally'!$E:$E, "Light"))</f>
        <v/>
      </c>
      <c r="O29" s="31" t="str">
        <f>IF((COUNTIFS('Cage Tally'!$A:$A,$A29,'Cage Tally'!$C:$C,'Cage tracking'!O$4,'Cage Tally'!$E:$E, "Light")=0),"",COUNTIFS('Cage Tally'!$A:$A,$A29,'Cage Tally'!$C:$C,'Cage tracking'!O$4,'Cage Tally'!$E:$E, "Light"))</f>
        <v/>
      </c>
      <c r="P29" s="31" t="str">
        <f>IF((COUNTIFS('Cage Tally'!$A:$A,$A29,'Cage Tally'!$C:$C,'Cage tracking'!P$4,'Cage Tally'!$E:$E, "Light")=0),"",COUNTIFS('Cage Tally'!$A:$A,$A29,'Cage Tally'!$C:$C,'Cage tracking'!P$4,'Cage Tally'!$E:$E, "Light"))</f>
        <v/>
      </c>
      <c r="Q29" s="129"/>
      <c r="R29" s="130"/>
      <c r="S29" s="31" t="str">
        <f>IF((COUNTIFS('Cage Tally'!$A:$A,$A29,'Cage Tally'!$C:$C,'Cage tracking'!S$4,'Cage Tally'!$E:$E, "decomm")=0),"",COUNTIFS('Cage Tally'!$A:$A,$A29,'Cage Tally'!$C:$C,'Cage tracking'!S$4,'Cage Tally'!$E:$E, "decomm"))</f>
        <v/>
      </c>
      <c r="T29" s="31" t="str">
        <f>IF((COUNTIFS('Cage Tally'!$A:$A,$A29,'Cage Tally'!$C:$C,'Cage tracking'!T$4,'Cage Tally'!$E:$E, "decomm")=0),"",COUNTIFS('Cage Tally'!$A:$A,$A29,'Cage Tally'!$C:$C,'Cage tracking'!T$4,'Cage Tally'!$E:$E, "decomm"))</f>
        <v/>
      </c>
      <c r="U29" s="31" t="str">
        <f>IF((COUNTIFS('Cage Tally'!$A:$A,$A29,'Cage Tally'!$C:$C,'Cage tracking'!U$4,'Cage Tally'!$E:$E, "decomm")=0),"",COUNTIFS('Cage Tally'!$A:$A,$A29,'Cage Tally'!$C:$C,'Cage tracking'!U$4,'Cage Tally'!$E:$E, "decomm"))</f>
        <v/>
      </c>
      <c r="V29" s="31" t="str">
        <f>IF((COUNTIFS('Cage Tally'!$A:$A,$A29,'Cage Tally'!$C:$C,'Cage tracking'!V$4,'Cage Tally'!$E:$E, "decomm")=0),"",COUNTIFS('Cage Tally'!$A:$A,$A29,'Cage Tally'!$C:$C,'Cage tracking'!V$4,'Cage Tally'!$E:$E, "decomm"))</f>
        <v/>
      </c>
      <c r="W29" s="31" t="str">
        <f>IF((COUNTIFS('Cage Tally'!$A:$A,$A29,'Cage Tally'!$C:$C,'Cage tracking'!W$4,'Cage Tally'!$E:$E, "decomm")=0),"",COUNTIFS('Cage Tally'!$A:$A,$A29,'Cage Tally'!$C:$C,'Cage tracking'!W$4,'Cage Tally'!$E:$E, "decomm"))</f>
        <v/>
      </c>
      <c r="X29" s="140" t="str">
        <f>IF((COUNTIFS('Cage Tally'!$A:$A,$A29,'Cage Tally'!$C:$C,'Cage tracking'!X$4,'Cage Tally'!$E:$E, "decomm")=0),"",COUNTIFS('Cage Tally'!$A:$A,$A29,'Cage Tally'!$C:$C,'Cage tracking'!X$4,'Cage Tally'!$E:$E, "decomm"))</f>
        <v/>
      </c>
      <c r="Y29" s="273"/>
      <c r="Z29" s="273"/>
      <c r="AA29" s="273"/>
      <c r="AB29" s="273"/>
      <c r="AC29" s="273"/>
      <c r="AD29" s="273"/>
      <c r="AE29" s="273"/>
      <c r="AF29" s="273"/>
      <c r="AG29" s="273"/>
      <c r="AH29" s="273"/>
      <c r="AI29" s="273"/>
      <c r="AJ29" s="273"/>
      <c r="AK29" s="273"/>
      <c r="AL29" s="273"/>
      <c r="AM29" s="273"/>
      <c r="AN29" s="273"/>
      <c r="AO29" s="273"/>
      <c r="AP29" s="273"/>
      <c r="AQ29" s="273"/>
      <c r="AR29" s="273"/>
      <c r="AS29" s="273"/>
      <c r="AT29" s="273"/>
      <c r="AU29" s="273"/>
      <c r="AV29" s="273"/>
    </row>
    <row r="30" spans="1:48" ht="12.75">
      <c r="A30" s="131">
        <v>44080</v>
      </c>
      <c r="B30" s="132" t="str">
        <f>IF((COUNTIFS('Cage Tally'!$A:$A,$A30,'Cage Tally'!$C:$C,'Cage tracking'!B$4,'Cage Tally'!$E:$E, "Dark")=0),"",COUNTIFS('Cage Tally'!$A:$A,$A30,'Cage Tally'!$C:$C,'Cage tracking'!B$4,'Cage Tally'!$E:$E, "Dark"))</f>
        <v/>
      </c>
      <c r="C30" s="132" t="str">
        <f>IF((COUNTIFS('Cage Tally'!$A:$A,$A30,'Cage Tally'!$C:$C,'Cage tracking'!C$4,'Cage Tally'!$E:$E, "Dark")=0),"",COUNTIFS('Cage Tally'!$A:$A,$A30,'Cage Tally'!$C:$C,'Cage tracking'!C$4,'Cage Tally'!$E:$E, "Dark"))</f>
        <v/>
      </c>
      <c r="D30" s="132" t="str">
        <f>IF((COUNTIFS('Cage Tally'!$A:$A,$A30,'Cage Tally'!$C:$C,'Cage tracking'!D$4,'Cage Tally'!$E:$E, "Dark")=0),"",COUNTIFS('Cage Tally'!$A:$A,$A30,'Cage Tally'!$C:$C,'Cage tracking'!D$4,'Cage Tally'!$E:$E, "Dark"))</f>
        <v/>
      </c>
      <c r="E30" s="132" t="str">
        <f>IF((COUNTIFS('Cage Tally'!$A:$A,$A30,'Cage Tally'!$C:$C,'Cage tracking'!E$4,'Cage Tally'!$E:$E, "Dark")=0),"",COUNTIFS('Cage Tally'!$A:$A,$A30,'Cage Tally'!$C:$C,'Cage tracking'!E$4,'Cage Tally'!$E:$E, "Dark"))</f>
        <v/>
      </c>
      <c r="F30" s="132" t="str">
        <f>IF((COUNTIFS('Cage Tally'!$A:$A,$A30,'Cage Tally'!$C:$C,'Cage tracking'!F$4,'Cage Tally'!$E:$E, "Dark")=0),"",COUNTIFS('Cage Tally'!$A:$A,$A30,'Cage Tally'!$C:$C,'Cage tracking'!F$4,'Cage Tally'!$E:$E, "Dark"))</f>
        <v/>
      </c>
      <c r="G30" s="132" t="str">
        <f>IF((COUNTIFS('Cage Tally'!$A:$A,$A30,'Cage Tally'!$C:$C,'Cage tracking'!G$4,'Cage Tally'!$E:$E, "Dark")=0),"",COUNTIFS('Cage Tally'!$A:$A,$A30,'Cage Tally'!$C:$C,'Cage tracking'!G$4,'Cage Tally'!$E:$E, "Dark"))</f>
        <v/>
      </c>
      <c r="H30" s="135"/>
      <c r="I30" s="134"/>
      <c r="J30" s="132"/>
      <c r="K30" s="132" t="str">
        <f>IF((COUNTIFS('Cage Tally'!$A:$A,$A30,'Cage Tally'!$C:$C,'Cage tracking'!K$4,'Cage Tally'!$E:$E, "Light")=0),"",COUNTIFS('Cage Tally'!$A:$A,$A30,'Cage Tally'!$C:$C,'Cage tracking'!K$4,'Cage Tally'!$E:$E, "Light"))</f>
        <v/>
      </c>
      <c r="L30" s="132" t="str">
        <f>IF((COUNTIFS('Cage Tally'!$A:$A,$A30,'Cage Tally'!$C:$C,'Cage tracking'!L$4,'Cage Tally'!$E:$E, "Light")=0),"",COUNTIFS('Cage Tally'!$A:$A,$A30,'Cage Tally'!$C:$C,'Cage tracking'!L$4,'Cage Tally'!$E:$E, "Light"))</f>
        <v/>
      </c>
      <c r="M30" s="132" t="str">
        <f>IF((COUNTIFS('Cage Tally'!$A:$A,$A30,'Cage Tally'!$C:$C,'Cage tracking'!M$4,'Cage Tally'!$E:$E, "Light")=0),"",COUNTIFS('Cage Tally'!$A:$A,$A30,'Cage Tally'!$C:$C,'Cage tracking'!M$4,'Cage Tally'!$E:$E, "Light"))</f>
        <v/>
      </c>
      <c r="N30" s="132" t="str">
        <f>IF((COUNTIFS('Cage Tally'!$A:$A,$A30,'Cage Tally'!$C:$C,'Cage tracking'!N$4,'Cage Tally'!$E:$E, "Light")=0),"",COUNTIFS('Cage Tally'!$A:$A,$A30,'Cage Tally'!$C:$C,'Cage tracking'!N$4,'Cage Tally'!$E:$E, "Light"))</f>
        <v/>
      </c>
      <c r="O30" s="132" t="str">
        <f>IF((COUNTIFS('Cage Tally'!$A:$A,$A30,'Cage Tally'!$C:$C,'Cage tracking'!O$4,'Cage Tally'!$E:$E, "Light")=0),"",COUNTIFS('Cage Tally'!$A:$A,$A30,'Cage Tally'!$C:$C,'Cage tracking'!O$4,'Cage Tally'!$E:$E, "Light"))</f>
        <v/>
      </c>
      <c r="P30" s="132" t="str">
        <f>IF((COUNTIFS('Cage Tally'!$A:$A,$A30,'Cage Tally'!$C:$C,'Cage tracking'!P$4,'Cage Tally'!$E:$E, "Light")=0),"",COUNTIFS('Cage Tally'!$A:$A,$A30,'Cage Tally'!$C:$C,'Cage tracking'!P$4,'Cage Tally'!$E:$E, "Light"))</f>
        <v/>
      </c>
      <c r="Q30" s="135"/>
      <c r="R30" s="136"/>
      <c r="S30" s="132" t="str">
        <f>IF((COUNTIFS('Cage Tally'!$A:$A,$A30,'Cage Tally'!$C:$C,'Cage tracking'!S$4,'Cage Tally'!$E:$E, "decomm")=0),"",COUNTIFS('Cage Tally'!$A:$A,$A30,'Cage Tally'!$C:$C,'Cage tracking'!S$4,'Cage Tally'!$E:$E, "decomm"))</f>
        <v/>
      </c>
      <c r="T30" s="132" t="str">
        <f>IF((COUNTIFS('Cage Tally'!$A:$A,$A30,'Cage Tally'!$C:$C,'Cage tracking'!T$4,'Cage Tally'!$E:$E, "decomm")=0),"",COUNTIFS('Cage Tally'!$A:$A,$A30,'Cage Tally'!$C:$C,'Cage tracking'!T$4,'Cage Tally'!$E:$E, "decomm"))</f>
        <v/>
      </c>
      <c r="U30" s="132" t="str">
        <f>IF((COUNTIFS('Cage Tally'!$A:$A,$A30,'Cage Tally'!$C:$C,'Cage tracking'!U$4,'Cage Tally'!$E:$E, "decomm")=0),"",COUNTIFS('Cage Tally'!$A:$A,$A30,'Cage Tally'!$C:$C,'Cage tracking'!U$4,'Cage Tally'!$E:$E, "decomm"))</f>
        <v/>
      </c>
      <c r="V30" s="132" t="str">
        <f>IF((COUNTIFS('Cage Tally'!$A:$A,$A30,'Cage Tally'!$C:$C,'Cage tracking'!V$4,'Cage Tally'!$E:$E, "decomm")=0),"",COUNTIFS('Cage Tally'!$A:$A,$A30,'Cage Tally'!$C:$C,'Cage tracking'!V$4,'Cage Tally'!$E:$E, "decomm"))</f>
        <v/>
      </c>
      <c r="W30" s="132" t="str">
        <f>IF((COUNTIFS('Cage Tally'!$A:$A,$A30,'Cage Tally'!$C:$C,'Cage tracking'!W$4,'Cage Tally'!$E:$E, "decomm")=0),"",COUNTIFS('Cage Tally'!$A:$A,$A30,'Cage Tally'!$C:$C,'Cage tracking'!W$4,'Cage Tally'!$E:$E, "decomm"))</f>
        <v/>
      </c>
      <c r="X30" s="142" t="str">
        <f>IF((COUNTIFS('Cage Tally'!$A:$A,$A30,'Cage Tally'!$C:$C,'Cage tracking'!X$4,'Cage Tally'!$E:$E, "decomm")=0),"",COUNTIFS('Cage Tally'!$A:$A,$A30,'Cage Tally'!$C:$C,'Cage tracking'!X$4,'Cage Tally'!$E:$E, "decomm"))</f>
        <v/>
      </c>
      <c r="Y30" s="273"/>
      <c r="Z30" s="273"/>
      <c r="AA30" s="273"/>
      <c r="AB30" s="273"/>
      <c r="AC30" s="273"/>
      <c r="AD30" s="273"/>
      <c r="AE30" s="273"/>
      <c r="AF30" s="273"/>
      <c r="AG30" s="273"/>
      <c r="AH30" s="273"/>
      <c r="AI30" s="273"/>
      <c r="AJ30" s="273"/>
      <c r="AK30" s="273"/>
      <c r="AL30" s="273"/>
      <c r="AM30" s="273"/>
      <c r="AN30" s="273"/>
      <c r="AO30" s="273"/>
      <c r="AP30" s="273"/>
      <c r="AQ30" s="273"/>
      <c r="AR30" s="273"/>
      <c r="AS30" s="273"/>
      <c r="AT30" s="273"/>
      <c r="AU30" s="273"/>
      <c r="AV30" s="273"/>
    </row>
    <row r="31" spans="1:48" ht="12.75">
      <c r="A31" s="126">
        <v>44081</v>
      </c>
      <c r="B31" s="31">
        <f>IF((COUNTIFS('Cage Tally'!$A:$A,$A31,'Cage Tally'!$C:$C,'Cage tracking'!B$4,'Cage Tally'!$E:$E, "Dark")=0),"",COUNTIFS('Cage Tally'!$A:$A,$A31,'Cage Tally'!$C:$C,'Cage tracking'!B$4,'Cage Tally'!$E:$E, "Dark"))</f>
        <v>5</v>
      </c>
      <c r="C31" s="31" t="str">
        <f>IF((COUNTIFS('Cage Tally'!$A:$A,$A31,'Cage Tally'!$C:$C,'Cage tracking'!C$4,'Cage Tally'!$E:$E, "Dark")=0),"",COUNTIFS('Cage Tally'!$A:$A,$A31,'Cage Tally'!$C:$C,'Cage tracking'!C$4,'Cage Tally'!$E:$E, "Dark"))</f>
        <v/>
      </c>
      <c r="D31" s="31">
        <f>IF((COUNTIFS('Cage Tally'!$A:$A,$A31,'Cage Tally'!$C:$C,'Cage tracking'!D$4,'Cage Tally'!$E:$E, "Dark")=0),"",COUNTIFS('Cage Tally'!$A:$A,$A31,'Cage Tally'!$C:$C,'Cage tracking'!D$4,'Cage Tally'!$E:$E, "Dark"))</f>
        <v>5</v>
      </c>
      <c r="E31" s="31" t="str">
        <f>IF((COUNTIFS('Cage Tally'!$A:$A,$A31,'Cage Tally'!$C:$C,'Cage tracking'!E$4,'Cage Tally'!$E:$E, "Dark")=0),"",COUNTIFS('Cage Tally'!$A:$A,$A31,'Cage Tally'!$C:$C,'Cage tracking'!E$4,'Cage Tally'!$E:$E, "Dark"))</f>
        <v/>
      </c>
      <c r="F31" s="31" t="str">
        <f>IF((COUNTIFS('Cage Tally'!$A:$A,$A31,'Cage Tally'!$C:$C,'Cage tracking'!F$4,'Cage Tally'!$E:$E, "Dark")=0),"",COUNTIFS('Cage Tally'!$A:$A,$A31,'Cage Tally'!$C:$C,'Cage tracking'!F$4,'Cage Tally'!$E:$E, "Dark"))</f>
        <v/>
      </c>
      <c r="G31" s="31" t="str">
        <f>IF((COUNTIFS('Cage Tally'!$A:$A,$A31,'Cage Tally'!$C:$C,'Cage tracking'!G$4,'Cage Tally'!$E:$E, "Dark")=0),"",COUNTIFS('Cage Tally'!$A:$A,$A31,'Cage Tally'!$C:$C,'Cage tracking'!G$4,'Cage Tally'!$E:$E, "Dark"))</f>
        <v/>
      </c>
      <c r="H31" s="129"/>
      <c r="I31" s="128"/>
      <c r="J31" s="31"/>
      <c r="K31" s="31">
        <f>IF((COUNTIFS('Cage Tally'!$A:$A,$A31,'Cage Tally'!$C:$C,'Cage tracking'!K$4,'Cage Tally'!$E:$E, "Light")=0),"",COUNTIFS('Cage Tally'!$A:$A,$A31,'Cage Tally'!$C:$C,'Cage tracking'!K$4,'Cage Tally'!$E:$E, "Light"))</f>
        <v>1</v>
      </c>
      <c r="L31" s="31">
        <f>IF((COUNTIFS('Cage Tally'!$A:$A,$A31,'Cage Tally'!$C:$C,'Cage tracking'!L$4,'Cage Tally'!$E:$E, "Light")=0),"",COUNTIFS('Cage Tally'!$A:$A,$A31,'Cage Tally'!$C:$C,'Cage tracking'!L$4,'Cage Tally'!$E:$E, "Light"))</f>
        <v>2</v>
      </c>
      <c r="M31" s="31">
        <f>IF((COUNTIFS('Cage Tally'!$A:$A,$A31,'Cage Tally'!$C:$C,'Cage tracking'!M$4,'Cage Tally'!$E:$E, "Light")=0),"",COUNTIFS('Cage Tally'!$A:$A,$A31,'Cage Tally'!$C:$C,'Cage tracking'!M$4,'Cage Tally'!$E:$E, "Light"))</f>
        <v>5</v>
      </c>
      <c r="N31" s="31">
        <f>IF((COUNTIFS('Cage Tally'!$A:$A,$A31,'Cage Tally'!$C:$C,'Cage tracking'!N$4,'Cage Tally'!$E:$E, "Light")=0),"",COUNTIFS('Cage Tally'!$A:$A,$A31,'Cage Tally'!$C:$C,'Cage tracking'!N$4,'Cage Tally'!$E:$E, "Light"))</f>
        <v>2</v>
      </c>
      <c r="O31" s="31" t="str">
        <f>IF((COUNTIFS('Cage Tally'!$A:$A,$A31,'Cage Tally'!$C:$C,'Cage tracking'!O$4,'Cage Tally'!$E:$E, "Light")=0),"",COUNTIFS('Cage Tally'!$A:$A,$A31,'Cage Tally'!$C:$C,'Cage tracking'!O$4,'Cage Tally'!$E:$E, "Light"))</f>
        <v/>
      </c>
      <c r="P31" s="31" t="str">
        <f>IF((COUNTIFS('Cage Tally'!$A:$A,$A31,'Cage Tally'!$C:$C,'Cage tracking'!P$4,'Cage Tally'!$E:$E, "Light")=0),"",COUNTIFS('Cage Tally'!$A:$A,$A31,'Cage Tally'!$C:$C,'Cage tracking'!P$4,'Cage Tally'!$E:$E, "Light"))</f>
        <v/>
      </c>
      <c r="Q31" s="129"/>
      <c r="R31" s="130"/>
      <c r="S31" s="31" t="str">
        <f>IF((COUNTIFS('Cage Tally'!$A:$A,$A31,'Cage Tally'!$C:$C,'Cage tracking'!S$4,'Cage Tally'!$E:$E, "decomm")=0),"",COUNTIFS('Cage Tally'!$A:$A,$A31,'Cage Tally'!$C:$C,'Cage tracking'!S$4,'Cage Tally'!$E:$E, "decomm"))</f>
        <v/>
      </c>
      <c r="T31" s="31" t="str">
        <f>IF((COUNTIFS('Cage Tally'!$A:$A,$A31,'Cage Tally'!$C:$C,'Cage tracking'!T$4,'Cage Tally'!$E:$E, "decomm")=0),"",COUNTIFS('Cage Tally'!$A:$A,$A31,'Cage Tally'!$C:$C,'Cage tracking'!T$4,'Cage Tally'!$E:$E, "decomm"))</f>
        <v/>
      </c>
      <c r="U31" s="31">
        <f>IF((COUNTIFS('Cage Tally'!$A:$A,$A31,'Cage Tally'!$C:$C,'Cage tracking'!U$4,'Cage Tally'!$E:$E, "decomm")=0),"",COUNTIFS('Cage Tally'!$A:$A,$A31,'Cage Tally'!$C:$C,'Cage tracking'!U$4,'Cage Tally'!$E:$E, "decomm"))</f>
        <v>4</v>
      </c>
      <c r="V31" s="31">
        <f>IF((COUNTIFS('Cage Tally'!$A:$A,$A31,'Cage Tally'!$C:$C,'Cage tracking'!V$4,'Cage Tally'!$E:$E, "decomm")=0),"",COUNTIFS('Cage Tally'!$A:$A,$A31,'Cage Tally'!$C:$C,'Cage tracking'!V$4,'Cage Tally'!$E:$E, "decomm"))</f>
        <v>2</v>
      </c>
      <c r="W31" s="31" t="str">
        <f>IF((COUNTIFS('Cage Tally'!$A:$A,$A31,'Cage Tally'!$C:$C,'Cage tracking'!W$4,'Cage Tally'!$E:$E, "decomm")=0),"",COUNTIFS('Cage Tally'!$A:$A,$A31,'Cage Tally'!$C:$C,'Cage tracking'!W$4,'Cage Tally'!$E:$E, "decomm"))</f>
        <v/>
      </c>
      <c r="X31" s="140" t="str">
        <f>IF((COUNTIFS('Cage Tally'!$A:$A,$A31,'Cage Tally'!$C:$C,'Cage tracking'!X$4,'Cage Tally'!$E:$E, "decomm")=0),"",COUNTIFS('Cage Tally'!$A:$A,$A31,'Cage Tally'!$C:$C,'Cage tracking'!X$4,'Cage Tally'!$E:$E, "decomm"))</f>
        <v/>
      </c>
      <c r="Y31" s="273"/>
      <c r="Z31" s="273"/>
      <c r="AA31" s="273"/>
      <c r="AB31" s="273"/>
      <c r="AC31" s="273"/>
      <c r="AD31" s="273"/>
      <c r="AE31" s="273"/>
      <c r="AF31" s="273"/>
      <c r="AG31" s="273"/>
      <c r="AH31" s="273"/>
      <c r="AI31" s="273"/>
      <c r="AJ31" s="273"/>
      <c r="AK31" s="273"/>
      <c r="AL31" s="273"/>
      <c r="AM31" s="273"/>
      <c r="AN31" s="273"/>
      <c r="AO31" s="273"/>
      <c r="AP31" s="273"/>
      <c r="AQ31" s="273"/>
      <c r="AR31" s="273"/>
      <c r="AS31" s="273"/>
      <c r="AT31" s="273"/>
      <c r="AU31" s="273"/>
      <c r="AV31" s="273"/>
    </row>
    <row r="32" spans="1:48" ht="12.75">
      <c r="A32" s="131">
        <v>44082</v>
      </c>
      <c r="B32" s="132" t="str">
        <f>IF((COUNTIFS('Cage Tally'!$A:$A,$A32,'Cage Tally'!$C:$C,'Cage tracking'!B$4,'Cage Tally'!$E:$E, "Dark")=0),"",COUNTIFS('Cage Tally'!$A:$A,$A32,'Cage Tally'!$C:$C,'Cage tracking'!B$4,'Cage Tally'!$E:$E, "Dark"))</f>
        <v/>
      </c>
      <c r="C32" s="132" t="str">
        <f>IF((COUNTIFS('Cage Tally'!$A:$A,$A32,'Cage Tally'!$C:$C,'Cage tracking'!C$4,'Cage Tally'!$E:$E, "Dark")=0),"",COUNTIFS('Cage Tally'!$A:$A,$A32,'Cage Tally'!$C:$C,'Cage tracking'!C$4,'Cage Tally'!$E:$E, "Dark"))</f>
        <v/>
      </c>
      <c r="D32" s="132">
        <f>IF((COUNTIFS('Cage Tally'!$A:$A,$A32,'Cage Tally'!$C:$C,'Cage tracking'!D$4,'Cage Tally'!$E:$E, "Dark")=0),"",COUNTIFS('Cage Tally'!$A:$A,$A32,'Cage Tally'!$C:$C,'Cage tracking'!D$4,'Cage Tally'!$E:$E, "Dark"))</f>
        <v>3</v>
      </c>
      <c r="E32" s="132">
        <f>IF((COUNTIFS('Cage Tally'!$A:$A,$A32,'Cage Tally'!$C:$C,'Cage tracking'!E$4,'Cage Tally'!$E:$E, "Dark")=0),"",COUNTIFS('Cage Tally'!$A:$A,$A32,'Cage Tally'!$C:$C,'Cage tracking'!E$4,'Cage Tally'!$E:$E, "Dark"))</f>
        <v>11</v>
      </c>
      <c r="F32" s="132" t="str">
        <f>IF((COUNTIFS('Cage Tally'!$A:$A,$A32,'Cage Tally'!$C:$C,'Cage tracking'!F$4,'Cage Tally'!$E:$E, "Dark")=0),"",COUNTIFS('Cage Tally'!$A:$A,$A32,'Cage Tally'!$C:$C,'Cage tracking'!F$4,'Cage Tally'!$E:$E, "Dark"))</f>
        <v/>
      </c>
      <c r="G32" s="132" t="str">
        <f>IF((COUNTIFS('Cage Tally'!$A:$A,$A32,'Cage Tally'!$C:$C,'Cage tracking'!G$4,'Cage Tally'!$E:$E, "Dark")=0),"",COUNTIFS('Cage Tally'!$A:$A,$A32,'Cage Tally'!$C:$C,'Cage tracking'!G$4,'Cage Tally'!$E:$E, "Dark"))</f>
        <v/>
      </c>
      <c r="H32" s="135"/>
      <c r="I32" s="134"/>
      <c r="J32" s="132"/>
      <c r="K32" s="132" t="str">
        <f>IF((COUNTIFS('Cage Tally'!$A:$A,$A32,'Cage Tally'!$C:$C,'Cage tracking'!K$4,'Cage Tally'!$E:$E, "Light")=0),"",COUNTIFS('Cage Tally'!$A:$A,$A32,'Cage Tally'!$C:$C,'Cage tracking'!K$4,'Cage Tally'!$E:$E, "Light"))</f>
        <v/>
      </c>
      <c r="L32" s="132" t="str">
        <f>IF((COUNTIFS('Cage Tally'!$A:$A,$A32,'Cage Tally'!$C:$C,'Cage tracking'!L$4,'Cage Tally'!$E:$E, "Light")=0),"",COUNTIFS('Cage Tally'!$A:$A,$A32,'Cage Tally'!$C:$C,'Cage tracking'!L$4,'Cage Tally'!$E:$E, "Light"))</f>
        <v/>
      </c>
      <c r="M32" s="132">
        <f>IF((COUNTIFS('Cage Tally'!$A:$A,$A32,'Cage Tally'!$C:$C,'Cage tracking'!M$4,'Cage Tally'!$E:$E, "Light")=0),"",COUNTIFS('Cage Tally'!$A:$A,$A32,'Cage Tally'!$C:$C,'Cage tracking'!M$4,'Cage Tally'!$E:$E, "Light"))</f>
        <v>1</v>
      </c>
      <c r="N32" s="132">
        <f>IF((COUNTIFS('Cage Tally'!$A:$A,$A32,'Cage Tally'!$C:$C,'Cage tracking'!N$4,'Cage Tally'!$E:$E, "Light")=0),"",COUNTIFS('Cage Tally'!$A:$A,$A32,'Cage Tally'!$C:$C,'Cage tracking'!N$4,'Cage Tally'!$E:$E, "Light"))</f>
        <v>2</v>
      </c>
      <c r="O32" s="132" t="str">
        <f>IF((COUNTIFS('Cage Tally'!$A:$A,$A32,'Cage Tally'!$C:$C,'Cage tracking'!O$4,'Cage Tally'!$E:$E, "Light")=0),"",COUNTIFS('Cage Tally'!$A:$A,$A32,'Cage Tally'!$C:$C,'Cage tracking'!O$4,'Cage Tally'!$E:$E, "Light"))</f>
        <v/>
      </c>
      <c r="P32" s="132" t="str">
        <f>IF((COUNTIFS('Cage Tally'!$A:$A,$A32,'Cage Tally'!$C:$C,'Cage tracking'!P$4,'Cage Tally'!$E:$E, "Light")=0),"",COUNTIFS('Cage Tally'!$A:$A,$A32,'Cage Tally'!$C:$C,'Cage tracking'!P$4,'Cage Tally'!$E:$E, "Light"))</f>
        <v/>
      </c>
      <c r="Q32" s="135"/>
      <c r="R32" s="136"/>
      <c r="S32" s="132" t="str">
        <f>IF((COUNTIFS('Cage Tally'!$A:$A,$A32,'Cage Tally'!$C:$C,'Cage tracking'!S$4,'Cage Tally'!$E:$E, "decomm")=0),"",COUNTIFS('Cage Tally'!$A:$A,$A32,'Cage Tally'!$C:$C,'Cage tracking'!S$4,'Cage Tally'!$E:$E, "decomm"))</f>
        <v/>
      </c>
      <c r="T32" s="132" t="str">
        <f>IF((COUNTIFS('Cage Tally'!$A:$A,$A32,'Cage Tally'!$C:$C,'Cage tracking'!T$4,'Cage Tally'!$E:$E, "decomm")=0),"",COUNTIFS('Cage Tally'!$A:$A,$A32,'Cage Tally'!$C:$C,'Cage tracking'!T$4,'Cage Tally'!$E:$E, "decomm"))</f>
        <v/>
      </c>
      <c r="U32" s="132" t="str">
        <f>IF((COUNTIFS('Cage Tally'!$A:$A,$A32,'Cage Tally'!$C:$C,'Cage tracking'!U$4,'Cage Tally'!$E:$E, "decomm")=0),"",COUNTIFS('Cage Tally'!$A:$A,$A32,'Cage Tally'!$C:$C,'Cage tracking'!U$4,'Cage Tally'!$E:$E, "decomm"))</f>
        <v/>
      </c>
      <c r="V32" s="132" t="str">
        <f>IF((COUNTIFS('Cage Tally'!$A:$A,$A32,'Cage Tally'!$C:$C,'Cage tracking'!V$4,'Cage Tally'!$E:$E, "decomm")=0),"",COUNTIFS('Cage Tally'!$A:$A,$A32,'Cage Tally'!$C:$C,'Cage tracking'!V$4,'Cage Tally'!$E:$E, "decomm"))</f>
        <v/>
      </c>
      <c r="W32" s="132" t="str">
        <f>IF((COUNTIFS('Cage Tally'!$A:$A,$A32,'Cage Tally'!$C:$C,'Cage tracking'!W$4,'Cage Tally'!$E:$E, "decomm")=0),"",COUNTIFS('Cage Tally'!$A:$A,$A32,'Cage Tally'!$C:$C,'Cage tracking'!W$4,'Cage Tally'!$E:$E, "decomm"))</f>
        <v/>
      </c>
      <c r="X32" s="142" t="str">
        <f>IF((COUNTIFS('Cage Tally'!$A:$A,$A32,'Cage Tally'!$C:$C,'Cage tracking'!X$4,'Cage Tally'!$E:$E, "decomm")=0),"",COUNTIFS('Cage Tally'!$A:$A,$A32,'Cage Tally'!$C:$C,'Cage tracking'!X$4,'Cage Tally'!$E:$E, "decomm"))</f>
        <v/>
      </c>
      <c r="Y32" s="273"/>
      <c r="Z32" s="273"/>
      <c r="AA32" s="273"/>
      <c r="AB32" s="273"/>
      <c r="AC32" s="273"/>
      <c r="AD32" s="273"/>
      <c r="AE32" s="273"/>
      <c r="AF32" s="273"/>
      <c r="AG32" s="273"/>
      <c r="AH32" s="273"/>
      <c r="AI32" s="273"/>
      <c r="AJ32" s="273"/>
      <c r="AK32" s="273"/>
      <c r="AL32" s="273"/>
      <c r="AM32" s="273"/>
      <c r="AN32" s="273"/>
      <c r="AO32" s="273"/>
      <c r="AP32" s="273"/>
      <c r="AQ32" s="273"/>
      <c r="AR32" s="273"/>
      <c r="AS32" s="273"/>
      <c r="AT32" s="273"/>
      <c r="AU32" s="273"/>
      <c r="AV32" s="273"/>
    </row>
    <row r="33" spans="1:48" ht="12.75">
      <c r="A33" s="126">
        <v>44083</v>
      </c>
      <c r="B33" s="31" t="str">
        <f>IF((COUNTIFS('Cage Tally'!$A:$A,$A33,'Cage Tally'!$C:$C,'Cage tracking'!B$4,'Cage Tally'!$E:$E, "Dark")=0),"",COUNTIFS('Cage Tally'!$A:$A,$A33,'Cage Tally'!$C:$C,'Cage tracking'!B$4,'Cage Tally'!$E:$E, "Dark"))</f>
        <v/>
      </c>
      <c r="C33" s="31" t="str">
        <f>IF((COUNTIFS('Cage Tally'!$A:$A,$A33,'Cage Tally'!$C:$C,'Cage tracking'!C$4,'Cage Tally'!$E:$E, "Dark")=0),"",COUNTIFS('Cage Tally'!$A:$A,$A33,'Cage Tally'!$C:$C,'Cage tracking'!C$4,'Cage Tally'!$E:$E, "Dark"))</f>
        <v/>
      </c>
      <c r="D33" s="31" t="str">
        <f>IF((COUNTIFS('Cage Tally'!$A:$A,$A33,'Cage Tally'!$C:$C,'Cage tracking'!D$4,'Cage Tally'!$E:$E, "Dark")=0),"",COUNTIFS('Cage Tally'!$A:$A,$A33,'Cage Tally'!$C:$C,'Cage tracking'!D$4,'Cage Tally'!$E:$E, "Dark"))</f>
        <v/>
      </c>
      <c r="E33" s="31" t="str">
        <f>IF((COUNTIFS('Cage Tally'!$A:$A,$A33,'Cage Tally'!$C:$C,'Cage tracking'!E$4,'Cage Tally'!$E:$E, "Dark")=0),"",COUNTIFS('Cage Tally'!$A:$A,$A33,'Cage Tally'!$C:$C,'Cage tracking'!E$4,'Cage Tally'!$E:$E, "Dark"))</f>
        <v/>
      </c>
      <c r="F33" s="31" t="str">
        <f>IF((COUNTIFS('Cage Tally'!$A:$A,$A33,'Cage Tally'!$C:$C,'Cage tracking'!F$4,'Cage Tally'!$E:$E, "Dark")=0),"",COUNTIFS('Cage Tally'!$A:$A,$A33,'Cage Tally'!$C:$C,'Cage tracking'!F$4,'Cage Tally'!$E:$E, "Dark"))</f>
        <v/>
      </c>
      <c r="G33" s="31" t="str">
        <f>IF((COUNTIFS('Cage Tally'!$A:$A,$A33,'Cage Tally'!$C:$C,'Cage tracking'!G$4,'Cage Tally'!$E:$E, "Dark")=0),"",COUNTIFS('Cage Tally'!$A:$A,$A33,'Cage Tally'!$C:$C,'Cage tracking'!G$4,'Cage Tally'!$E:$E, "Dark"))</f>
        <v/>
      </c>
      <c r="H33" s="129"/>
      <c r="I33" s="128"/>
      <c r="J33" s="31"/>
      <c r="K33" s="31">
        <f>IF((COUNTIFS('Cage Tally'!$A:$A,$A33,'Cage Tally'!$C:$C,'Cage tracking'!K$4,'Cage Tally'!$E:$E, "Light")=0),"",COUNTIFS('Cage Tally'!$A:$A,$A33,'Cage Tally'!$C:$C,'Cage tracking'!K$4,'Cage Tally'!$E:$E, "Light"))</f>
        <v>4</v>
      </c>
      <c r="L33" s="31" t="str">
        <f>IF((COUNTIFS('Cage Tally'!$A:$A,$A33,'Cage Tally'!$C:$C,'Cage tracking'!L$4,'Cage Tally'!$E:$E, "Light")=0),"",COUNTIFS('Cage Tally'!$A:$A,$A33,'Cage Tally'!$C:$C,'Cage tracking'!L$4,'Cage Tally'!$E:$E, "Light"))</f>
        <v/>
      </c>
      <c r="M33" s="31">
        <f>IF((COUNTIFS('Cage Tally'!$A:$A,$A33,'Cage Tally'!$C:$C,'Cage tracking'!M$4,'Cage Tally'!$E:$E, "Light")=0),"",COUNTIFS('Cage Tally'!$A:$A,$A33,'Cage Tally'!$C:$C,'Cage tracking'!M$4,'Cage Tally'!$E:$E, "Light"))</f>
        <v>1</v>
      </c>
      <c r="N33" s="31" t="str">
        <f>IF((COUNTIFS('Cage Tally'!$A:$A,$A33,'Cage Tally'!$C:$C,'Cage tracking'!N$4,'Cage Tally'!$E:$E, "Light")=0),"",COUNTIFS('Cage Tally'!$A:$A,$A33,'Cage Tally'!$C:$C,'Cage tracking'!N$4,'Cage Tally'!$E:$E, "Light"))</f>
        <v/>
      </c>
      <c r="O33" s="31">
        <f>IF((COUNTIFS('Cage Tally'!$A:$A,$A33,'Cage Tally'!$C:$C,'Cage tracking'!O$4,'Cage Tally'!$E:$E, "Light")=0),"",COUNTIFS('Cage Tally'!$A:$A,$A33,'Cage Tally'!$C:$C,'Cage tracking'!O$4,'Cage Tally'!$E:$E, "Light"))</f>
        <v>1</v>
      </c>
      <c r="P33" s="31" t="str">
        <f>IF((COUNTIFS('Cage Tally'!$A:$A,$A33,'Cage Tally'!$C:$C,'Cage tracking'!P$4,'Cage Tally'!$E:$E, "Light")=0),"",COUNTIFS('Cage Tally'!$A:$A,$A33,'Cage Tally'!$C:$C,'Cage tracking'!P$4,'Cage Tally'!$E:$E, "Light"))</f>
        <v/>
      </c>
      <c r="Q33" s="129"/>
      <c r="R33" s="130"/>
      <c r="S33" s="31" t="str">
        <f>IF((COUNTIFS('Cage Tally'!$A:$A,$A33,'Cage Tally'!$C:$C,'Cage tracking'!S$4,'Cage Tally'!$E:$E, "decomm")=0),"",COUNTIFS('Cage Tally'!$A:$A,$A33,'Cage Tally'!$C:$C,'Cage tracking'!S$4,'Cage Tally'!$E:$E, "decomm"))</f>
        <v/>
      </c>
      <c r="T33" s="31" t="str">
        <f>IF((COUNTIFS('Cage Tally'!$A:$A,$A33,'Cage Tally'!$C:$C,'Cage tracking'!T$4,'Cage Tally'!$E:$E, "decomm")=0),"",COUNTIFS('Cage Tally'!$A:$A,$A33,'Cage Tally'!$C:$C,'Cage tracking'!T$4,'Cage Tally'!$E:$E, "decomm"))</f>
        <v/>
      </c>
      <c r="U33" s="31" t="str">
        <f>IF((COUNTIFS('Cage Tally'!$A:$A,$A33,'Cage Tally'!$C:$C,'Cage tracking'!U$4,'Cage Tally'!$E:$E, "decomm")=0),"",COUNTIFS('Cage Tally'!$A:$A,$A33,'Cage Tally'!$C:$C,'Cage tracking'!U$4,'Cage Tally'!$E:$E, "decomm"))</f>
        <v/>
      </c>
      <c r="V33" s="31">
        <f>IF((COUNTIFS('Cage Tally'!$A:$A,$A33,'Cage Tally'!$C:$C,'Cage tracking'!V$4,'Cage Tally'!$E:$E, "decomm")=0),"",COUNTIFS('Cage Tally'!$A:$A,$A33,'Cage Tally'!$C:$C,'Cage tracking'!V$4,'Cage Tally'!$E:$E, "decomm"))</f>
        <v>3</v>
      </c>
      <c r="W33" s="31" t="str">
        <f>IF((COUNTIFS('Cage Tally'!$A:$A,$A33,'Cage Tally'!$C:$C,'Cage tracking'!W$4,'Cage Tally'!$E:$E, "decomm")=0),"",COUNTIFS('Cage Tally'!$A:$A,$A33,'Cage Tally'!$C:$C,'Cage tracking'!W$4,'Cage Tally'!$E:$E, "decomm"))</f>
        <v/>
      </c>
      <c r="X33" s="140" t="str">
        <f>IF((COUNTIFS('Cage Tally'!$A:$A,$A33,'Cage Tally'!$C:$C,'Cage tracking'!X$4,'Cage Tally'!$E:$E, "decomm")=0),"",COUNTIFS('Cage Tally'!$A:$A,$A33,'Cage Tally'!$C:$C,'Cage tracking'!X$4,'Cage Tally'!$E:$E, "decomm"))</f>
        <v/>
      </c>
      <c r="Y33" s="273"/>
      <c r="Z33" s="273"/>
      <c r="AA33" s="273"/>
      <c r="AB33" s="273"/>
      <c r="AC33" s="273"/>
      <c r="AD33" s="273"/>
      <c r="AE33" s="273"/>
      <c r="AF33" s="273"/>
      <c r="AG33" s="273"/>
      <c r="AH33" s="273"/>
      <c r="AI33" s="273"/>
      <c r="AJ33" s="273"/>
      <c r="AK33" s="273"/>
      <c r="AL33" s="273"/>
      <c r="AM33" s="273"/>
      <c r="AN33" s="273"/>
      <c r="AO33" s="273"/>
      <c r="AP33" s="273"/>
      <c r="AQ33" s="273"/>
      <c r="AR33" s="273"/>
      <c r="AS33" s="273"/>
      <c r="AT33" s="273"/>
      <c r="AU33" s="273"/>
      <c r="AV33" s="273"/>
    </row>
    <row r="34" spans="1:48" ht="12.75">
      <c r="A34" s="131">
        <v>44084</v>
      </c>
      <c r="B34" s="132" t="str">
        <f>IF((COUNTIFS('Cage Tally'!$A:$A,$A34,'Cage Tally'!$C:$C,'Cage tracking'!B$4,'Cage Tally'!$E:$E, "Dark")=0),"",COUNTIFS('Cage Tally'!$A:$A,$A34,'Cage Tally'!$C:$C,'Cage tracking'!B$4,'Cage Tally'!$E:$E, "Dark"))</f>
        <v/>
      </c>
      <c r="C34" s="132" t="str">
        <f>IF((COUNTIFS('Cage Tally'!$A:$A,$A34,'Cage Tally'!$C:$C,'Cage tracking'!C$4,'Cage Tally'!$E:$E, "Dark")=0),"",COUNTIFS('Cage Tally'!$A:$A,$A34,'Cage Tally'!$C:$C,'Cage tracking'!C$4,'Cage Tally'!$E:$E, "Dark"))</f>
        <v/>
      </c>
      <c r="D34" s="132" t="str">
        <f>IF((COUNTIFS('Cage Tally'!$A:$A,$A34,'Cage Tally'!$C:$C,'Cage tracking'!D$4,'Cage Tally'!$E:$E, "Dark")=0),"",COUNTIFS('Cage Tally'!$A:$A,$A34,'Cage Tally'!$C:$C,'Cage tracking'!D$4,'Cage Tally'!$E:$E, "Dark"))</f>
        <v/>
      </c>
      <c r="E34" s="132" t="str">
        <f>IF((COUNTIFS('Cage Tally'!$A:$A,$A34,'Cage Tally'!$C:$C,'Cage tracking'!E$4,'Cage Tally'!$E:$E, "Dark")=0),"",COUNTIFS('Cage Tally'!$A:$A,$A34,'Cage Tally'!$C:$C,'Cage tracking'!E$4,'Cage Tally'!$E:$E, "Dark"))</f>
        <v/>
      </c>
      <c r="F34" s="132" t="str">
        <f>IF((COUNTIFS('Cage Tally'!$A:$A,$A34,'Cage Tally'!$C:$C,'Cage tracking'!F$4,'Cage Tally'!$E:$E, "Dark")=0),"",COUNTIFS('Cage Tally'!$A:$A,$A34,'Cage Tally'!$C:$C,'Cage tracking'!F$4,'Cage Tally'!$E:$E, "Dark"))</f>
        <v/>
      </c>
      <c r="G34" s="132" t="str">
        <f>IF((COUNTIFS('Cage Tally'!$A:$A,$A34,'Cage Tally'!$C:$C,'Cage tracking'!G$4,'Cage Tally'!$E:$E, "Dark")=0),"",COUNTIFS('Cage Tally'!$A:$A,$A34,'Cage Tally'!$C:$C,'Cage tracking'!G$4,'Cage Tally'!$E:$E, "Dark"))</f>
        <v/>
      </c>
      <c r="H34" s="135"/>
      <c r="I34" s="134"/>
      <c r="J34" s="132"/>
      <c r="K34" s="132" t="str">
        <f>IF((COUNTIFS('Cage Tally'!$A:$A,$A34,'Cage Tally'!$C:$C,'Cage tracking'!K$4,'Cage Tally'!$E:$E, "Light")=0),"",COUNTIFS('Cage Tally'!$A:$A,$A34,'Cage Tally'!$C:$C,'Cage tracking'!K$4,'Cage Tally'!$E:$E, "Light"))</f>
        <v/>
      </c>
      <c r="L34" s="132" t="str">
        <f>IF((COUNTIFS('Cage Tally'!$A:$A,$A34,'Cage Tally'!$C:$C,'Cage tracking'!L$4,'Cage Tally'!$E:$E, "Light")=0),"",COUNTIFS('Cage Tally'!$A:$A,$A34,'Cage Tally'!$C:$C,'Cage tracking'!L$4,'Cage Tally'!$E:$E, "Light"))</f>
        <v/>
      </c>
      <c r="M34" s="132" t="str">
        <f>IF((COUNTIFS('Cage Tally'!$A:$A,$A34,'Cage Tally'!$C:$C,'Cage tracking'!M$4,'Cage Tally'!$E:$E, "Light")=0),"",COUNTIFS('Cage Tally'!$A:$A,$A34,'Cage Tally'!$C:$C,'Cage tracking'!M$4,'Cage Tally'!$E:$E, "Light"))</f>
        <v/>
      </c>
      <c r="N34" s="132" t="str">
        <f>IF((COUNTIFS('Cage Tally'!$A:$A,$A34,'Cage Tally'!$C:$C,'Cage tracking'!N$4,'Cage Tally'!$E:$E, "Light")=0),"",COUNTIFS('Cage Tally'!$A:$A,$A34,'Cage Tally'!$C:$C,'Cage tracking'!N$4,'Cage Tally'!$E:$E, "Light"))</f>
        <v/>
      </c>
      <c r="O34" s="132" t="str">
        <f>IF((COUNTIFS('Cage Tally'!$A:$A,$A34,'Cage Tally'!$C:$C,'Cage tracking'!O$4,'Cage Tally'!$E:$E, "Light")=0),"",COUNTIFS('Cage Tally'!$A:$A,$A34,'Cage Tally'!$C:$C,'Cage tracking'!O$4,'Cage Tally'!$E:$E, "Light"))</f>
        <v/>
      </c>
      <c r="P34" s="132" t="str">
        <f>IF((COUNTIFS('Cage Tally'!$A:$A,$A34,'Cage Tally'!$C:$C,'Cage tracking'!P$4,'Cage Tally'!$E:$E, "Light")=0),"",COUNTIFS('Cage Tally'!$A:$A,$A34,'Cage Tally'!$C:$C,'Cage tracking'!P$4,'Cage Tally'!$E:$E, "Light"))</f>
        <v/>
      </c>
      <c r="Q34" s="135"/>
      <c r="R34" s="136"/>
      <c r="S34" s="132" t="str">
        <f>IF((COUNTIFS('Cage Tally'!$A:$A,$A34,'Cage Tally'!$C:$C,'Cage tracking'!S$4,'Cage Tally'!$E:$E, "decomm")=0),"",COUNTIFS('Cage Tally'!$A:$A,$A34,'Cage Tally'!$C:$C,'Cage tracking'!S$4,'Cage Tally'!$E:$E, "decomm"))</f>
        <v/>
      </c>
      <c r="T34" s="132" t="str">
        <f>IF((COUNTIFS('Cage Tally'!$A:$A,$A34,'Cage Tally'!$C:$C,'Cage tracking'!T$4,'Cage Tally'!$E:$E, "decomm")=0),"",COUNTIFS('Cage Tally'!$A:$A,$A34,'Cage Tally'!$C:$C,'Cage tracking'!T$4,'Cage Tally'!$E:$E, "decomm"))</f>
        <v/>
      </c>
      <c r="U34" s="132" t="str">
        <f>IF((COUNTIFS('Cage Tally'!$A:$A,$A34,'Cage Tally'!$C:$C,'Cage tracking'!U$4,'Cage Tally'!$E:$E, "decomm")=0),"",COUNTIFS('Cage Tally'!$A:$A,$A34,'Cage Tally'!$C:$C,'Cage tracking'!U$4,'Cage Tally'!$E:$E, "decomm"))</f>
        <v/>
      </c>
      <c r="V34" s="132" t="str">
        <f>IF((COUNTIFS('Cage Tally'!$A:$A,$A34,'Cage Tally'!$C:$C,'Cage tracking'!V$4,'Cage Tally'!$E:$E, "decomm")=0),"",COUNTIFS('Cage Tally'!$A:$A,$A34,'Cage Tally'!$C:$C,'Cage tracking'!V$4,'Cage Tally'!$E:$E, "decomm"))</f>
        <v/>
      </c>
      <c r="W34" s="132" t="str">
        <f>IF((COUNTIFS('Cage Tally'!$A:$A,$A34,'Cage Tally'!$C:$C,'Cage tracking'!W$4,'Cage Tally'!$E:$E, "decomm")=0),"",COUNTIFS('Cage Tally'!$A:$A,$A34,'Cage Tally'!$C:$C,'Cage tracking'!W$4,'Cage Tally'!$E:$E, "decomm"))</f>
        <v/>
      </c>
      <c r="X34" s="142" t="str">
        <f>IF((COUNTIFS('Cage Tally'!$A:$A,$A34,'Cage Tally'!$C:$C,'Cage tracking'!X$4,'Cage Tally'!$E:$E, "decomm")=0),"",COUNTIFS('Cage Tally'!$A:$A,$A34,'Cage Tally'!$C:$C,'Cage tracking'!X$4,'Cage Tally'!$E:$E, "decomm"))</f>
        <v/>
      </c>
      <c r="Y34" s="273"/>
      <c r="Z34" s="273"/>
      <c r="AA34" s="273"/>
      <c r="AB34" s="273"/>
      <c r="AC34" s="273"/>
      <c r="AD34" s="273"/>
      <c r="AE34" s="273"/>
      <c r="AF34" s="273"/>
      <c r="AG34" s="273"/>
      <c r="AH34" s="273"/>
      <c r="AI34" s="273"/>
      <c r="AJ34" s="273"/>
      <c r="AK34" s="273"/>
      <c r="AL34" s="273"/>
      <c r="AM34" s="273"/>
      <c r="AN34" s="273"/>
      <c r="AO34" s="273"/>
      <c r="AP34" s="273"/>
      <c r="AQ34" s="273"/>
      <c r="AR34" s="273"/>
      <c r="AS34" s="273"/>
      <c r="AT34" s="273"/>
      <c r="AU34" s="273"/>
      <c r="AV34" s="273"/>
    </row>
    <row r="35" spans="1:48" ht="12.75">
      <c r="A35" s="126">
        <v>44085</v>
      </c>
      <c r="B35" s="31" t="str">
        <f>IF((COUNTIFS('Cage Tally'!$A:$A,$A35,'Cage Tally'!$C:$C,'Cage tracking'!B$4,'Cage Tally'!$E:$E, "Dark")=0),"",COUNTIFS('Cage Tally'!$A:$A,$A35,'Cage Tally'!$C:$C,'Cage tracking'!B$4,'Cage Tally'!$E:$E, "Dark"))</f>
        <v/>
      </c>
      <c r="C35" s="31" t="str">
        <f>IF((COUNTIFS('Cage Tally'!$A:$A,$A35,'Cage Tally'!$C:$C,'Cage tracking'!C$4,'Cage Tally'!$E:$E, "Dark")=0),"",COUNTIFS('Cage Tally'!$A:$A,$A35,'Cage Tally'!$C:$C,'Cage tracking'!C$4,'Cage Tally'!$E:$E, "Dark"))</f>
        <v/>
      </c>
      <c r="D35" s="31" t="str">
        <f>IF((COUNTIFS('Cage Tally'!$A:$A,$A35,'Cage Tally'!$C:$C,'Cage tracking'!D$4,'Cage Tally'!$E:$E, "Dark")=0),"",COUNTIFS('Cage Tally'!$A:$A,$A35,'Cage Tally'!$C:$C,'Cage tracking'!D$4,'Cage Tally'!$E:$E, "Dark"))</f>
        <v/>
      </c>
      <c r="E35" s="31" t="str">
        <f>IF((COUNTIFS('Cage Tally'!$A:$A,$A35,'Cage Tally'!$C:$C,'Cage tracking'!E$4,'Cage Tally'!$E:$E, "Dark")=0),"",COUNTIFS('Cage Tally'!$A:$A,$A35,'Cage Tally'!$C:$C,'Cage tracking'!E$4,'Cage Tally'!$E:$E, "Dark"))</f>
        <v/>
      </c>
      <c r="F35" s="31" t="str">
        <f>IF((COUNTIFS('Cage Tally'!$A:$A,$A35,'Cage Tally'!$C:$C,'Cage tracking'!F$4,'Cage Tally'!$E:$E, "Dark")=0),"",COUNTIFS('Cage Tally'!$A:$A,$A35,'Cage Tally'!$C:$C,'Cage tracking'!F$4,'Cage Tally'!$E:$E, "Dark"))</f>
        <v/>
      </c>
      <c r="G35" s="31" t="str">
        <f>IF((COUNTIFS('Cage Tally'!$A:$A,$A35,'Cage Tally'!$C:$C,'Cage tracking'!G$4,'Cage Tally'!$E:$E, "Dark")=0),"",COUNTIFS('Cage Tally'!$A:$A,$A35,'Cage Tally'!$C:$C,'Cage tracking'!G$4,'Cage Tally'!$E:$E, "Dark"))</f>
        <v/>
      </c>
      <c r="H35" s="129"/>
      <c r="I35" s="128"/>
      <c r="J35" s="31"/>
      <c r="K35" s="31">
        <f>IF((COUNTIFS('Cage Tally'!$A:$A,$A35,'Cage Tally'!$C:$C,'Cage tracking'!K$4,'Cage Tally'!$E:$E, "Light")=0),"",COUNTIFS('Cage Tally'!$A:$A,$A35,'Cage Tally'!$C:$C,'Cage tracking'!K$4,'Cage Tally'!$E:$E, "Light"))</f>
        <v>2</v>
      </c>
      <c r="L35" s="31" t="str">
        <f>IF((COUNTIFS('Cage Tally'!$A:$A,$A35,'Cage Tally'!$C:$C,'Cage tracking'!L$4,'Cage Tally'!$E:$E, "Light")=0),"",COUNTIFS('Cage Tally'!$A:$A,$A35,'Cage Tally'!$C:$C,'Cage tracking'!L$4,'Cage Tally'!$E:$E, "Light"))</f>
        <v/>
      </c>
      <c r="M35" s="31">
        <f>IF((COUNTIFS('Cage Tally'!$A:$A,$A35,'Cage Tally'!$C:$C,'Cage tracking'!M$4,'Cage Tally'!$E:$E, "Light")=0),"",COUNTIFS('Cage Tally'!$A:$A,$A35,'Cage Tally'!$C:$C,'Cage tracking'!M$4,'Cage Tally'!$E:$E, "Light"))</f>
        <v>2</v>
      </c>
      <c r="N35" s="31">
        <f>IF((COUNTIFS('Cage Tally'!$A:$A,$A35,'Cage Tally'!$C:$C,'Cage tracking'!N$4,'Cage Tally'!$E:$E, "Light")=0),"",COUNTIFS('Cage Tally'!$A:$A,$A35,'Cage Tally'!$C:$C,'Cage tracking'!N$4,'Cage Tally'!$E:$E, "Light"))</f>
        <v>1</v>
      </c>
      <c r="O35" s="31">
        <f>IF((COUNTIFS('Cage Tally'!$A:$A,$A35,'Cage Tally'!$C:$C,'Cage tracking'!O$4,'Cage Tally'!$E:$E, "Light")=0),"",COUNTIFS('Cage Tally'!$A:$A,$A35,'Cage Tally'!$C:$C,'Cage tracking'!O$4,'Cage Tally'!$E:$E, "Light"))</f>
        <v>1</v>
      </c>
      <c r="P35" s="31" t="str">
        <f>IF((COUNTIFS('Cage Tally'!$A:$A,$A35,'Cage Tally'!$C:$C,'Cage tracking'!P$4,'Cage Tally'!$E:$E, "Light")=0),"",COUNTIFS('Cage Tally'!$A:$A,$A35,'Cage Tally'!$C:$C,'Cage tracking'!P$4,'Cage Tally'!$E:$E, "Light"))</f>
        <v/>
      </c>
      <c r="Q35" s="129"/>
      <c r="R35" s="130"/>
      <c r="S35" s="31" t="str">
        <f>IF((COUNTIFS('Cage Tally'!$A:$A,$A35,'Cage Tally'!$C:$C,'Cage tracking'!S$4,'Cage Tally'!$E:$E, "decomm")=0),"",COUNTIFS('Cage Tally'!$A:$A,$A35,'Cage Tally'!$C:$C,'Cage tracking'!S$4,'Cage Tally'!$E:$E, "decomm"))</f>
        <v/>
      </c>
      <c r="T35" s="31" t="str">
        <f>IF((COUNTIFS('Cage Tally'!$A:$A,$A35,'Cage Tally'!$C:$C,'Cage tracking'!T$4,'Cage Tally'!$E:$E, "decomm")=0),"",COUNTIFS('Cage Tally'!$A:$A,$A35,'Cage Tally'!$C:$C,'Cage tracking'!T$4,'Cage Tally'!$E:$E, "decomm"))</f>
        <v/>
      </c>
      <c r="U35" s="31">
        <f>IF((COUNTIFS('Cage Tally'!$A:$A,$A35,'Cage Tally'!$C:$C,'Cage tracking'!U$4,'Cage Tally'!$E:$E, "decomm")=0),"",COUNTIFS('Cage Tally'!$A:$A,$A35,'Cage Tally'!$C:$C,'Cage tracking'!U$4,'Cage Tally'!$E:$E, "decomm"))</f>
        <v>2</v>
      </c>
      <c r="V35" s="31" t="str">
        <f>IF((COUNTIFS('Cage Tally'!$A:$A,$A35,'Cage Tally'!$C:$C,'Cage tracking'!V$4,'Cage Tally'!$E:$E, "decomm")=0),"",COUNTIFS('Cage Tally'!$A:$A,$A35,'Cage Tally'!$C:$C,'Cage tracking'!V$4,'Cage Tally'!$E:$E, "decomm"))</f>
        <v/>
      </c>
      <c r="W35" s="31" t="str">
        <f>IF((COUNTIFS('Cage Tally'!$A:$A,$A35,'Cage Tally'!$C:$C,'Cage tracking'!W$4,'Cage Tally'!$E:$E, "decomm")=0),"",COUNTIFS('Cage Tally'!$A:$A,$A35,'Cage Tally'!$C:$C,'Cage tracking'!W$4,'Cage Tally'!$E:$E, "decomm"))</f>
        <v/>
      </c>
      <c r="X35" s="140" t="str">
        <f>IF((COUNTIFS('Cage Tally'!$A:$A,$A35,'Cage Tally'!$C:$C,'Cage tracking'!X$4,'Cage Tally'!$E:$E, "decomm")=0),"",COUNTIFS('Cage Tally'!$A:$A,$A35,'Cage Tally'!$C:$C,'Cage tracking'!X$4,'Cage Tally'!$E:$E, "decomm"))</f>
        <v/>
      </c>
      <c r="Y35" s="273"/>
      <c r="Z35" s="273"/>
      <c r="AA35" s="273"/>
      <c r="AB35" s="273"/>
      <c r="AC35" s="273"/>
      <c r="AD35" s="273"/>
      <c r="AE35" s="273"/>
      <c r="AF35" s="273"/>
      <c r="AG35" s="273"/>
      <c r="AH35" s="273"/>
      <c r="AI35" s="273"/>
      <c r="AJ35" s="273"/>
      <c r="AK35" s="273"/>
      <c r="AL35" s="273"/>
      <c r="AM35" s="273"/>
      <c r="AN35" s="273"/>
      <c r="AO35" s="273"/>
      <c r="AP35" s="273"/>
      <c r="AQ35" s="273"/>
      <c r="AR35" s="273"/>
      <c r="AS35" s="273"/>
      <c r="AT35" s="273"/>
      <c r="AU35" s="273"/>
      <c r="AV35" s="273"/>
    </row>
    <row r="36" spans="1:48" ht="12.75">
      <c r="A36" s="131">
        <v>44086</v>
      </c>
      <c r="B36" s="132" t="str">
        <f>IF((COUNTIFS('Cage Tally'!$A:$A,$A36,'Cage Tally'!$C:$C,'Cage tracking'!B$4,'Cage Tally'!$E:$E, "Dark")=0),"",COUNTIFS('Cage Tally'!$A:$A,$A36,'Cage Tally'!$C:$C,'Cage tracking'!B$4,'Cage Tally'!$E:$E, "Dark"))</f>
        <v/>
      </c>
      <c r="C36" s="132" t="str">
        <f>IF((COUNTIFS('Cage Tally'!$A:$A,$A36,'Cage Tally'!$C:$C,'Cage tracking'!C$4,'Cage Tally'!$E:$E, "Dark")=0),"",COUNTIFS('Cage Tally'!$A:$A,$A36,'Cage Tally'!$C:$C,'Cage tracking'!C$4,'Cage Tally'!$E:$E, "Dark"))</f>
        <v/>
      </c>
      <c r="D36" s="132" t="str">
        <f>IF((COUNTIFS('Cage Tally'!$A:$A,$A36,'Cage Tally'!$C:$C,'Cage tracking'!D$4,'Cage Tally'!$E:$E, "Dark")=0),"",COUNTIFS('Cage Tally'!$A:$A,$A36,'Cage Tally'!$C:$C,'Cage tracking'!D$4,'Cage Tally'!$E:$E, "Dark"))</f>
        <v/>
      </c>
      <c r="E36" s="132" t="str">
        <f>IF((COUNTIFS('Cage Tally'!$A:$A,$A36,'Cage Tally'!$C:$C,'Cage tracking'!E$4,'Cage Tally'!$E:$E, "Dark")=0),"",COUNTIFS('Cage Tally'!$A:$A,$A36,'Cage Tally'!$C:$C,'Cage tracking'!E$4,'Cage Tally'!$E:$E, "Dark"))</f>
        <v/>
      </c>
      <c r="F36" s="132" t="str">
        <f>IF((COUNTIFS('Cage Tally'!$A:$A,$A36,'Cage Tally'!$C:$C,'Cage tracking'!F$4,'Cage Tally'!$E:$E, "Dark")=0),"",COUNTIFS('Cage Tally'!$A:$A,$A36,'Cage Tally'!$C:$C,'Cage tracking'!F$4,'Cage Tally'!$E:$E, "Dark"))</f>
        <v/>
      </c>
      <c r="G36" s="132" t="str">
        <f>IF((COUNTIFS('Cage Tally'!$A:$A,$A36,'Cage Tally'!$C:$C,'Cage tracking'!G$4,'Cage Tally'!$E:$E, "Dark")=0),"",COUNTIFS('Cage Tally'!$A:$A,$A36,'Cage Tally'!$C:$C,'Cage tracking'!G$4,'Cage Tally'!$E:$E, "Dark"))</f>
        <v/>
      </c>
      <c r="H36" s="135"/>
      <c r="I36" s="134"/>
      <c r="J36" s="132"/>
      <c r="K36" s="132" t="str">
        <f>IF((COUNTIFS('Cage Tally'!$A:$A,$A36,'Cage Tally'!$C:$C,'Cage tracking'!K$4,'Cage Tally'!$E:$E, "Light")=0),"",COUNTIFS('Cage Tally'!$A:$A,$A36,'Cage Tally'!$C:$C,'Cage tracking'!K$4,'Cage Tally'!$E:$E, "Light"))</f>
        <v/>
      </c>
      <c r="L36" s="132" t="str">
        <f>IF((COUNTIFS('Cage Tally'!$A:$A,$A36,'Cage Tally'!$C:$C,'Cage tracking'!L$4,'Cage Tally'!$E:$E, "Light")=0),"",COUNTIFS('Cage Tally'!$A:$A,$A36,'Cage Tally'!$C:$C,'Cage tracking'!L$4,'Cage Tally'!$E:$E, "Light"))</f>
        <v/>
      </c>
      <c r="M36" s="132" t="str">
        <f>IF((COUNTIFS('Cage Tally'!$A:$A,$A36,'Cage Tally'!$C:$C,'Cage tracking'!M$4,'Cage Tally'!$E:$E, "Light")=0),"",COUNTIFS('Cage Tally'!$A:$A,$A36,'Cage Tally'!$C:$C,'Cage tracking'!M$4,'Cage Tally'!$E:$E, "Light"))</f>
        <v/>
      </c>
      <c r="N36" s="132" t="str">
        <f>IF((COUNTIFS('Cage Tally'!$A:$A,$A36,'Cage Tally'!$C:$C,'Cage tracking'!N$4,'Cage Tally'!$E:$E, "Light")=0),"",COUNTIFS('Cage Tally'!$A:$A,$A36,'Cage Tally'!$C:$C,'Cage tracking'!N$4,'Cage Tally'!$E:$E, "Light"))</f>
        <v/>
      </c>
      <c r="O36" s="132" t="str">
        <f>IF((COUNTIFS('Cage Tally'!$A:$A,$A36,'Cage Tally'!$C:$C,'Cage tracking'!O$4,'Cage Tally'!$E:$E, "Light")=0),"",COUNTIFS('Cage Tally'!$A:$A,$A36,'Cage Tally'!$C:$C,'Cage tracking'!O$4,'Cage Tally'!$E:$E, "Light"))</f>
        <v/>
      </c>
      <c r="P36" s="132" t="str">
        <f>IF((COUNTIFS('Cage Tally'!$A:$A,$A36,'Cage Tally'!$C:$C,'Cage tracking'!P$4,'Cage Tally'!$E:$E, "Light")=0),"",COUNTIFS('Cage Tally'!$A:$A,$A36,'Cage Tally'!$C:$C,'Cage tracking'!P$4,'Cage Tally'!$E:$E, "Light"))</f>
        <v/>
      </c>
      <c r="Q36" s="135"/>
      <c r="R36" s="136"/>
      <c r="S36" s="132" t="str">
        <f>IF((COUNTIFS('Cage Tally'!$A:$A,$A36,'Cage Tally'!$C:$C,'Cage tracking'!S$4,'Cage Tally'!$E:$E, "decomm")=0),"",COUNTIFS('Cage Tally'!$A:$A,$A36,'Cage Tally'!$C:$C,'Cage tracking'!S$4,'Cage Tally'!$E:$E, "decomm"))</f>
        <v/>
      </c>
      <c r="T36" s="132" t="str">
        <f>IF((COUNTIFS('Cage Tally'!$A:$A,$A36,'Cage Tally'!$C:$C,'Cage tracking'!T$4,'Cage Tally'!$E:$E, "decomm")=0),"",COUNTIFS('Cage Tally'!$A:$A,$A36,'Cage Tally'!$C:$C,'Cage tracking'!T$4,'Cage Tally'!$E:$E, "decomm"))</f>
        <v/>
      </c>
      <c r="U36" s="132" t="str">
        <f>IF((COUNTIFS('Cage Tally'!$A:$A,$A36,'Cage Tally'!$C:$C,'Cage tracking'!U$4,'Cage Tally'!$E:$E, "decomm")=0),"",COUNTIFS('Cage Tally'!$A:$A,$A36,'Cage Tally'!$C:$C,'Cage tracking'!U$4,'Cage Tally'!$E:$E, "decomm"))</f>
        <v/>
      </c>
      <c r="V36" s="132" t="str">
        <f>IF((COUNTIFS('Cage Tally'!$A:$A,$A36,'Cage Tally'!$C:$C,'Cage tracking'!V$4,'Cage Tally'!$E:$E, "decomm")=0),"",COUNTIFS('Cage Tally'!$A:$A,$A36,'Cage Tally'!$C:$C,'Cage tracking'!V$4,'Cage Tally'!$E:$E, "decomm"))</f>
        <v/>
      </c>
      <c r="W36" s="132" t="str">
        <f>IF((COUNTIFS('Cage Tally'!$A:$A,$A36,'Cage Tally'!$C:$C,'Cage tracking'!W$4,'Cage Tally'!$E:$E, "decomm")=0),"",COUNTIFS('Cage Tally'!$A:$A,$A36,'Cage Tally'!$C:$C,'Cage tracking'!W$4,'Cage Tally'!$E:$E, "decomm"))</f>
        <v/>
      </c>
      <c r="X36" s="142" t="str">
        <f>IF((COUNTIFS('Cage Tally'!$A:$A,$A36,'Cage Tally'!$C:$C,'Cage tracking'!X$4,'Cage Tally'!$E:$E, "decomm")=0),"",COUNTIFS('Cage Tally'!$A:$A,$A36,'Cage Tally'!$C:$C,'Cage tracking'!X$4,'Cage Tally'!$E:$E, "decomm"))</f>
        <v/>
      </c>
      <c r="Y36" s="273"/>
      <c r="Z36" s="273"/>
      <c r="AA36" s="273"/>
      <c r="AB36" s="273"/>
      <c r="AC36" s="273"/>
      <c r="AD36" s="273"/>
      <c r="AE36" s="273"/>
      <c r="AF36" s="273"/>
      <c r="AG36" s="273"/>
      <c r="AH36" s="273"/>
      <c r="AI36" s="273"/>
      <c r="AJ36" s="273"/>
      <c r="AK36" s="273"/>
      <c r="AL36" s="273"/>
      <c r="AM36" s="273"/>
      <c r="AN36" s="273"/>
      <c r="AO36" s="273"/>
      <c r="AP36" s="273"/>
      <c r="AQ36" s="273"/>
      <c r="AR36" s="273"/>
      <c r="AS36" s="273"/>
      <c r="AT36" s="273"/>
      <c r="AU36" s="273"/>
      <c r="AV36" s="273"/>
    </row>
    <row r="37" spans="1:48" ht="12.75">
      <c r="A37" s="126">
        <v>44087</v>
      </c>
      <c r="B37" s="31" t="str">
        <f>IF((COUNTIFS('Cage Tally'!$A:$A,$A37,'Cage Tally'!$C:$C,'Cage tracking'!B$4,'Cage Tally'!$E:$E, "Dark")=0),"",COUNTIFS('Cage Tally'!$A:$A,$A37,'Cage Tally'!$C:$C,'Cage tracking'!B$4,'Cage Tally'!$E:$E, "Dark"))</f>
        <v/>
      </c>
      <c r="C37" s="31" t="str">
        <f>IF((COUNTIFS('Cage Tally'!$A:$A,$A37,'Cage Tally'!$C:$C,'Cage tracking'!C$4,'Cage Tally'!$E:$E, "Dark")=0),"",COUNTIFS('Cage Tally'!$A:$A,$A37,'Cage Tally'!$C:$C,'Cage tracking'!C$4,'Cage Tally'!$E:$E, "Dark"))</f>
        <v/>
      </c>
      <c r="D37" s="31" t="str">
        <f>IF((COUNTIFS('Cage Tally'!$A:$A,$A37,'Cage Tally'!$C:$C,'Cage tracking'!D$4,'Cage Tally'!$E:$E, "Dark")=0),"",COUNTIFS('Cage Tally'!$A:$A,$A37,'Cage Tally'!$C:$C,'Cage tracking'!D$4,'Cage Tally'!$E:$E, "Dark"))</f>
        <v/>
      </c>
      <c r="E37" s="31" t="str">
        <f>IF((COUNTIFS('Cage Tally'!$A:$A,$A37,'Cage Tally'!$C:$C,'Cage tracking'!E$4,'Cage Tally'!$E:$E, "Dark")=0),"",COUNTIFS('Cage Tally'!$A:$A,$A37,'Cage Tally'!$C:$C,'Cage tracking'!E$4,'Cage Tally'!$E:$E, "Dark"))</f>
        <v/>
      </c>
      <c r="F37" s="31" t="str">
        <f>IF((COUNTIFS('Cage Tally'!$A:$A,$A37,'Cage Tally'!$C:$C,'Cage tracking'!F$4,'Cage Tally'!$E:$E, "Dark")=0),"",COUNTIFS('Cage Tally'!$A:$A,$A37,'Cage Tally'!$C:$C,'Cage tracking'!F$4,'Cage Tally'!$E:$E, "Dark"))</f>
        <v/>
      </c>
      <c r="G37" s="31" t="str">
        <f>IF((COUNTIFS('Cage Tally'!$A:$A,$A37,'Cage Tally'!$C:$C,'Cage tracking'!G$4,'Cage Tally'!$E:$E, "Dark")=0),"",COUNTIFS('Cage Tally'!$A:$A,$A37,'Cage Tally'!$C:$C,'Cage tracking'!G$4,'Cage Tally'!$E:$E, "Dark"))</f>
        <v/>
      </c>
      <c r="H37" s="129"/>
      <c r="I37" s="128"/>
      <c r="J37" s="31"/>
      <c r="K37" s="31" t="str">
        <f>IF((COUNTIFS('Cage Tally'!$A:$A,$A37,'Cage Tally'!$C:$C,'Cage tracking'!K$4,'Cage Tally'!$E:$E, "Light")=0),"",COUNTIFS('Cage Tally'!$A:$A,$A37,'Cage Tally'!$C:$C,'Cage tracking'!K$4,'Cage Tally'!$E:$E, "Light"))</f>
        <v/>
      </c>
      <c r="L37" s="31" t="str">
        <f>IF((COUNTIFS('Cage Tally'!$A:$A,$A37,'Cage Tally'!$C:$C,'Cage tracking'!L$4,'Cage Tally'!$E:$E, "Light")=0),"",COUNTIFS('Cage Tally'!$A:$A,$A37,'Cage Tally'!$C:$C,'Cage tracking'!L$4,'Cage Tally'!$E:$E, "Light"))</f>
        <v/>
      </c>
      <c r="M37" s="31" t="str">
        <f>IF((COUNTIFS('Cage Tally'!$A:$A,$A37,'Cage Tally'!$C:$C,'Cage tracking'!M$4,'Cage Tally'!$E:$E, "Light")=0),"",COUNTIFS('Cage Tally'!$A:$A,$A37,'Cage Tally'!$C:$C,'Cage tracking'!M$4,'Cage Tally'!$E:$E, "Light"))</f>
        <v/>
      </c>
      <c r="N37" s="31" t="str">
        <f>IF((COUNTIFS('Cage Tally'!$A:$A,$A37,'Cage Tally'!$C:$C,'Cage tracking'!N$4,'Cage Tally'!$E:$E, "Light")=0),"",COUNTIFS('Cage Tally'!$A:$A,$A37,'Cage Tally'!$C:$C,'Cage tracking'!N$4,'Cage Tally'!$E:$E, "Light"))</f>
        <v/>
      </c>
      <c r="O37" s="31" t="str">
        <f>IF((COUNTIFS('Cage Tally'!$A:$A,$A37,'Cage Tally'!$C:$C,'Cage tracking'!O$4,'Cage Tally'!$E:$E, "Light")=0),"",COUNTIFS('Cage Tally'!$A:$A,$A37,'Cage Tally'!$C:$C,'Cage tracking'!O$4,'Cage Tally'!$E:$E, "Light"))</f>
        <v/>
      </c>
      <c r="P37" s="31" t="str">
        <f>IF((COUNTIFS('Cage Tally'!$A:$A,$A37,'Cage Tally'!$C:$C,'Cage tracking'!P$4,'Cage Tally'!$E:$E, "Light")=0),"",COUNTIFS('Cage Tally'!$A:$A,$A37,'Cage Tally'!$C:$C,'Cage tracking'!P$4,'Cage Tally'!$E:$E, "Light"))</f>
        <v/>
      </c>
      <c r="Q37" s="129"/>
      <c r="R37" s="130"/>
      <c r="S37" s="31" t="str">
        <f>IF((COUNTIFS('Cage Tally'!$A:$A,$A37,'Cage Tally'!$C:$C,'Cage tracking'!S$4,'Cage Tally'!$E:$E, "decomm")=0),"",COUNTIFS('Cage Tally'!$A:$A,$A37,'Cage Tally'!$C:$C,'Cage tracking'!S$4,'Cage Tally'!$E:$E, "decomm"))</f>
        <v/>
      </c>
      <c r="T37" s="31" t="str">
        <f>IF((COUNTIFS('Cage Tally'!$A:$A,$A37,'Cage Tally'!$C:$C,'Cage tracking'!T$4,'Cage Tally'!$E:$E, "decomm")=0),"",COUNTIFS('Cage Tally'!$A:$A,$A37,'Cage Tally'!$C:$C,'Cage tracking'!T$4,'Cage Tally'!$E:$E, "decomm"))</f>
        <v/>
      </c>
      <c r="U37" s="31" t="str">
        <f>IF((COUNTIFS('Cage Tally'!$A:$A,$A37,'Cage Tally'!$C:$C,'Cage tracking'!U$4,'Cage Tally'!$E:$E, "decomm")=0),"",COUNTIFS('Cage Tally'!$A:$A,$A37,'Cage Tally'!$C:$C,'Cage tracking'!U$4,'Cage Tally'!$E:$E, "decomm"))</f>
        <v/>
      </c>
      <c r="V37" s="31" t="str">
        <f>IF((COUNTIFS('Cage Tally'!$A:$A,$A37,'Cage Tally'!$C:$C,'Cage tracking'!V$4,'Cage Tally'!$E:$E, "decomm")=0),"",COUNTIFS('Cage Tally'!$A:$A,$A37,'Cage Tally'!$C:$C,'Cage tracking'!V$4,'Cage Tally'!$E:$E, "decomm"))</f>
        <v/>
      </c>
      <c r="W37" s="31" t="str">
        <f>IF((COUNTIFS('Cage Tally'!$A:$A,$A37,'Cage Tally'!$C:$C,'Cage tracking'!W$4,'Cage Tally'!$E:$E, "decomm")=0),"",COUNTIFS('Cage Tally'!$A:$A,$A37,'Cage Tally'!$C:$C,'Cage tracking'!W$4,'Cage Tally'!$E:$E, "decomm"))</f>
        <v/>
      </c>
      <c r="X37" s="140" t="str">
        <f>IF((COUNTIFS('Cage Tally'!$A:$A,$A37,'Cage Tally'!$C:$C,'Cage tracking'!X$4,'Cage Tally'!$E:$E, "decomm")=0),"",COUNTIFS('Cage Tally'!$A:$A,$A37,'Cage Tally'!$C:$C,'Cage tracking'!X$4,'Cage Tally'!$E:$E, "decomm"))</f>
        <v/>
      </c>
      <c r="Y37" s="273"/>
      <c r="Z37" s="273"/>
      <c r="AA37" s="273"/>
      <c r="AB37" s="273"/>
      <c r="AC37" s="273"/>
      <c r="AD37" s="273"/>
      <c r="AE37" s="273"/>
      <c r="AF37" s="273"/>
      <c r="AG37" s="273"/>
      <c r="AH37" s="273"/>
      <c r="AI37" s="273"/>
      <c r="AJ37" s="273"/>
      <c r="AK37" s="273"/>
      <c r="AL37" s="273"/>
      <c r="AM37" s="273"/>
      <c r="AN37" s="273"/>
      <c r="AO37" s="273"/>
      <c r="AP37" s="273"/>
      <c r="AQ37" s="273"/>
      <c r="AR37" s="273"/>
      <c r="AS37" s="273"/>
      <c r="AT37" s="273"/>
      <c r="AU37" s="273"/>
      <c r="AV37" s="273"/>
    </row>
    <row r="38" spans="1:48" ht="12.75">
      <c r="A38" s="131">
        <v>44088</v>
      </c>
      <c r="B38" s="132" t="str">
        <f>IF((COUNTIFS('Cage Tally'!$A:$A,$A38,'Cage Tally'!$C:$C,'Cage tracking'!B$4,'Cage Tally'!$E:$E, "Dark")=0),"",COUNTIFS('Cage Tally'!$A:$A,$A38,'Cage Tally'!$C:$C,'Cage tracking'!B$4,'Cage Tally'!$E:$E, "Dark"))</f>
        <v/>
      </c>
      <c r="C38" s="132" t="str">
        <f>IF((COUNTIFS('Cage Tally'!$A:$A,$A38,'Cage Tally'!$C:$C,'Cage tracking'!C$4,'Cage Tally'!$E:$E, "Dark")=0),"",COUNTIFS('Cage Tally'!$A:$A,$A38,'Cage Tally'!$C:$C,'Cage tracking'!C$4,'Cage Tally'!$E:$E, "Dark"))</f>
        <v/>
      </c>
      <c r="D38" s="132" t="str">
        <f>IF((COUNTIFS('Cage Tally'!$A:$A,$A38,'Cage Tally'!$C:$C,'Cage tracking'!D$4,'Cage Tally'!$E:$E, "Dark")=0),"",COUNTIFS('Cage Tally'!$A:$A,$A38,'Cage Tally'!$C:$C,'Cage tracking'!D$4,'Cage Tally'!$E:$E, "Dark"))</f>
        <v/>
      </c>
      <c r="E38" s="132" t="str">
        <f>IF((COUNTIFS('Cage Tally'!$A:$A,$A38,'Cage Tally'!$C:$C,'Cage tracking'!E$4,'Cage Tally'!$E:$E, "Dark")=0),"",COUNTIFS('Cage Tally'!$A:$A,$A38,'Cage Tally'!$C:$C,'Cage tracking'!E$4,'Cage Tally'!$E:$E, "Dark"))</f>
        <v/>
      </c>
      <c r="F38" s="132" t="str">
        <f>IF((COUNTIFS('Cage Tally'!$A:$A,$A38,'Cage Tally'!$C:$C,'Cage tracking'!F$4,'Cage Tally'!$E:$E, "Dark")=0),"",COUNTIFS('Cage Tally'!$A:$A,$A38,'Cage Tally'!$C:$C,'Cage tracking'!F$4,'Cage Tally'!$E:$E, "Dark"))</f>
        <v/>
      </c>
      <c r="G38" s="132" t="str">
        <f>IF((COUNTIFS('Cage Tally'!$A:$A,$A38,'Cage Tally'!$C:$C,'Cage tracking'!G$4,'Cage Tally'!$E:$E, "Dark")=0),"",COUNTIFS('Cage Tally'!$A:$A,$A38,'Cage Tally'!$C:$C,'Cage tracking'!G$4,'Cage Tally'!$E:$E, "Dark"))</f>
        <v/>
      </c>
      <c r="H38" s="135"/>
      <c r="I38" s="134"/>
      <c r="J38" s="132"/>
      <c r="K38" s="132">
        <f>IF((COUNTIFS('Cage Tally'!$A:$A,$A38,'Cage Tally'!$C:$C,'Cage tracking'!K$4,'Cage Tally'!$E:$E, "Light")=0),"",COUNTIFS('Cage Tally'!$A:$A,$A38,'Cage Tally'!$C:$C,'Cage tracking'!K$4,'Cage Tally'!$E:$E, "Light"))</f>
        <v>2</v>
      </c>
      <c r="L38" s="132" t="str">
        <f>IF((COUNTIFS('Cage Tally'!$A:$A,$A38,'Cage Tally'!$C:$C,'Cage tracking'!L$4,'Cage Tally'!$E:$E, "Light")=0),"",COUNTIFS('Cage Tally'!$A:$A,$A38,'Cage Tally'!$C:$C,'Cage tracking'!L$4,'Cage Tally'!$E:$E, "Light"))</f>
        <v/>
      </c>
      <c r="M38" s="132">
        <f>IF((COUNTIFS('Cage Tally'!$A:$A,$A38,'Cage Tally'!$C:$C,'Cage tracking'!M$4,'Cage Tally'!$E:$E, "Light")=0),"",COUNTIFS('Cage Tally'!$A:$A,$A38,'Cage Tally'!$C:$C,'Cage tracking'!M$4,'Cage Tally'!$E:$E, "Light"))</f>
        <v>2</v>
      </c>
      <c r="N38" s="132">
        <f>IF((COUNTIFS('Cage Tally'!$A:$A,$A38,'Cage Tally'!$C:$C,'Cage tracking'!N$4,'Cage Tally'!$E:$E, "Light")=0),"",COUNTIFS('Cage Tally'!$A:$A,$A38,'Cage Tally'!$C:$C,'Cage tracking'!N$4,'Cage Tally'!$E:$E, "Light"))</f>
        <v>3</v>
      </c>
      <c r="O38" s="132" t="str">
        <f>IF((COUNTIFS('Cage Tally'!$A:$A,$A38,'Cage Tally'!$C:$C,'Cage tracking'!O$4,'Cage Tally'!$E:$E, "Light")=0),"",COUNTIFS('Cage Tally'!$A:$A,$A38,'Cage Tally'!$C:$C,'Cage tracking'!O$4,'Cage Tally'!$E:$E, "Light"))</f>
        <v/>
      </c>
      <c r="P38" s="132" t="str">
        <f>IF((COUNTIFS('Cage Tally'!$A:$A,$A38,'Cage Tally'!$C:$C,'Cage tracking'!P$4,'Cage Tally'!$E:$E, "Light")=0),"",COUNTIFS('Cage Tally'!$A:$A,$A38,'Cage Tally'!$C:$C,'Cage tracking'!P$4,'Cage Tally'!$E:$E, "Light"))</f>
        <v/>
      </c>
      <c r="Q38" s="135"/>
      <c r="R38" s="136"/>
      <c r="S38" s="132" t="str">
        <f>IF((COUNTIFS('Cage Tally'!$A:$A,$A38,'Cage Tally'!$C:$C,'Cage tracking'!S$4,'Cage Tally'!$E:$E, "decomm")=0),"",COUNTIFS('Cage Tally'!$A:$A,$A38,'Cage Tally'!$C:$C,'Cage tracking'!S$4,'Cage Tally'!$E:$E, "decomm"))</f>
        <v/>
      </c>
      <c r="T38" s="132" t="str">
        <f>IF((COUNTIFS('Cage Tally'!$A:$A,$A38,'Cage Tally'!$C:$C,'Cage tracking'!T$4,'Cage Tally'!$E:$E, "decomm")=0),"",COUNTIFS('Cage Tally'!$A:$A,$A38,'Cage Tally'!$C:$C,'Cage tracking'!T$4,'Cage Tally'!$E:$E, "decomm"))</f>
        <v/>
      </c>
      <c r="U38" s="132" t="str">
        <f>IF((COUNTIFS('Cage Tally'!$A:$A,$A38,'Cage Tally'!$C:$C,'Cage tracking'!U$4,'Cage Tally'!$E:$E, "decomm")=0),"",COUNTIFS('Cage Tally'!$A:$A,$A38,'Cage Tally'!$C:$C,'Cage tracking'!U$4,'Cage Tally'!$E:$E, "decomm"))</f>
        <v/>
      </c>
      <c r="V38" s="132" t="str">
        <f>IF((COUNTIFS('Cage Tally'!$A:$A,$A38,'Cage Tally'!$C:$C,'Cage tracking'!V$4,'Cage Tally'!$E:$E, "decomm")=0),"",COUNTIFS('Cage Tally'!$A:$A,$A38,'Cage Tally'!$C:$C,'Cage tracking'!V$4,'Cage Tally'!$E:$E, "decomm"))</f>
        <v/>
      </c>
      <c r="W38" s="132" t="str">
        <f>IF((COUNTIFS('Cage Tally'!$A:$A,$A38,'Cage Tally'!$C:$C,'Cage tracking'!W$4,'Cage Tally'!$E:$E, "decomm")=0),"",COUNTIFS('Cage Tally'!$A:$A,$A38,'Cage Tally'!$C:$C,'Cage tracking'!W$4,'Cage Tally'!$E:$E, "decomm"))</f>
        <v/>
      </c>
      <c r="X38" s="142" t="str">
        <f>IF((COUNTIFS('Cage Tally'!$A:$A,$A38,'Cage Tally'!$C:$C,'Cage tracking'!X$4,'Cage Tally'!$E:$E, "decomm")=0),"",COUNTIFS('Cage Tally'!$A:$A,$A38,'Cage Tally'!$C:$C,'Cage tracking'!X$4,'Cage Tally'!$E:$E, "decomm"))</f>
        <v/>
      </c>
      <c r="Y38" s="273"/>
      <c r="Z38" s="273"/>
      <c r="AA38" s="273"/>
      <c r="AB38" s="273"/>
      <c r="AC38" s="273"/>
      <c r="AD38" s="273"/>
      <c r="AE38" s="273"/>
      <c r="AF38" s="273"/>
      <c r="AG38" s="273"/>
      <c r="AH38" s="273"/>
      <c r="AI38" s="273"/>
      <c r="AJ38" s="273"/>
      <c r="AK38" s="273"/>
      <c r="AL38" s="273"/>
      <c r="AM38" s="273"/>
      <c r="AN38" s="273"/>
      <c r="AO38" s="273"/>
      <c r="AP38" s="273"/>
      <c r="AQ38" s="273"/>
      <c r="AR38" s="273"/>
      <c r="AS38" s="273"/>
      <c r="AT38" s="273"/>
      <c r="AU38" s="273"/>
      <c r="AV38" s="273"/>
    </row>
    <row r="39" spans="1:48" ht="12.75">
      <c r="A39" s="126">
        <v>44089</v>
      </c>
      <c r="B39" s="132" t="str">
        <f>IF((COUNTIFS('Cage Tally'!$A:$A,$A39,'Cage Tally'!$C:$C,'Cage tracking'!B$4,'Cage Tally'!$E:$E, "Dark")=0),"",COUNTIFS('Cage Tally'!$A:$A,$A39,'Cage Tally'!$C:$C,'Cage tracking'!B$4,'Cage Tally'!$E:$E, "Dark"))</f>
        <v/>
      </c>
      <c r="C39" s="132" t="str">
        <f>IF((COUNTIFS('Cage Tally'!$A:$A,$A39,'Cage Tally'!$C:$C,'Cage tracking'!C$4,'Cage Tally'!$E:$E, "Dark")=0),"",COUNTIFS('Cage Tally'!$A:$A,$A39,'Cage Tally'!$C:$C,'Cage tracking'!C$4,'Cage Tally'!$E:$E, "Dark"))</f>
        <v/>
      </c>
      <c r="D39" s="132" t="str">
        <f>IF((COUNTIFS('Cage Tally'!$A:$A,$A39,'Cage Tally'!$C:$C,'Cage tracking'!D$4,'Cage Tally'!$E:$E, "Dark")=0),"",COUNTIFS('Cage Tally'!$A:$A,$A39,'Cage Tally'!$C:$C,'Cage tracking'!D$4,'Cage Tally'!$E:$E, "Dark"))</f>
        <v/>
      </c>
      <c r="E39" s="132" t="str">
        <f>IF((COUNTIFS('Cage Tally'!$A:$A,$A39,'Cage Tally'!$C:$C,'Cage tracking'!E$4,'Cage Tally'!$E:$E, "Dark")=0),"",COUNTIFS('Cage Tally'!$A:$A,$A39,'Cage Tally'!$C:$C,'Cage tracking'!E$4,'Cage Tally'!$E:$E, "Dark"))</f>
        <v/>
      </c>
      <c r="F39" s="132" t="str">
        <f>IF((COUNTIFS('Cage Tally'!$A:$A,$A39,'Cage Tally'!$C:$C,'Cage tracking'!F$4,'Cage Tally'!$E:$E, "Dark")=0),"",COUNTIFS('Cage Tally'!$A:$A,$A39,'Cage Tally'!$C:$C,'Cage tracking'!F$4,'Cage Tally'!$E:$E, "Dark"))</f>
        <v/>
      </c>
      <c r="G39" s="132" t="str">
        <f>IF((COUNTIFS('Cage Tally'!$A:$A,$A39,'Cage Tally'!$C:$C,'Cage tracking'!G$4,'Cage Tally'!$E:$E, "Dark")=0),"",COUNTIFS('Cage Tally'!$A:$A,$A39,'Cage Tally'!$C:$C,'Cage tracking'!G$4,'Cage Tally'!$E:$E, "Dark"))</f>
        <v/>
      </c>
      <c r="H39" s="129"/>
      <c r="I39" s="128"/>
      <c r="J39" s="31"/>
      <c r="K39" s="132" t="str">
        <f>IF((COUNTIFS('Cage Tally'!$A:$A,$A39,'Cage Tally'!$C:$C,'Cage tracking'!K$4,'Cage Tally'!$E:$E, "Light")=0),"",COUNTIFS('Cage Tally'!$A:$A,$A39,'Cage Tally'!$C:$C,'Cage tracking'!K$4,'Cage Tally'!$E:$E, "Light"))</f>
        <v/>
      </c>
      <c r="L39" s="132" t="str">
        <f>IF((COUNTIFS('Cage Tally'!$A:$A,$A39,'Cage Tally'!$C:$C,'Cage tracking'!L$4,'Cage Tally'!$E:$E, "Light")=0),"",COUNTIFS('Cage Tally'!$A:$A,$A39,'Cage Tally'!$C:$C,'Cage tracking'!L$4,'Cage Tally'!$E:$E, "Light"))</f>
        <v/>
      </c>
      <c r="M39" s="132" t="str">
        <f>IF((COUNTIFS('Cage Tally'!$A:$A,$A39,'Cage Tally'!$C:$C,'Cage tracking'!M$4,'Cage Tally'!$E:$E, "Light")=0),"",COUNTIFS('Cage Tally'!$A:$A,$A39,'Cage Tally'!$C:$C,'Cage tracking'!M$4,'Cage Tally'!$E:$E, "Light"))</f>
        <v/>
      </c>
      <c r="N39" s="132" t="str">
        <f>IF((COUNTIFS('Cage Tally'!$A:$A,$A39,'Cage Tally'!$C:$C,'Cage tracking'!N$4,'Cage Tally'!$E:$E, "Light")=0),"",COUNTIFS('Cage Tally'!$A:$A,$A39,'Cage Tally'!$C:$C,'Cage tracking'!N$4,'Cage Tally'!$E:$E, "Light"))</f>
        <v/>
      </c>
      <c r="O39" s="132" t="str">
        <f>IF((COUNTIFS('Cage Tally'!$A:$A,$A39,'Cage Tally'!$C:$C,'Cage tracking'!O$4,'Cage Tally'!$E:$E, "Light")=0),"",COUNTIFS('Cage Tally'!$A:$A,$A39,'Cage Tally'!$C:$C,'Cage tracking'!O$4,'Cage Tally'!$E:$E, "Light"))</f>
        <v/>
      </c>
      <c r="P39" s="132" t="str">
        <f>IF((COUNTIFS('Cage Tally'!$A:$A,$A39,'Cage Tally'!$C:$C,'Cage tracking'!P$4,'Cage Tally'!$E:$E, "Light")=0),"",COUNTIFS('Cage Tally'!$A:$A,$A39,'Cage Tally'!$C:$C,'Cage tracking'!P$4,'Cage Tally'!$E:$E, "Light"))</f>
        <v/>
      </c>
      <c r="Q39" s="135"/>
      <c r="R39" s="130"/>
      <c r="S39" s="132" t="str">
        <f>IF((COUNTIFS('Cage Tally'!$A:$A,$A39,'Cage Tally'!$C:$C,'Cage tracking'!S$4,'Cage Tally'!$E:$E, "decomm")=0),"",COUNTIFS('Cage Tally'!$A:$A,$A39,'Cage Tally'!$C:$C,'Cage tracking'!S$4,'Cage Tally'!$E:$E, "decomm"))</f>
        <v/>
      </c>
      <c r="T39" s="132" t="str">
        <f>IF((COUNTIFS('Cage Tally'!$A:$A,$A39,'Cage Tally'!$C:$C,'Cage tracking'!T$4,'Cage Tally'!$E:$E, "decomm")=0),"",COUNTIFS('Cage Tally'!$A:$A,$A39,'Cage Tally'!$C:$C,'Cage tracking'!T$4,'Cage Tally'!$E:$E, "decomm"))</f>
        <v/>
      </c>
      <c r="U39" s="132" t="str">
        <f>IF((COUNTIFS('Cage Tally'!$A:$A,$A39,'Cage Tally'!$C:$C,'Cage tracking'!U$4,'Cage Tally'!$E:$E, "decomm")=0),"",COUNTIFS('Cage Tally'!$A:$A,$A39,'Cage Tally'!$C:$C,'Cage tracking'!U$4,'Cage Tally'!$E:$E, "decomm"))</f>
        <v/>
      </c>
      <c r="V39" s="132" t="str">
        <f>IF((COUNTIFS('Cage Tally'!$A:$A,$A39,'Cage Tally'!$C:$C,'Cage tracking'!V$4,'Cage Tally'!$E:$E, "decomm")=0),"",COUNTIFS('Cage Tally'!$A:$A,$A39,'Cage Tally'!$C:$C,'Cage tracking'!V$4,'Cage Tally'!$E:$E, "decomm"))</f>
        <v/>
      </c>
      <c r="W39" s="132" t="str">
        <f>IF((COUNTIFS('Cage Tally'!$A:$A,$A39,'Cage Tally'!$C:$C,'Cage tracking'!W$4,'Cage Tally'!$E:$E, "decomm")=0),"",COUNTIFS('Cage Tally'!$A:$A,$A39,'Cage Tally'!$C:$C,'Cage tracking'!W$4,'Cage Tally'!$E:$E, "decomm"))</f>
        <v/>
      </c>
      <c r="X39" s="142" t="str">
        <f>IF((COUNTIFS('Cage Tally'!$A:$A,$A39,'Cage Tally'!$C:$C,'Cage tracking'!X$4,'Cage Tally'!$E:$E, "decomm")=0),"",COUNTIFS('Cage Tally'!$A:$A,$A39,'Cage Tally'!$C:$C,'Cage tracking'!X$4,'Cage Tally'!$E:$E, "decomm"))</f>
        <v/>
      </c>
      <c r="Y39" s="273"/>
      <c r="Z39" s="273"/>
      <c r="AA39" s="273"/>
      <c r="AB39" s="273"/>
      <c r="AC39" s="273"/>
      <c r="AD39" s="273"/>
      <c r="AE39" s="273"/>
      <c r="AF39" s="273"/>
      <c r="AG39" s="273"/>
      <c r="AH39" s="273"/>
      <c r="AI39" s="273"/>
      <c r="AJ39" s="273"/>
      <c r="AK39" s="273"/>
      <c r="AL39" s="273"/>
      <c r="AM39" s="273"/>
      <c r="AN39" s="273"/>
      <c r="AO39" s="273"/>
      <c r="AP39" s="273"/>
      <c r="AQ39" s="273"/>
      <c r="AR39" s="273"/>
      <c r="AS39" s="273"/>
      <c r="AT39" s="273"/>
      <c r="AU39" s="273"/>
      <c r="AV39" s="273"/>
    </row>
    <row r="40" spans="1:48" ht="12.75">
      <c r="A40" s="131">
        <v>44090</v>
      </c>
      <c r="B40" s="132" t="str">
        <f>IF((COUNTIFS('Cage Tally'!$A:$A,$A40,'Cage Tally'!$C:$C,'Cage tracking'!B$4,'Cage Tally'!$E:$E, "Dark")=0),"",COUNTIFS('Cage Tally'!$A:$A,$A40,'Cage Tally'!$C:$C,'Cage tracking'!B$4,'Cage Tally'!$E:$E, "Dark"))</f>
        <v/>
      </c>
      <c r="C40" s="132" t="str">
        <f>IF((COUNTIFS('Cage Tally'!$A:$A,$A40,'Cage Tally'!$C:$C,'Cage tracking'!C$4,'Cage Tally'!$E:$E, "Dark")=0),"",COUNTIFS('Cage Tally'!$A:$A,$A40,'Cage Tally'!$C:$C,'Cage tracking'!C$4,'Cage Tally'!$E:$E, "Dark"))</f>
        <v/>
      </c>
      <c r="D40" s="132" t="str">
        <f>IF((COUNTIFS('Cage Tally'!$A:$A,$A40,'Cage Tally'!$C:$C,'Cage tracking'!D$4,'Cage Tally'!$E:$E, "Dark")=0),"",COUNTIFS('Cage Tally'!$A:$A,$A40,'Cage Tally'!$C:$C,'Cage tracking'!D$4,'Cage Tally'!$E:$E, "Dark"))</f>
        <v/>
      </c>
      <c r="E40" s="132" t="str">
        <f>IF((COUNTIFS('Cage Tally'!$A:$A,$A40,'Cage Tally'!$C:$C,'Cage tracking'!E$4,'Cage Tally'!$E:$E, "Dark")=0),"",COUNTIFS('Cage Tally'!$A:$A,$A40,'Cage Tally'!$C:$C,'Cage tracking'!E$4,'Cage Tally'!$E:$E, "Dark"))</f>
        <v/>
      </c>
      <c r="F40" s="132" t="str">
        <f>IF((COUNTIFS('Cage Tally'!$A:$A,$A40,'Cage Tally'!$C:$C,'Cage tracking'!F$4,'Cage Tally'!$E:$E, "Dark")=0),"",COUNTIFS('Cage Tally'!$A:$A,$A40,'Cage Tally'!$C:$C,'Cage tracking'!F$4,'Cage Tally'!$E:$E, "Dark"))</f>
        <v/>
      </c>
      <c r="G40" s="132" t="str">
        <f>IF((COUNTIFS('Cage Tally'!$A:$A,$A40,'Cage Tally'!$C:$C,'Cage tracking'!G$4,'Cage Tally'!$E:$E, "Dark")=0),"",COUNTIFS('Cage Tally'!$A:$A,$A40,'Cage Tally'!$C:$C,'Cage tracking'!G$4,'Cage Tally'!$E:$E, "Dark"))</f>
        <v/>
      </c>
      <c r="H40" s="135"/>
      <c r="I40" s="134"/>
      <c r="J40" s="132"/>
      <c r="K40" s="132" t="str">
        <f>IF((COUNTIFS('Cage Tally'!$A:$A,$A40,'Cage Tally'!$C:$C,'Cage tracking'!K$4,'Cage Tally'!$E:$E, "Light")=0),"",COUNTIFS('Cage Tally'!$A:$A,$A40,'Cage Tally'!$C:$C,'Cage tracking'!K$4,'Cage Tally'!$E:$E, "Light"))</f>
        <v/>
      </c>
      <c r="L40" s="132" t="str">
        <f>IF((COUNTIFS('Cage Tally'!$A:$A,$A40,'Cage Tally'!$C:$C,'Cage tracking'!L$4,'Cage Tally'!$E:$E, "Light")=0),"",COUNTIFS('Cage Tally'!$A:$A,$A40,'Cage Tally'!$C:$C,'Cage tracking'!L$4,'Cage Tally'!$E:$E, "Light"))</f>
        <v/>
      </c>
      <c r="M40" s="132" t="str">
        <f>IF((COUNTIFS('Cage Tally'!$A:$A,$A40,'Cage Tally'!$C:$C,'Cage tracking'!M$4,'Cage Tally'!$E:$E, "Light")=0),"",COUNTIFS('Cage Tally'!$A:$A,$A40,'Cage Tally'!$C:$C,'Cage tracking'!M$4,'Cage Tally'!$E:$E, "Light"))</f>
        <v/>
      </c>
      <c r="N40" s="132" t="str">
        <f>IF((COUNTIFS('Cage Tally'!$A:$A,$A40,'Cage Tally'!$C:$C,'Cage tracking'!N$4,'Cage Tally'!$E:$E, "Light")=0),"",COUNTIFS('Cage Tally'!$A:$A,$A40,'Cage Tally'!$C:$C,'Cage tracking'!N$4,'Cage Tally'!$E:$E, "Light"))</f>
        <v/>
      </c>
      <c r="O40" s="132" t="str">
        <f>IF((COUNTIFS('Cage Tally'!$A:$A,$A40,'Cage Tally'!$C:$C,'Cage tracking'!O$4,'Cage Tally'!$E:$E, "Light")=0),"",COUNTIFS('Cage Tally'!$A:$A,$A40,'Cage Tally'!$C:$C,'Cage tracking'!O$4,'Cage Tally'!$E:$E, "Light"))</f>
        <v/>
      </c>
      <c r="P40" s="132" t="str">
        <f>IF((COUNTIFS('Cage Tally'!$A:$A,$A40,'Cage Tally'!$C:$C,'Cage tracking'!P$4,'Cage Tally'!$E:$E, "Light")=0),"",COUNTIFS('Cage Tally'!$A:$A,$A40,'Cage Tally'!$C:$C,'Cage tracking'!P$4,'Cage Tally'!$E:$E, "Light"))</f>
        <v/>
      </c>
      <c r="Q40" s="135"/>
      <c r="R40" s="136"/>
      <c r="S40" s="132" t="str">
        <f>IF((COUNTIFS('Cage Tally'!$A:$A,$A40,'Cage Tally'!$C:$C,'Cage tracking'!S$4,'Cage Tally'!$E:$E, "decomm")=0),"",COUNTIFS('Cage Tally'!$A:$A,$A40,'Cage Tally'!$C:$C,'Cage tracking'!S$4,'Cage Tally'!$E:$E, "decomm"))</f>
        <v/>
      </c>
      <c r="T40" s="132" t="str">
        <f>IF((COUNTIFS('Cage Tally'!$A:$A,$A40,'Cage Tally'!$C:$C,'Cage tracking'!T$4,'Cage Tally'!$E:$E, "decomm")=0),"",COUNTIFS('Cage Tally'!$A:$A,$A40,'Cage Tally'!$C:$C,'Cage tracking'!T$4,'Cage Tally'!$E:$E, "decomm"))</f>
        <v/>
      </c>
      <c r="U40" s="132" t="str">
        <f>IF((COUNTIFS('Cage Tally'!$A:$A,$A40,'Cage Tally'!$C:$C,'Cage tracking'!U$4,'Cage Tally'!$E:$E, "decomm")=0),"",COUNTIFS('Cage Tally'!$A:$A,$A40,'Cage Tally'!$C:$C,'Cage tracking'!U$4,'Cage Tally'!$E:$E, "decomm"))</f>
        <v/>
      </c>
      <c r="V40" s="132" t="str">
        <f>IF((COUNTIFS('Cage Tally'!$A:$A,$A40,'Cage Tally'!$C:$C,'Cage tracking'!V$4,'Cage Tally'!$E:$E, "decomm")=0),"",COUNTIFS('Cage Tally'!$A:$A,$A40,'Cage Tally'!$C:$C,'Cage tracking'!V$4,'Cage Tally'!$E:$E, "decomm"))</f>
        <v/>
      </c>
      <c r="W40" s="132" t="str">
        <f>IF((COUNTIFS('Cage Tally'!$A:$A,$A40,'Cage Tally'!$C:$C,'Cage tracking'!W$4,'Cage Tally'!$E:$E, "decomm")=0),"",COUNTIFS('Cage Tally'!$A:$A,$A40,'Cage Tally'!$C:$C,'Cage tracking'!W$4,'Cage Tally'!$E:$E, "decomm"))</f>
        <v/>
      </c>
      <c r="X40" s="142" t="str">
        <f>IF((COUNTIFS('Cage Tally'!$A:$A,$A40,'Cage Tally'!$C:$C,'Cage tracking'!X$4,'Cage Tally'!$E:$E, "decomm")=0),"",COUNTIFS('Cage Tally'!$A:$A,$A40,'Cage Tally'!$C:$C,'Cage tracking'!X$4,'Cage Tally'!$E:$E, "decomm"))</f>
        <v/>
      </c>
      <c r="Y40" s="273"/>
      <c r="Z40" s="273"/>
      <c r="AA40" s="273"/>
      <c r="AB40" s="273"/>
      <c r="AC40" s="273"/>
      <c r="AD40" s="273"/>
      <c r="AE40" s="273"/>
      <c r="AF40" s="273"/>
      <c r="AG40" s="273"/>
      <c r="AH40" s="273"/>
      <c r="AI40" s="273"/>
      <c r="AJ40" s="273"/>
      <c r="AK40" s="273"/>
      <c r="AL40" s="273"/>
      <c r="AM40" s="273"/>
      <c r="AN40" s="273"/>
      <c r="AO40" s="273"/>
      <c r="AP40" s="273"/>
      <c r="AQ40" s="273"/>
      <c r="AR40" s="273"/>
      <c r="AS40" s="273"/>
      <c r="AT40" s="273"/>
      <c r="AU40" s="273"/>
      <c r="AV40" s="273"/>
    </row>
    <row r="41" spans="1:48" ht="12.75">
      <c r="A41" s="126">
        <v>44091</v>
      </c>
      <c r="B41" s="132" t="str">
        <f>IF((COUNTIFS('Cage Tally'!$A:$A,$A41,'Cage Tally'!$C:$C,'Cage tracking'!B$4,'Cage Tally'!$E:$E, "Dark")=0),"",COUNTIFS('Cage Tally'!$A:$A,$A41,'Cage Tally'!$C:$C,'Cage tracking'!B$4,'Cage Tally'!$E:$E, "Dark"))</f>
        <v/>
      </c>
      <c r="C41" s="132" t="str">
        <f>IF((COUNTIFS('Cage Tally'!$A:$A,$A41,'Cage Tally'!$C:$C,'Cage tracking'!C$4,'Cage Tally'!$E:$E, "Dark")=0),"",COUNTIFS('Cage Tally'!$A:$A,$A41,'Cage Tally'!$C:$C,'Cage tracking'!C$4,'Cage Tally'!$E:$E, "Dark"))</f>
        <v/>
      </c>
      <c r="D41" s="132" t="str">
        <f>IF((COUNTIFS('Cage Tally'!$A:$A,$A41,'Cage Tally'!$C:$C,'Cage tracking'!D$4,'Cage Tally'!$E:$E, "Dark")=0),"",COUNTIFS('Cage Tally'!$A:$A,$A41,'Cage Tally'!$C:$C,'Cage tracking'!D$4,'Cage Tally'!$E:$E, "Dark"))</f>
        <v/>
      </c>
      <c r="E41" s="132" t="str">
        <f>IF((COUNTIFS('Cage Tally'!$A:$A,$A41,'Cage Tally'!$C:$C,'Cage tracking'!E$4,'Cage Tally'!$E:$E, "Dark")=0),"",COUNTIFS('Cage Tally'!$A:$A,$A41,'Cage Tally'!$C:$C,'Cage tracking'!E$4,'Cage Tally'!$E:$E, "Dark"))</f>
        <v/>
      </c>
      <c r="F41" s="132" t="str">
        <f>IF((COUNTIFS('Cage Tally'!$A:$A,$A41,'Cage Tally'!$C:$C,'Cage tracking'!F$4,'Cage Tally'!$E:$E, "Dark")=0),"",COUNTIFS('Cage Tally'!$A:$A,$A41,'Cage Tally'!$C:$C,'Cage tracking'!F$4,'Cage Tally'!$E:$E, "Dark"))</f>
        <v/>
      </c>
      <c r="G41" s="132" t="str">
        <f>IF((COUNTIFS('Cage Tally'!$A:$A,$A41,'Cage Tally'!$C:$C,'Cage tracking'!G$4,'Cage Tally'!$E:$E, "Dark")=0),"",COUNTIFS('Cage Tally'!$A:$A,$A41,'Cage Tally'!$C:$C,'Cage tracking'!G$4,'Cage Tally'!$E:$E, "Dark"))</f>
        <v/>
      </c>
      <c r="H41" s="129"/>
      <c r="I41" s="128"/>
      <c r="J41" s="31"/>
      <c r="K41" s="132" t="str">
        <f>IF((COUNTIFS('Cage Tally'!$A:$A,$A41,'Cage Tally'!$C:$C,'Cage tracking'!K$4,'Cage Tally'!$E:$E, "Light")=0),"",COUNTIFS('Cage Tally'!$A:$A,$A41,'Cage Tally'!$C:$C,'Cage tracking'!K$4,'Cage Tally'!$E:$E, "Light"))</f>
        <v/>
      </c>
      <c r="L41" s="132" t="str">
        <f>IF((COUNTIFS('Cage Tally'!$A:$A,$A41,'Cage Tally'!$C:$C,'Cage tracking'!L$4,'Cage Tally'!$E:$E, "Light")=0),"",COUNTIFS('Cage Tally'!$A:$A,$A41,'Cage Tally'!$C:$C,'Cage tracking'!L$4,'Cage Tally'!$E:$E, "Light"))</f>
        <v/>
      </c>
      <c r="M41" s="132" t="str">
        <f>IF((COUNTIFS('Cage Tally'!$A:$A,$A41,'Cage Tally'!$C:$C,'Cage tracking'!M$4,'Cage Tally'!$E:$E, "Light")=0),"",COUNTIFS('Cage Tally'!$A:$A,$A41,'Cage Tally'!$C:$C,'Cage tracking'!M$4,'Cage Tally'!$E:$E, "Light"))</f>
        <v/>
      </c>
      <c r="N41" s="132" t="str">
        <f>IF((COUNTIFS('Cage Tally'!$A:$A,$A41,'Cage Tally'!$C:$C,'Cage tracking'!N$4,'Cage Tally'!$E:$E, "Light")=0),"",COUNTIFS('Cage Tally'!$A:$A,$A41,'Cage Tally'!$C:$C,'Cage tracking'!N$4,'Cage Tally'!$E:$E, "Light"))</f>
        <v/>
      </c>
      <c r="O41" s="132" t="str">
        <f>IF((COUNTIFS('Cage Tally'!$A:$A,$A41,'Cage Tally'!$C:$C,'Cage tracking'!O$4,'Cage Tally'!$E:$E, "Light")=0),"",COUNTIFS('Cage Tally'!$A:$A,$A41,'Cage Tally'!$C:$C,'Cage tracking'!O$4,'Cage Tally'!$E:$E, "Light"))</f>
        <v/>
      </c>
      <c r="P41" s="132" t="str">
        <f>IF((COUNTIFS('Cage Tally'!$A:$A,$A41,'Cage Tally'!$C:$C,'Cage tracking'!P$4,'Cage Tally'!$E:$E, "Light")=0),"",COUNTIFS('Cage Tally'!$A:$A,$A41,'Cage Tally'!$C:$C,'Cage tracking'!P$4,'Cage Tally'!$E:$E, "Light"))</f>
        <v/>
      </c>
      <c r="Q41" s="135"/>
      <c r="R41" s="130"/>
      <c r="S41" s="132" t="str">
        <f>IF((COUNTIFS('Cage Tally'!$A:$A,$A41,'Cage Tally'!$C:$C,'Cage tracking'!S$4,'Cage Tally'!$E:$E, "decomm")=0),"",COUNTIFS('Cage Tally'!$A:$A,$A41,'Cage Tally'!$C:$C,'Cage tracking'!S$4,'Cage Tally'!$E:$E, "decomm"))</f>
        <v/>
      </c>
      <c r="T41" s="132" t="str">
        <f>IF((COUNTIFS('Cage Tally'!$A:$A,$A41,'Cage Tally'!$C:$C,'Cage tracking'!T$4,'Cage Tally'!$E:$E, "decomm")=0),"",COUNTIFS('Cage Tally'!$A:$A,$A41,'Cage Tally'!$C:$C,'Cage tracking'!T$4,'Cage Tally'!$E:$E, "decomm"))</f>
        <v/>
      </c>
      <c r="U41" s="132" t="str">
        <f>IF((COUNTIFS('Cage Tally'!$A:$A,$A41,'Cage Tally'!$C:$C,'Cage tracking'!U$4,'Cage Tally'!$E:$E, "decomm")=0),"",COUNTIFS('Cage Tally'!$A:$A,$A41,'Cage Tally'!$C:$C,'Cage tracking'!U$4,'Cage Tally'!$E:$E, "decomm"))</f>
        <v/>
      </c>
      <c r="V41" s="132" t="str">
        <f>IF((COUNTIFS('Cage Tally'!$A:$A,$A41,'Cage Tally'!$C:$C,'Cage tracking'!V$4,'Cage Tally'!$E:$E, "decomm")=0),"",COUNTIFS('Cage Tally'!$A:$A,$A41,'Cage Tally'!$C:$C,'Cage tracking'!V$4,'Cage Tally'!$E:$E, "decomm"))</f>
        <v/>
      </c>
      <c r="W41" s="132" t="str">
        <f>IF((COUNTIFS('Cage Tally'!$A:$A,$A41,'Cage Tally'!$C:$C,'Cage tracking'!W$4,'Cage Tally'!$E:$E, "decomm")=0),"",COUNTIFS('Cage Tally'!$A:$A,$A41,'Cage Tally'!$C:$C,'Cage tracking'!W$4,'Cage Tally'!$E:$E, "decomm"))</f>
        <v/>
      </c>
      <c r="X41" s="142" t="str">
        <f>IF((COUNTIFS('Cage Tally'!$A:$A,$A41,'Cage Tally'!$C:$C,'Cage tracking'!X$4,'Cage Tally'!$E:$E, "decomm")=0),"",COUNTIFS('Cage Tally'!$A:$A,$A41,'Cage Tally'!$C:$C,'Cage tracking'!X$4,'Cage Tally'!$E:$E, "decomm"))</f>
        <v/>
      </c>
      <c r="Y41" s="273"/>
      <c r="Z41" s="273"/>
      <c r="AA41" s="273"/>
      <c r="AB41" s="273"/>
      <c r="AC41" s="273"/>
      <c r="AD41" s="273"/>
      <c r="AE41" s="273"/>
      <c r="AF41" s="273"/>
      <c r="AG41" s="273"/>
      <c r="AH41" s="273"/>
      <c r="AI41" s="273"/>
      <c r="AJ41" s="273"/>
      <c r="AK41" s="273"/>
      <c r="AL41" s="273"/>
      <c r="AM41" s="273"/>
      <c r="AN41" s="273"/>
      <c r="AO41" s="273"/>
      <c r="AP41" s="273"/>
      <c r="AQ41" s="273"/>
      <c r="AR41" s="273"/>
      <c r="AS41" s="273"/>
      <c r="AT41" s="273"/>
      <c r="AU41" s="273"/>
      <c r="AV41" s="273"/>
    </row>
    <row r="42" spans="1:48" ht="12.75">
      <c r="A42" s="131">
        <v>44092</v>
      </c>
      <c r="B42" s="132" t="str">
        <f>IF((COUNTIFS('Cage Tally'!$A:$A,$A42,'Cage Tally'!$C:$C,'Cage tracking'!B$4,'Cage Tally'!$E:$E, "Dark")=0),"",COUNTIFS('Cage Tally'!$A:$A,$A42,'Cage Tally'!$C:$C,'Cage tracking'!B$4,'Cage Tally'!$E:$E, "Dark"))</f>
        <v/>
      </c>
      <c r="C42" s="132">
        <f>IF((COUNTIFS('Cage Tally'!$A:$A,$A42,'Cage Tally'!$C:$C,'Cage tracking'!C$4,'Cage Tally'!$E:$E, "Dark")=0),"",COUNTIFS('Cage Tally'!$A:$A,$A42,'Cage Tally'!$C:$C,'Cage tracking'!C$4,'Cage Tally'!$E:$E, "Dark"))</f>
        <v>1</v>
      </c>
      <c r="D42" s="132">
        <f>IF((COUNTIFS('Cage Tally'!$A:$A,$A42,'Cage Tally'!$C:$C,'Cage tracking'!D$4,'Cage Tally'!$E:$E, "Dark")=0),"",COUNTIFS('Cage Tally'!$A:$A,$A42,'Cage Tally'!$C:$C,'Cage tracking'!D$4,'Cage Tally'!$E:$E, "Dark"))</f>
        <v>1</v>
      </c>
      <c r="E42" s="132" t="str">
        <f>IF((COUNTIFS('Cage Tally'!$A:$A,$A42,'Cage Tally'!$C:$C,'Cage tracking'!E$4,'Cage Tally'!$E:$E, "Dark")=0),"",COUNTIFS('Cage Tally'!$A:$A,$A42,'Cage Tally'!$C:$C,'Cage tracking'!E$4,'Cage Tally'!$E:$E, "Dark"))</f>
        <v/>
      </c>
      <c r="F42" s="132" t="str">
        <f>IF((COUNTIFS('Cage Tally'!$A:$A,$A42,'Cage Tally'!$C:$C,'Cage tracking'!F$4,'Cage Tally'!$E:$E, "Dark")=0),"",COUNTIFS('Cage Tally'!$A:$A,$A42,'Cage Tally'!$C:$C,'Cage tracking'!F$4,'Cage Tally'!$E:$E, "Dark"))</f>
        <v/>
      </c>
      <c r="G42" s="132" t="str">
        <f>IF((COUNTIFS('Cage Tally'!$A:$A,$A42,'Cage Tally'!$C:$C,'Cage tracking'!G$4,'Cage Tally'!$E:$E, "Dark")=0),"",COUNTIFS('Cage Tally'!$A:$A,$A42,'Cage Tally'!$C:$C,'Cage tracking'!G$4,'Cage Tally'!$E:$E, "Dark"))</f>
        <v/>
      </c>
      <c r="H42" s="135"/>
      <c r="I42" s="134"/>
      <c r="J42" s="132"/>
      <c r="K42" s="132">
        <f>IF((COUNTIFS('Cage Tally'!$A:$A,$A42,'Cage Tally'!$C:$C,'Cage tracking'!K$4,'Cage Tally'!$E:$E, "Light")=0),"",COUNTIFS('Cage Tally'!$A:$A,$A42,'Cage Tally'!$C:$C,'Cage tracking'!K$4,'Cage Tally'!$E:$E, "Light"))</f>
        <v>1</v>
      </c>
      <c r="L42" s="132" t="str">
        <f>IF((COUNTIFS('Cage Tally'!$A:$A,$A42,'Cage Tally'!$C:$C,'Cage tracking'!L$4,'Cage Tally'!$E:$E, "Light")=0),"",COUNTIFS('Cage Tally'!$A:$A,$A42,'Cage Tally'!$C:$C,'Cage tracking'!L$4,'Cage Tally'!$E:$E, "Light"))</f>
        <v/>
      </c>
      <c r="M42" s="132">
        <f>IF((COUNTIFS('Cage Tally'!$A:$A,$A42,'Cage Tally'!$C:$C,'Cage tracking'!M$4,'Cage Tally'!$E:$E, "Light")=0),"",COUNTIFS('Cage Tally'!$A:$A,$A42,'Cage Tally'!$C:$C,'Cage tracking'!M$4,'Cage Tally'!$E:$E, "Light"))</f>
        <v>3</v>
      </c>
      <c r="N42" s="132">
        <f>IF((COUNTIFS('Cage Tally'!$A:$A,$A42,'Cage Tally'!$C:$C,'Cage tracking'!N$4,'Cage Tally'!$E:$E, "Light")=0),"",COUNTIFS('Cage Tally'!$A:$A,$A42,'Cage Tally'!$C:$C,'Cage tracking'!N$4,'Cage Tally'!$E:$E, "Light"))</f>
        <v>8</v>
      </c>
      <c r="O42" s="132" t="str">
        <f>IF((COUNTIFS('Cage Tally'!$A:$A,$A42,'Cage Tally'!$C:$C,'Cage tracking'!O$4,'Cage Tally'!$E:$E, "Light")=0),"",COUNTIFS('Cage Tally'!$A:$A,$A42,'Cage Tally'!$C:$C,'Cage tracking'!O$4,'Cage Tally'!$E:$E, "Light"))</f>
        <v/>
      </c>
      <c r="P42" s="132" t="str">
        <f>IF((COUNTIFS('Cage Tally'!$A:$A,$A42,'Cage Tally'!$C:$C,'Cage tracking'!P$4,'Cage Tally'!$E:$E, "Light")=0),"",COUNTIFS('Cage Tally'!$A:$A,$A42,'Cage Tally'!$C:$C,'Cage tracking'!P$4,'Cage Tally'!$E:$E, "Light"))</f>
        <v/>
      </c>
      <c r="Q42" s="135"/>
      <c r="R42" s="136"/>
      <c r="S42" s="132" t="str">
        <f>IF((COUNTIFS('Cage Tally'!$A:$A,$A42,'Cage Tally'!$C:$C,'Cage tracking'!S$4,'Cage Tally'!$E:$E, "decomm")=0),"",COUNTIFS('Cage Tally'!$A:$A,$A42,'Cage Tally'!$C:$C,'Cage tracking'!S$4,'Cage Tally'!$E:$E, "decomm"))</f>
        <v/>
      </c>
      <c r="T42" s="132" t="str">
        <f>IF((COUNTIFS('Cage Tally'!$A:$A,$A42,'Cage Tally'!$C:$C,'Cage tracking'!T$4,'Cage Tally'!$E:$E, "decomm")=0),"",COUNTIFS('Cage Tally'!$A:$A,$A42,'Cage Tally'!$C:$C,'Cage tracking'!T$4,'Cage Tally'!$E:$E, "decomm"))</f>
        <v/>
      </c>
      <c r="U42" s="132" t="str">
        <f>IF((COUNTIFS('Cage Tally'!$A:$A,$A42,'Cage Tally'!$C:$C,'Cage tracking'!U$4,'Cage Tally'!$E:$E, "decomm")=0),"",COUNTIFS('Cage Tally'!$A:$A,$A42,'Cage Tally'!$C:$C,'Cage tracking'!U$4,'Cage Tally'!$E:$E, "decomm"))</f>
        <v/>
      </c>
      <c r="V42" s="132" t="str">
        <f>IF((COUNTIFS('Cage Tally'!$A:$A,$A42,'Cage Tally'!$C:$C,'Cage tracking'!V$4,'Cage Tally'!$E:$E, "decomm")=0),"",COUNTIFS('Cage Tally'!$A:$A,$A42,'Cage Tally'!$C:$C,'Cage tracking'!V$4,'Cage Tally'!$E:$E, "decomm"))</f>
        <v/>
      </c>
      <c r="W42" s="132" t="str">
        <f>IF((COUNTIFS('Cage Tally'!$A:$A,$A42,'Cage Tally'!$C:$C,'Cage tracking'!W$4,'Cage Tally'!$E:$E, "decomm")=0),"",COUNTIFS('Cage Tally'!$A:$A,$A42,'Cage Tally'!$C:$C,'Cage tracking'!W$4,'Cage Tally'!$E:$E, "decomm"))</f>
        <v/>
      </c>
      <c r="X42" s="142" t="str">
        <f>IF((COUNTIFS('Cage Tally'!$A:$A,$A42,'Cage Tally'!$C:$C,'Cage tracking'!X$4,'Cage Tally'!$E:$E, "decomm")=0),"",COUNTIFS('Cage Tally'!$A:$A,$A42,'Cage Tally'!$C:$C,'Cage tracking'!X$4,'Cage Tally'!$E:$E, "decomm"))</f>
        <v/>
      </c>
      <c r="Y42" s="273"/>
      <c r="Z42" s="273"/>
      <c r="AA42" s="273"/>
      <c r="AB42" s="273"/>
      <c r="AC42" s="273"/>
      <c r="AD42" s="273"/>
      <c r="AE42" s="273"/>
      <c r="AF42" s="273"/>
      <c r="AG42" s="273"/>
      <c r="AH42" s="273"/>
      <c r="AI42" s="273"/>
      <c r="AJ42" s="273"/>
      <c r="AK42" s="273"/>
      <c r="AL42" s="273"/>
      <c r="AM42" s="273"/>
      <c r="AN42" s="273"/>
      <c r="AO42" s="273"/>
      <c r="AP42" s="273"/>
      <c r="AQ42" s="273"/>
      <c r="AR42" s="273"/>
      <c r="AS42" s="273"/>
      <c r="AT42" s="273"/>
      <c r="AU42" s="273"/>
      <c r="AV42" s="273"/>
    </row>
    <row r="43" spans="1:48" ht="12.75">
      <c r="A43" s="126">
        <v>44093</v>
      </c>
      <c r="B43" s="132" t="str">
        <f>IF((COUNTIFS('Cage Tally'!$A:$A,$A43,'Cage Tally'!$C:$C,'Cage tracking'!B$4,'Cage Tally'!$E:$E, "Dark")=0),"",COUNTIFS('Cage Tally'!$A:$A,$A43,'Cage Tally'!$C:$C,'Cage tracking'!B$4,'Cage Tally'!$E:$E, "Dark"))</f>
        <v/>
      </c>
      <c r="C43" s="132" t="str">
        <f>IF((COUNTIFS('Cage Tally'!$A:$A,$A43,'Cage Tally'!$C:$C,'Cage tracking'!C$4,'Cage Tally'!$E:$E, "Dark")=0),"",COUNTIFS('Cage Tally'!$A:$A,$A43,'Cage Tally'!$C:$C,'Cage tracking'!C$4,'Cage Tally'!$E:$E, "Dark"))</f>
        <v/>
      </c>
      <c r="D43" s="132" t="str">
        <f>IF((COUNTIFS('Cage Tally'!$A:$A,$A43,'Cage Tally'!$C:$C,'Cage tracking'!D$4,'Cage Tally'!$E:$E, "Dark")=0),"",COUNTIFS('Cage Tally'!$A:$A,$A43,'Cage Tally'!$C:$C,'Cage tracking'!D$4,'Cage Tally'!$E:$E, "Dark"))</f>
        <v/>
      </c>
      <c r="E43" s="132" t="str">
        <f>IF((COUNTIFS('Cage Tally'!$A:$A,$A43,'Cage Tally'!$C:$C,'Cage tracking'!E$4,'Cage Tally'!$E:$E, "Dark")=0),"",COUNTIFS('Cage Tally'!$A:$A,$A43,'Cage Tally'!$C:$C,'Cage tracking'!E$4,'Cage Tally'!$E:$E, "Dark"))</f>
        <v/>
      </c>
      <c r="F43" s="132" t="str">
        <f>IF((COUNTIFS('Cage Tally'!$A:$A,$A43,'Cage Tally'!$C:$C,'Cage tracking'!F$4,'Cage Tally'!$E:$E, "Dark")=0),"",COUNTIFS('Cage Tally'!$A:$A,$A43,'Cage Tally'!$C:$C,'Cage tracking'!F$4,'Cage Tally'!$E:$E, "Dark"))</f>
        <v/>
      </c>
      <c r="G43" s="132" t="str">
        <f>IF((COUNTIFS('Cage Tally'!$A:$A,$A43,'Cage Tally'!$C:$C,'Cage tracking'!G$4,'Cage Tally'!$E:$E, "Dark")=0),"",COUNTIFS('Cage Tally'!$A:$A,$A43,'Cage Tally'!$C:$C,'Cage tracking'!G$4,'Cage Tally'!$E:$E, "Dark"))</f>
        <v/>
      </c>
      <c r="H43" s="129"/>
      <c r="I43" s="128"/>
      <c r="J43" s="31"/>
      <c r="K43" s="132" t="str">
        <f>IF((COUNTIFS('Cage Tally'!$A:$A,$A43,'Cage Tally'!$C:$C,'Cage tracking'!K$4,'Cage Tally'!$E:$E, "Light")=0),"",COUNTIFS('Cage Tally'!$A:$A,$A43,'Cage Tally'!$C:$C,'Cage tracking'!K$4,'Cage Tally'!$E:$E, "Light"))</f>
        <v/>
      </c>
      <c r="L43" s="132" t="str">
        <f>IF((COUNTIFS('Cage Tally'!$A:$A,$A43,'Cage Tally'!$C:$C,'Cage tracking'!L$4,'Cage Tally'!$E:$E, "Light")=0),"",COUNTIFS('Cage Tally'!$A:$A,$A43,'Cage Tally'!$C:$C,'Cage tracking'!L$4,'Cage Tally'!$E:$E, "Light"))</f>
        <v/>
      </c>
      <c r="M43" s="132" t="str">
        <f>IF((COUNTIFS('Cage Tally'!$A:$A,$A43,'Cage Tally'!$C:$C,'Cage tracking'!M$4,'Cage Tally'!$E:$E, "Light")=0),"",COUNTIFS('Cage Tally'!$A:$A,$A43,'Cage Tally'!$C:$C,'Cage tracking'!M$4,'Cage Tally'!$E:$E, "Light"))</f>
        <v/>
      </c>
      <c r="N43" s="132" t="str">
        <f>IF((COUNTIFS('Cage Tally'!$A:$A,$A43,'Cage Tally'!$C:$C,'Cage tracking'!N$4,'Cage Tally'!$E:$E, "Light")=0),"",COUNTIFS('Cage Tally'!$A:$A,$A43,'Cage Tally'!$C:$C,'Cage tracking'!N$4,'Cage Tally'!$E:$E, "Light"))</f>
        <v/>
      </c>
      <c r="O43" s="132" t="str">
        <f>IF((COUNTIFS('Cage Tally'!$A:$A,$A43,'Cage Tally'!$C:$C,'Cage tracking'!O$4,'Cage Tally'!$E:$E, "Light")=0),"",COUNTIFS('Cage Tally'!$A:$A,$A43,'Cage Tally'!$C:$C,'Cage tracking'!O$4,'Cage Tally'!$E:$E, "Light"))</f>
        <v/>
      </c>
      <c r="P43" s="132" t="str">
        <f>IF((COUNTIFS('Cage Tally'!$A:$A,$A43,'Cage Tally'!$C:$C,'Cage tracking'!P$4,'Cage Tally'!$E:$E, "Light")=0),"",COUNTIFS('Cage Tally'!$A:$A,$A43,'Cage Tally'!$C:$C,'Cage tracking'!P$4,'Cage Tally'!$E:$E, "Light"))</f>
        <v/>
      </c>
      <c r="Q43" s="135"/>
      <c r="R43" s="130"/>
      <c r="S43" s="132" t="str">
        <f>IF((COUNTIFS('Cage Tally'!$A:$A,$A43,'Cage Tally'!$C:$C,'Cage tracking'!S$4,'Cage Tally'!$E:$E, "decomm")=0),"",COUNTIFS('Cage Tally'!$A:$A,$A43,'Cage Tally'!$C:$C,'Cage tracking'!S$4,'Cage Tally'!$E:$E, "decomm"))</f>
        <v/>
      </c>
      <c r="T43" s="132" t="str">
        <f>IF((COUNTIFS('Cage Tally'!$A:$A,$A43,'Cage Tally'!$C:$C,'Cage tracking'!T$4,'Cage Tally'!$E:$E, "decomm")=0),"",COUNTIFS('Cage Tally'!$A:$A,$A43,'Cage Tally'!$C:$C,'Cage tracking'!T$4,'Cage Tally'!$E:$E, "decomm"))</f>
        <v/>
      </c>
      <c r="U43" s="132" t="str">
        <f>IF((COUNTIFS('Cage Tally'!$A:$A,$A43,'Cage Tally'!$C:$C,'Cage tracking'!U$4,'Cage Tally'!$E:$E, "decomm")=0),"",COUNTIFS('Cage Tally'!$A:$A,$A43,'Cage Tally'!$C:$C,'Cage tracking'!U$4,'Cage Tally'!$E:$E, "decomm"))</f>
        <v/>
      </c>
      <c r="V43" s="132" t="str">
        <f>IF((COUNTIFS('Cage Tally'!$A:$A,$A43,'Cage Tally'!$C:$C,'Cage tracking'!V$4,'Cage Tally'!$E:$E, "decomm")=0),"",COUNTIFS('Cage Tally'!$A:$A,$A43,'Cage Tally'!$C:$C,'Cage tracking'!V$4,'Cage Tally'!$E:$E, "decomm"))</f>
        <v/>
      </c>
      <c r="W43" s="132" t="str">
        <f>IF((COUNTIFS('Cage Tally'!$A:$A,$A43,'Cage Tally'!$C:$C,'Cage tracking'!W$4,'Cage Tally'!$E:$E, "decomm")=0),"",COUNTIFS('Cage Tally'!$A:$A,$A43,'Cage Tally'!$C:$C,'Cage tracking'!W$4,'Cage Tally'!$E:$E, "decomm"))</f>
        <v/>
      </c>
      <c r="X43" s="142" t="str">
        <f>IF((COUNTIFS('Cage Tally'!$A:$A,$A43,'Cage Tally'!$C:$C,'Cage tracking'!X$4,'Cage Tally'!$E:$E, "decomm")=0),"",COUNTIFS('Cage Tally'!$A:$A,$A43,'Cage Tally'!$C:$C,'Cage tracking'!X$4,'Cage Tally'!$E:$E, "decomm"))</f>
        <v/>
      </c>
      <c r="Y43" s="273"/>
      <c r="Z43" s="273"/>
      <c r="AA43" s="273"/>
      <c r="AB43" s="273"/>
      <c r="AC43" s="273"/>
      <c r="AD43" s="273"/>
      <c r="AE43" s="273"/>
      <c r="AF43" s="273"/>
      <c r="AG43" s="273"/>
      <c r="AH43" s="273"/>
      <c r="AI43" s="273"/>
      <c r="AJ43" s="273"/>
      <c r="AK43" s="273"/>
      <c r="AL43" s="273"/>
      <c r="AM43" s="273"/>
      <c r="AN43" s="273"/>
      <c r="AO43" s="273"/>
      <c r="AP43" s="273"/>
      <c r="AQ43" s="273"/>
      <c r="AR43" s="273"/>
      <c r="AS43" s="273"/>
      <c r="AT43" s="273"/>
      <c r="AU43" s="273"/>
      <c r="AV43" s="273"/>
    </row>
    <row r="44" spans="1:48" ht="12.75">
      <c r="A44" s="131">
        <v>44094</v>
      </c>
      <c r="B44" s="132" t="str">
        <f>IF((COUNTIFS('Cage Tally'!$A:$A,$A44,'Cage Tally'!$C:$C,'Cage tracking'!B$4,'Cage Tally'!$E:$E, "Dark")=0),"",COUNTIFS('Cage Tally'!$A:$A,$A44,'Cage Tally'!$C:$C,'Cage tracking'!B$4,'Cage Tally'!$E:$E, "Dark"))</f>
        <v/>
      </c>
      <c r="C44" s="132" t="str">
        <f>IF((COUNTIFS('Cage Tally'!$A:$A,$A44,'Cage Tally'!$C:$C,'Cage tracking'!C$4,'Cage Tally'!$E:$E, "Dark")=0),"",COUNTIFS('Cage Tally'!$A:$A,$A44,'Cage Tally'!$C:$C,'Cage tracking'!C$4,'Cage Tally'!$E:$E, "Dark"))</f>
        <v/>
      </c>
      <c r="D44" s="132" t="str">
        <f>IF((COUNTIFS('Cage Tally'!$A:$A,$A44,'Cage Tally'!$C:$C,'Cage tracking'!D$4,'Cage Tally'!$E:$E, "Dark")=0),"",COUNTIFS('Cage Tally'!$A:$A,$A44,'Cage Tally'!$C:$C,'Cage tracking'!D$4,'Cage Tally'!$E:$E, "Dark"))</f>
        <v/>
      </c>
      <c r="E44" s="132" t="str">
        <f>IF((COUNTIFS('Cage Tally'!$A:$A,$A44,'Cage Tally'!$C:$C,'Cage tracking'!E$4,'Cage Tally'!$E:$E, "Dark")=0),"",COUNTIFS('Cage Tally'!$A:$A,$A44,'Cage Tally'!$C:$C,'Cage tracking'!E$4,'Cage Tally'!$E:$E, "Dark"))</f>
        <v/>
      </c>
      <c r="F44" s="132" t="str">
        <f>IF((COUNTIFS('Cage Tally'!$A:$A,$A44,'Cage Tally'!$C:$C,'Cage tracking'!F$4,'Cage Tally'!$E:$E, "Dark")=0),"",COUNTIFS('Cage Tally'!$A:$A,$A44,'Cage Tally'!$C:$C,'Cage tracking'!F$4,'Cage Tally'!$E:$E, "Dark"))</f>
        <v/>
      </c>
      <c r="G44" s="132" t="str">
        <f>IF((COUNTIFS('Cage Tally'!$A:$A,$A44,'Cage Tally'!$C:$C,'Cage tracking'!G$4,'Cage Tally'!$E:$E, "Dark")=0),"",COUNTIFS('Cage Tally'!$A:$A,$A44,'Cage Tally'!$C:$C,'Cage tracking'!G$4,'Cage Tally'!$E:$E, "Dark"))</f>
        <v/>
      </c>
      <c r="H44" s="135"/>
      <c r="I44" s="134"/>
      <c r="J44" s="132"/>
      <c r="K44" s="132" t="str">
        <f>IF((COUNTIFS('Cage Tally'!$A:$A,$A44,'Cage Tally'!$C:$C,'Cage tracking'!K$4,'Cage Tally'!$E:$E, "Light")=0),"",COUNTIFS('Cage Tally'!$A:$A,$A44,'Cage Tally'!$C:$C,'Cage tracking'!K$4,'Cage Tally'!$E:$E, "Light"))</f>
        <v/>
      </c>
      <c r="L44" s="132" t="str">
        <f>IF((COUNTIFS('Cage Tally'!$A:$A,$A44,'Cage Tally'!$C:$C,'Cage tracking'!L$4,'Cage Tally'!$E:$E, "Light")=0),"",COUNTIFS('Cage Tally'!$A:$A,$A44,'Cage Tally'!$C:$C,'Cage tracking'!L$4,'Cage Tally'!$E:$E, "Light"))</f>
        <v/>
      </c>
      <c r="M44" s="132" t="str">
        <f>IF((COUNTIFS('Cage Tally'!$A:$A,$A44,'Cage Tally'!$C:$C,'Cage tracking'!M$4,'Cage Tally'!$E:$E, "Light")=0),"",COUNTIFS('Cage Tally'!$A:$A,$A44,'Cage Tally'!$C:$C,'Cage tracking'!M$4,'Cage Tally'!$E:$E, "Light"))</f>
        <v/>
      </c>
      <c r="N44" s="132" t="str">
        <f>IF((COUNTIFS('Cage Tally'!$A:$A,$A44,'Cage Tally'!$C:$C,'Cage tracking'!N$4,'Cage Tally'!$E:$E, "Light")=0),"",COUNTIFS('Cage Tally'!$A:$A,$A44,'Cage Tally'!$C:$C,'Cage tracking'!N$4,'Cage Tally'!$E:$E, "Light"))</f>
        <v/>
      </c>
      <c r="O44" s="132" t="str">
        <f>IF((COUNTIFS('Cage Tally'!$A:$A,$A44,'Cage Tally'!$C:$C,'Cage tracking'!O$4,'Cage Tally'!$E:$E, "Light")=0),"",COUNTIFS('Cage Tally'!$A:$A,$A44,'Cage Tally'!$C:$C,'Cage tracking'!O$4,'Cage Tally'!$E:$E, "Light"))</f>
        <v/>
      </c>
      <c r="P44" s="132" t="str">
        <f>IF((COUNTIFS('Cage Tally'!$A:$A,$A44,'Cage Tally'!$C:$C,'Cage tracking'!P$4,'Cage Tally'!$E:$E, "Light")=0),"",COUNTIFS('Cage Tally'!$A:$A,$A44,'Cage Tally'!$C:$C,'Cage tracking'!P$4,'Cage Tally'!$E:$E, "Light"))</f>
        <v/>
      </c>
      <c r="Q44" s="135"/>
      <c r="R44" s="136"/>
      <c r="S44" s="132" t="str">
        <f>IF((COUNTIFS('Cage Tally'!$A:$A,$A44,'Cage Tally'!$C:$C,'Cage tracking'!S$4,'Cage Tally'!$E:$E, "decomm")=0),"",COUNTIFS('Cage Tally'!$A:$A,$A44,'Cage Tally'!$C:$C,'Cage tracking'!S$4,'Cage Tally'!$E:$E, "decomm"))</f>
        <v/>
      </c>
      <c r="T44" s="132" t="str">
        <f>IF((COUNTIFS('Cage Tally'!$A:$A,$A44,'Cage Tally'!$C:$C,'Cage tracking'!T$4,'Cage Tally'!$E:$E, "decomm")=0),"",COUNTIFS('Cage Tally'!$A:$A,$A44,'Cage Tally'!$C:$C,'Cage tracking'!T$4,'Cage Tally'!$E:$E, "decomm"))</f>
        <v/>
      </c>
      <c r="U44" s="132" t="str">
        <f>IF((COUNTIFS('Cage Tally'!$A:$A,$A44,'Cage Tally'!$C:$C,'Cage tracking'!U$4,'Cage Tally'!$E:$E, "decomm")=0),"",COUNTIFS('Cage Tally'!$A:$A,$A44,'Cage Tally'!$C:$C,'Cage tracking'!U$4,'Cage Tally'!$E:$E, "decomm"))</f>
        <v/>
      </c>
      <c r="V44" s="132" t="str">
        <f>IF((COUNTIFS('Cage Tally'!$A:$A,$A44,'Cage Tally'!$C:$C,'Cage tracking'!V$4,'Cage Tally'!$E:$E, "decomm")=0),"",COUNTIFS('Cage Tally'!$A:$A,$A44,'Cage Tally'!$C:$C,'Cage tracking'!V$4,'Cage Tally'!$E:$E, "decomm"))</f>
        <v/>
      </c>
      <c r="W44" s="132" t="str">
        <f>IF((COUNTIFS('Cage Tally'!$A:$A,$A44,'Cage Tally'!$C:$C,'Cage tracking'!W$4,'Cage Tally'!$E:$E, "decomm")=0),"",COUNTIFS('Cage Tally'!$A:$A,$A44,'Cage Tally'!$C:$C,'Cage tracking'!W$4,'Cage Tally'!$E:$E, "decomm"))</f>
        <v/>
      </c>
      <c r="X44" s="142" t="str">
        <f>IF((COUNTIFS('Cage Tally'!$A:$A,$A44,'Cage Tally'!$C:$C,'Cage tracking'!X$4,'Cage Tally'!$E:$E, "decomm")=0),"",COUNTIFS('Cage Tally'!$A:$A,$A44,'Cage Tally'!$C:$C,'Cage tracking'!X$4,'Cage Tally'!$E:$E, "decomm"))</f>
        <v/>
      </c>
      <c r="Y44" s="273"/>
      <c r="Z44" s="273"/>
      <c r="AA44" s="273"/>
      <c r="AB44" s="273"/>
      <c r="AC44" s="273"/>
      <c r="AD44" s="273"/>
      <c r="AE44" s="273"/>
      <c r="AF44" s="273"/>
      <c r="AG44" s="273"/>
      <c r="AH44" s="273"/>
      <c r="AI44" s="273"/>
      <c r="AJ44" s="273"/>
      <c r="AK44" s="273"/>
      <c r="AL44" s="273"/>
      <c r="AM44" s="273"/>
      <c r="AN44" s="273"/>
      <c r="AO44" s="273"/>
      <c r="AP44" s="273"/>
      <c r="AQ44" s="273"/>
      <c r="AR44" s="273"/>
      <c r="AS44" s="273"/>
      <c r="AT44" s="273"/>
      <c r="AU44" s="273"/>
      <c r="AV44" s="273"/>
    </row>
    <row r="45" spans="1:48" ht="12.75">
      <c r="A45" s="126">
        <v>44095</v>
      </c>
      <c r="B45" s="132" t="str">
        <f>IF((COUNTIFS('Cage Tally'!$A:$A,$A45,'Cage Tally'!$C:$C,'Cage tracking'!B$4,'Cage Tally'!$E:$E, "Dark")=0),"",COUNTIFS('Cage Tally'!$A:$A,$A45,'Cage Tally'!$C:$C,'Cage tracking'!B$4,'Cage Tally'!$E:$E, "Dark"))</f>
        <v/>
      </c>
      <c r="C45" s="132">
        <f>IF((COUNTIFS('Cage Tally'!$A:$A,$A45,'Cage Tally'!$C:$C,'Cage tracking'!C$4,'Cage Tally'!$E:$E, "Dark")=0),"",COUNTIFS('Cage Tally'!$A:$A,$A45,'Cage Tally'!$C:$C,'Cage tracking'!C$4,'Cage Tally'!$E:$E, "Dark"))</f>
        <v>4</v>
      </c>
      <c r="D45" s="132" t="str">
        <f>IF((COUNTIFS('Cage Tally'!$A:$A,$A45,'Cage Tally'!$C:$C,'Cage tracking'!D$4,'Cage Tally'!$E:$E, "Dark")=0),"",COUNTIFS('Cage Tally'!$A:$A,$A45,'Cage Tally'!$C:$C,'Cage tracking'!D$4,'Cage Tally'!$E:$E, "Dark"))</f>
        <v/>
      </c>
      <c r="E45" s="132" t="str">
        <f>IF((COUNTIFS('Cage Tally'!$A:$A,$A45,'Cage Tally'!$C:$C,'Cage tracking'!E$4,'Cage Tally'!$E:$E, "Dark")=0),"",COUNTIFS('Cage Tally'!$A:$A,$A45,'Cage Tally'!$C:$C,'Cage tracking'!E$4,'Cage Tally'!$E:$E, "Dark"))</f>
        <v/>
      </c>
      <c r="F45" s="132" t="str">
        <f>IF((COUNTIFS('Cage Tally'!$A:$A,$A45,'Cage Tally'!$C:$C,'Cage tracking'!F$4,'Cage Tally'!$E:$E, "Dark")=0),"",COUNTIFS('Cage Tally'!$A:$A,$A45,'Cage Tally'!$C:$C,'Cage tracking'!F$4,'Cage Tally'!$E:$E, "Dark"))</f>
        <v/>
      </c>
      <c r="G45" s="132" t="str">
        <f>IF((COUNTIFS('Cage Tally'!$A:$A,$A45,'Cage Tally'!$C:$C,'Cage tracking'!G$4,'Cage Tally'!$E:$E, "Dark")=0),"",COUNTIFS('Cage Tally'!$A:$A,$A45,'Cage Tally'!$C:$C,'Cage tracking'!G$4,'Cage Tally'!$E:$E, "Dark"))</f>
        <v/>
      </c>
      <c r="H45" s="129"/>
      <c r="I45" s="128"/>
      <c r="J45" s="31"/>
      <c r="K45" s="132" t="str">
        <f>IF((COUNTIFS('Cage Tally'!$A:$A,$A45,'Cage Tally'!$C:$C,'Cage tracking'!K$4,'Cage Tally'!$E:$E, "Light")=0),"",COUNTIFS('Cage Tally'!$A:$A,$A45,'Cage Tally'!$C:$C,'Cage tracking'!K$4,'Cage Tally'!$E:$E, "Light"))</f>
        <v/>
      </c>
      <c r="L45" s="132">
        <f>IF((COUNTIFS('Cage Tally'!$A:$A,$A45,'Cage Tally'!$C:$C,'Cage tracking'!L$4,'Cage Tally'!$E:$E, "Light")=0),"",COUNTIFS('Cage Tally'!$A:$A,$A45,'Cage Tally'!$C:$C,'Cage tracking'!L$4,'Cage Tally'!$E:$E, "Light"))</f>
        <v>1</v>
      </c>
      <c r="M45" s="132" t="str">
        <f>IF((COUNTIFS('Cage Tally'!$A:$A,$A45,'Cage Tally'!$C:$C,'Cage tracking'!M$4,'Cage Tally'!$E:$E, "Light")=0),"",COUNTIFS('Cage Tally'!$A:$A,$A45,'Cage Tally'!$C:$C,'Cage tracking'!M$4,'Cage Tally'!$E:$E, "Light"))</f>
        <v/>
      </c>
      <c r="N45" s="132" t="str">
        <f>IF((COUNTIFS('Cage Tally'!$A:$A,$A45,'Cage Tally'!$C:$C,'Cage tracking'!N$4,'Cage Tally'!$E:$E, "Light")=0),"",COUNTIFS('Cage Tally'!$A:$A,$A45,'Cage Tally'!$C:$C,'Cage tracking'!N$4,'Cage Tally'!$E:$E, "Light"))</f>
        <v/>
      </c>
      <c r="O45" s="132" t="str">
        <f>IF((COUNTIFS('Cage Tally'!$A:$A,$A45,'Cage Tally'!$C:$C,'Cage tracking'!O$4,'Cage Tally'!$E:$E, "Light")=0),"",COUNTIFS('Cage Tally'!$A:$A,$A45,'Cage Tally'!$C:$C,'Cage tracking'!O$4,'Cage Tally'!$E:$E, "Light"))</f>
        <v/>
      </c>
      <c r="P45" s="132" t="str">
        <f>IF((COUNTIFS('Cage Tally'!$A:$A,$A45,'Cage Tally'!$C:$C,'Cage tracking'!P$4,'Cage Tally'!$E:$E, "Light")=0),"",COUNTIFS('Cage Tally'!$A:$A,$A45,'Cage Tally'!$C:$C,'Cage tracking'!P$4,'Cage Tally'!$E:$E, "Light"))</f>
        <v/>
      </c>
      <c r="Q45" s="135"/>
      <c r="R45" s="130"/>
      <c r="S45" s="132">
        <f>IF((COUNTIFS('Cage Tally'!$A:$A,$A45,'Cage Tally'!$C:$C,'Cage tracking'!S$4,'Cage Tally'!$E:$E, "decomm")=0),"",COUNTIFS('Cage Tally'!$A:$A,$A45,'Cage Tally'!$C:$C,'Cage tracking'!S$4,'Cage Tally'!$E:$E, "decomm"))</f>
        <v>1</v>
      </c>
      <c r="T45" s="132">
        <f>IF((COUNTIFS('Cage Tally'!$A:$A,$A45,'Cage Tally'!$C:$C,'Cage tracking'!T$4,'Cage Tally'!$E:$E, "decomm")=0),"",COUNTIFS('Cage Tally'!$A:$A,$A45,'Cage Tally'!$C:$C,'Cage tracking'!T$4,'Cage Tally'!$E:$E, "decomm"))</f>
        <v>1</v>
      </c>
      <c r="U45" s="132">
        <f>IF((COUNTIFS('Cage Tally'!$A:$A,$A45,'Cage Tally'!$C:$C,'Cage tracking'!U$4,'Cage Tally'!$E:$E, "decomm")=0),"",COUNTIFS('Cage Tally'!$A:$A,$A45,'Cage Tally'!$C:$C,'Cage tracking'!U$4,'Cage Tally'!$E:$E, "decomm"))</f>
        <v>1</v>
      </c>
      <c r="V45" s="132" t="str">
        <f>IF((COUNTIFS('Cage Tally'!$A:$A,$A45,'Cage Tally'!$C:$C,'Cage tracking'!V$4,'Cage Tally'!$E:$E, "decomm")=0),"",COUNTIFS('Cage Tally'!$A:$A,$A45,'Cage Tally'!$C:$C,'Cage tracking'!V$4,'Cage Tally'!$E:$E, "decomm"))</f>
        <v/>
      </c>
      <c r="W45" s="132" t="str">
        <f>IF((COUNTIFS('Cage Tally'!$A:$A,$A45,'Cage Tally'!$C:$C,'Cage tracking'!W$4,'Cage Tally'!$E:$E, "decomm")=0),"",COUNTIFS('Cage Tally'!$A:$A,$A45,'Cage Tally'!$C:$C,'Cage tracking'!W$4,'Cage Tally'!$E:$E, "decomm"))</f>
        <v/>
      </c>
      <c r="X45" s="142" t="str">
        <f>IF((COUNTIFS('Cage Tally'!$A:$A,$A45,'Cage Tally'!$C:$C,'Cage tracking'!X$4,'Cage Tally'!$E:$E, "decomm")=0),"",COUNTIFS('Cage Tally'!$A:$A,$A45,'Cage Tally'!$C:$C,'Cage tracking'!X$4,'Cage Tally'!$E:$E, "decomm"))</f>
        <v/>
      </c>
      <c r="Y45" s="273"/>
      <c r="Z45" s="273"/>
      <c r="AA45" s="273"/>
      <c r="AB45" s="273"/>
      <c r="AC45" s="273"/>
      <c r="AD45" s="273"/>
      <c r="AE45" s="273"/>
      <c r="AF45" s="273"/>
      <c r="AG45" s="273"/>
      <c r="AH45" s="273"/>
      <c r="AI45" s="273"/>
      <c r="AJ45" s="273"/>
      <c r="AK45" s="273"/>
      <c r="AL45" s="273"/>
      <c r="AM45" s="273"/>
      <c r="AN45" s="273"/>
      <c r="AO45" s="273"/>
      <c r="AP45" s="273"/>
      <c r="AQ45" s="273"/>
      <c r="AR45" s="273"/>
      <c r="AS45" s="273"/>
      <c r="AT45" s="273"/>
      <c r="AU45" s="273"/>
      <c r="AV45" s="273"/>
    </row>
    <row r="46" spans="1:48" ht="12.75">
      <c r="A46" s="131">
        <v>44096</v>
      </c>
      <c r="B46" s="132" t="str">
        <f>IF((COUNTIFS('Cage Tally'!$A:$A,$A46,'Cage Tally'!$C:$C,'Cage tracking'!B$4,'Cage Tally'!$E:$E, "Dark")=0),"",COUNTIFS('Cage Tally'!$A:$A,$A46,'Cage Tally'!$C:$C,'Cage tracking'!B$4,'Cage Tally'!$E:$E, "Dark"))</f>
        <v/>
      </c>
      <c r="C46" s="132" t="str">
        <f>IF((COUNTIFS('Cage Tally'!$A:$A,$A46,'Cage Tally'!$C:$C,'Cage tracking'!C$4,'Cage Tally'!$E:$E, "Dark")=0),"",COUNTIFS('Cage Tally'!$A:$A,$A46,'Cage Tally'!$C:$C,'Cage tracking'!C$4,'Cage Tally'!$E:$E, "Dark"))</f>
        <v/>
      </c>
      <c r="D46" s="132" t="str">
        <f>IF((COUNTIFS('Cage Tally'!$A:$A,$A46,'Cage Tally'!$C:$C,'Cage tracking'!D$4,'Cage Tally'!$E:$E, "Dark")=0),"",COUNTIFS('Cage Tally'!$A:$A,$A46,'Cage Tally'!$C:$C,'Cage tracking'!D$4,'Cage Tally'!$E:$E, "Dark"))</f>
        <v/>
      </c>
      <c r="E46" s="132">
        <f>IF((COUNTIFS('Cage Tally'!$A:$A,$A46,'Cage Tally'!$C:$C,'Cage tracking'!E$4,'Cage Tally'!$E:$E, "Dark")=0),"",COUNTIFS('Cage Tally'!$A:$A,$A46,'Cage Tally'!$C:$C,'Cage tracking'!E$4,'Cage Tally'!$E:$E, "Dark"))</f>
        <v>1</v>
      </c>
      <c r="F46" s="132" t="str">
        <f>IF((COUNTIFS('Cage Tally'!$A:$A,$A46,'Cage Tally'!$C:$C,'Cage tracking'!F$4,'Cage Tally'!$E:$E, "Dark")=0),"",COUNTIFS('Cage Tally'!$A:$A,$A46,'Cage Tally'!$C:$C,'Cage tracking'!F$4,'Cage Tally'!$E:$E, "Dark"))</f>
        <v/>
      </c>
      <c r="G46" s="132" t="str">
        <f>IF((COUNTIFS('Cage Tally'!$A:$A,$A46,'Cage Tally'!$C:$C,'Cage tracking'!G$4,'Cage Tally'!$E:$E, "Dark")=0),"",COUNTIFS('Cage Tally'!$A:$A,$A46,'Cage Tally'!$C:$C,'Cage tracking'!G$4,'Cage Tally'!$E:$E, "Dark"))</f>
        <v/>
      </c>
      <c r="H46" s="135"/>
      <c r="I46" s="134"/>
      <c r="J46" s="132"/>
      <c r="K46" s="132" t="str">
        <f>IF((COUNTIFS('Cage Tally'!$A:$A,$A46,'Cage Tally'!$C:$C,'Cage tracking'!K$4,'Cage Tally'!$E:$E, "Light")=0),"",COUNTIFS('Cage Tally'!$A:$A,$A46,'Cage Tally'!$C:$C,'Cage tracking'!K$4,'Cage Tally'!$E:$E, "Light"))</f>
        <v/>
      </c>
      <c r="L46" s="132" t="str">
        <f>IF((COUNTIFS('Cage Tally'!$A:$A,$A46,'Cage Tally'!$C:$C,'Cage tracking'!L$4,'Cage Tally'!$E:$E, "Light")=0),"",COUNTIFS('Cage Tally'!$A:$A,$A46,'Cage Tally'!$C:$C,'Cage tracking'!L$4,'Cage Tally'!$E:$E, "Light"))</f>
        <v/>
      </c>
      <c r="M46" s="132">
        <f>IF((COUNTIFS('Cage Tally'!$A:$A,$A46,'Cage Tally'!$C:$C,'Cage tracking'!M$4,'Cage Tally'!$E:$E, "Light")=0),"",COUNTIFS('Cage Tally'!$A:$A,$A46,'Cage Tally'!$C:$C,'Cage tracking'!M$4,'Cage Tally'!$E:$E, "Light"))</f>
        <v>1</v>
      </c>
      <c r="N46" s="132" t="str">
        <f>IF((COUNTIFS('Cage Tally'!$A:$A,$A46,'Cage Tally'!$C:$C,'Cage tracking'!N$4,'Cage Tally'!$E:$E, "Light")=0),"",COUNTIFS('Cage Tally'!$A:$A,$A46,'Cage Tally'!$C:$C,'Cage tracking'!N$4,'Cage Tally'!$E:$E, "Light"))</f>
        <v/>
      </c>
      <c r="O46" s="132" t="str">
        <f>IF((COUNTIFS('Cage Tally'!$A:$A,$A46,'Cage Tally'!$C:$C,'Cage tracking'!O$4,'Cage Tally'!$E:$E, "Light")=0),"",COUNTIFS('Cage Tally'!$A:$A,$A46,'Cage Tally'!$C:$C,'Cage tracking'!O$4,'Cage Tally'!$E:$E, "Light"))</f>
        <v/>
      </c>
      <c r="P46" s="132" t="str">
        <f>IF((COUNTIFS('Cage Tally'!$A:$A,$A46,'Cage Tally'!$C:$C,'Cage tracking'!P$4,'Cage Tally'!$E:$E, "Light")=0),"",COUNTIFS('Cage Tally'!$A:$A,$A46,'Cage Tally'!$C:$C,'Cage tracking'!P$4,'Cage Tally'!$E:$E, "Light"))</f>
        <v/>
      </c>
      <c r="Q46" s="135"/>
      <c r="R46" s="136"/>
      <c r="S46" s="132" t="str">
        <f>IF((COUNTIFS('Cage Tally'!$A:$A,$A46,'Cage Tally'!$C:$C,'Cage tracking'!S$4,'Cage Tally'!$E:$E, "decomm")=0),"",COUNTIFS('Cage Tally'!$A:$A,$A46,'Cage Tally'!$C:$C,'Cage tracking'!S$4,'Cage Tally'!$E:$E, "decomm"))</f>
        <v/>
      </c>
      <c r="T46" s="132" t="str">
        <f>IF((COUNTIFS('Cage Tally'!$A:$A,$A46,'Cage Tally'!$C:$C,'Cage tracking'!T$4,'Cage Tally'!$E:$E, "decomm")=0),"",COUNTIFS('Cage Tally'!$A:$A,$A46,'Cage Tally'!$C:$C,'Cage tracking'!T$4,'Cage Tally'!$E:$E, "decomm"))</f>
        <v/>
      </c>
      <c r="U46" s="132" t="str">
        <f>IF((COUNTIFS('Cage Tally'!$A:$A,$A46,'Cage Tally'!$C:$C,'Cage tracking'!U$4,'Cage Tally'!$E:$E, "decomm")=0),"",COUNTIFS('Cage Tally'!$A:$A,$A46,'Cage Tally'!$C:$C,'Cage tracking'!U$4,'Cage Tally'!$E:$E, "decomm"))</f>
        <v/>
      </c>
      <c r="V46" s="132" t="str">
        <f>IF((COUNTIFS('Cage Tally'!$A:$A,$A46,'Cage Tally'!$C:$C,'Cage tracking'!V$4,'Cage Tally'!$E:$E, "decomm")=0),"",COUNTIFS('Cage Tally'!$A:$A,$A46,'Cage Tally'!$C:$C,'Cage tracking'!V$4,'Cage Tally'!$E:$E, "decomm"))</f>
        <v/>
      </c>
      <c r="W46" s="132" t="str">
        <f>IF((COUNTIFS('Cage Tally'!$A:$A,$A46,'Cage Tally'!$C:$C,'Cage tracking'!W$4,'Cage Tally'!$E:$E, "decomm")=0),"",COUNTIFS('Cage Tally'!$A:$A,$A46,'Cage Tally'!$C:$C,'Cage tracking'!W$4,'Cage Tally'!$E:$E, "decomm"))</f>
        <v/>
      </c>
      <c r="X46" s="142" t="str">
        <f>IF((COUNTIFS('Cage Tally'!$A:$A,$A46,'Cage Tally'!$C:$C,'Cage tracking'!X$4,'Cage Tally'!$E:$E, "decomm")=0),"",COUNTIFS('Cage Tally'!$A:$A,$A46,'Cage Tally'!$C:$C,'Cage tracking'!X$4,'Cage Tally'!$E:$E, "decomm"))</f>
        <v/>
      </c>
      <c r="Y46" s="273"/>
      <c r="Z46" s="273"/>
      <c r="AA46" s="273"/>
      <c r="AB46" s="273"/>
      <c r="AC46" s="273"/>
      <c r="AD46" s="273"/>
      <c r="AE46" s="273"/>
      <c r="AF46" s="273"/>
      <c r="AG46" s="273"/>
      <c r="AH46" s="273"/>
      <c r="AI46" s="273"/>
      <c r="AJ46" s="273"/>
      <c r="AK46" s="273"/>
      <c r="AL46" s="273"/>
      <c r="AM46" s="273"/>
      <c r="AN46" s="273"/>
      <c r="AO46" s="273"/>
      <c r="AP46" s="273"/>
      <c r="AQ46" s="273"/>
      <c r="AR46" s="273"/>
      <c r="AS46" s="273"/>
      <c r="AT46" s="273"/>
      <c r="AU46" s="273"/>
      <c r="AV46" s="273"/>
    </row>
    <row r="47" spans="1:48" ht="12.75">
      <c r="A47" s="126">
        <v>44097</v>
      </c>
      <c r="B47" s="132" t="str">
        <f>IF((COUNTIFS('Cage Tally'!$A:$A,$A47,'Cage Tally'!$C:$C,'Cage tracking'!B$4,'Cage Tally'!$E:$E, "Dark")=0),"",COUNTIFS('Cage Tally'!$A:$A,$A47,'Cage Tally'!$C:$C,'Cage tracking'!B$4,'Cage Tally'!$E:$E, "Dark"))</f>
        <v/>
      </c>
      <c r="C47" s="132" t="str">
        <f>IF((COUNTIFS('Cage Tally'!$A:$A,$A47,'Cage Tally'!$C:$C,'Cage tracking'!C$4,'Cage Tally'!$E:$E, "Dark")=0),"",COUNTIFS('Cage Tally'!$A:$A,$A47,'Cage Tally'!$C:$C,'Cage tracking'!C$4,'Cage Tally'!$E:$E, "Dark"))</f>
        <v/>
      </c>
      <c r="D47" s="132" t="str">
        <f>IF((COUNTIFS('Cage Tally'!$A:$A,$A47,'Cage Tally'!$C:$C,'Cage tracking'!D$4,'Cage Tally'!$E:$E, "Dark")=0),"",COUNTIFS('Cage Tally'!$A:$A,$A47,'Cage Tally'!$C:$C,'Cage tracking'!D$4,'Cage Tally'!$E:$E, "Dark"))</f>
        <v/>
      </c>
      <c r="E47" s="132" t="str">
        <f>IF((COUNTIFS('Cage Tally'!$A:$A,$A47,'Cage Tally'!$C:$C,'Cage tracking'!E$4,'Cage Tally'!$E:$E, "Dark")=0),"",COUNTIFS('Cage Tally'!$A:$A,$A47,'Cage Tally'!$C:$C,'Cage tracking'!E$4,'Cage Tally'!$E:$E, "Dark"))</f>
        <v/>
      </c>
      <c r="F47" s="132" t="str">
        <f>IF((COUNTIFS('Cage Tally'!$A:$A,$A47,'Cage Tally'!$C:$C,'Cage tracking'!F$4,'Cage Tally'!$E:$E, "Dark")=0),"",COUNTIFS('Cage Tally'!$A:$A,$A47,'Cage Tally'!$C:$C,'Cage tracking'!F$4,'Cage Tally'!$E:$E, "Dark"))</f>
        <v/>
      </c>
      <c r="G47" s="132" t="str">
        <f>IF((COUNTIFS('Cage Tally'!$A:$A,$A47,'Cage Tally'!$C:$C,'Cage tracking'!G$4,'Cage Tally'!$E:$E, "Dark")=0),"",COUNTIFS('Cage Tally'!$A:$A,$A47,'Cage Tally'!$C:$C,'Cage tracking'!G$4,'Cage Tally'!$E:$E, "Dark"))</f>
        <v/>
      </c>
      <c r="H47" s="129"/>
      <c r="I47" s="128"/>
      <c r="J47" s="31"/>
      <c r="K47" s="132" t="str">
        <f>IF((COUNTIFS('Cage Tally'!$A:$A,$A47,'Cage Tally'!$C:$C,'Cage tracking'!K$4,'Cage Tally'!$E:$E, "Light")=0),"",COUNTIFS('Cage Tally'!$A:$A,$A47,'Cage Tally'!$C:$C,'Cage tracking'!K$4,'Cage Tally'!$E:$E, "Light"))</f>
        <v/>
      </c>
      <c r="L47" s="132">
        <f>IF((COUNTIFS('Cage Tally'!$A:$A,$A47,'Cage Tally'!$C:$C,'Cage tracking'!L$4,'Cage Tally'!$E:$E, "Light")=0),"",COUNTIFS('Cage Tally'!$A:$A,$A47,'Cage Tally'!$C:$C,'Cage tracking'!L$4,'Cage Tally'!$E:$E, "Light"))</f>
        <v>2</v>
      </c>
      <c r="M47" s="132" t="str">
        <f>IF((COUNTIFS('Cage Tally'!$A:$A,$A47,'Cage Tally'!$C:$C,'Cage tracking'!M$4,'Cage Tally'!$E:$E, "Light")=0),"",COUNTIFS('Cage Tally'!$A:$A,$A47,'Cage Tally'!$C:$C,'Cage tracking'!M$4,'Cage Tally'!$E:$E, "Light"))</f>
        <v/>
      </c>
      <c r="N47" s="132" t="str">
        <f>IF((COUNTIFS('Cage Tally'!$A:$A,$A47,'Cage Tally'!$C:$C,'Cage tracking'!N$4,'Cage Tally'!$E:$E, "Light")=0),"",COUNTIFS('Cage Tally'!$A:$A,$A47,'Cage Tally'!$C:$C,'Cage tracking'!N$4,'Cage Tally'!$E:$E, "Light"))</f>
        <v/>
      </c>
      <c r="O47" s="132" t="str">
        <f>IF((COUNTIFS('Cage Tally'!$A:$A,$A47,'Cage Tally'!$C:$C,'Cage tracking'!O$4,'Cage Tally'!$E:$E, "Light")=0),"",COUNTIFS('Cage Tally'!$A:$A,$A47,'Cage Tally'!$C:$C,'Cage tracking'!O$4,'Cage Tally'!$E:$E, "Light"))</f>
        <v/>
      </c>
      <c r="P47" s="132" t="str">
        <f>IF((COUNTIFS('Cage Tally'!$A:$A,$A47,'Cage Tally'!$C:$C,'Cage tracking'!P$4,'Cage Tally'!$E:$E, "Light")=0),"",COUNTIFS('Cage Tally'!$A:$A,$A47,'Cage Tally'!$C:$C,'Cage tracking'!P$4,'Cage Tally'!$E:$E, "Light"))</f>
        <v/>
      </c>
      <c r="Q47" s="135"/>
      <c r="R47" s="130"/>
      <c r="S47" s="132" t="str">
        <f>IF((COUNTIFS('Cage Tally'!$A:$A,$A47,'Cage Tally'!$C:$C,'Cage tracking'!S$4,'Cage Tally'!$E:$E, "decomm")=0),"",COUNTIFS('Cage Tally'!$A:$A,$A47,'Cage Tally'!$C:$C,'Cage tracking'!S$4,'Cage Tally'!$E:$E, "decomm"))</f>
        <v/>
      </c>
      <c r="T47" s="132" t="str">
        <f>IF((COUNTIFS('Cage Tally'!$A:$A,$A47,'Cage Tally'!$C:$C,'Cage tracking'!T$4,'Cage Tally'!$E:$E, "decomm")=0),"",COUNTIFS('Cage Tally'!$A:$A,$A47,'Cage Tally'!$C:$C,'Cage tracking'!T$4,'Cage Tally'!$E:$E, "decomm"))</f>
        <v/>
      </c>
      <c r="U47" s="132" t="str">
        <f>IF((COUNTIFS('Cage Tally'!$A:$A,$A47,'Cage Tally'!$C:$C,'Cage tracking'!U$4,'Cage Tally'!$E:$E, "decomm")=0),"",COUNTIFS('Cage Tally'!$A:$A,$A47,'Cage Tally'!$C:$C,'Cage tracking'!U$4,'Cage Tally'!$E:$E, "decomm"))</f>
        <v/>
      </c>
      <c r="V47" s="132" t="str">
        <f>IF((COUNTIFS('Cage Tally'!$A:$A,$A47,'Cage Tally'!$C:$C,'Cage tracking'!V$4,'Cage Tally'!$E:$E, "decomm")=0),"",COUNTIFS('Cage Tally'!$A:$A,$A47,'Cage Tally'!$C:$C,'Cage tracking'!V$4,'Cage Tally'!$E:$E, "decomm"))</f>
        <v/>
      </c>
      <c r="W47" s="132" t="str">
        <f>IF((COUNTIFS('Cage Tally'!$A:$A,$A47,'Cage Tally'!$C:$C,'Cage tracking'!W$4,'Cage Tally'!$E:$E, "decomm")=0),"",COUNTIFS('Cage Tally'!$A:$A,$A47,'Cage Tally'!$C:$C,'Cage tracking'!W$4,'Cage Tally'!$E:$E, "decomm"))</f>
        <v/>
      </c>
      <c r="X47" s="142" t="str">
        <f>IF((COUNTIFS('Cage Tally'!$A:$A,$A47,'Cage Tally'!$C:$C,'Cage tracking'!X$4,'Cage Tally'!$E:$E, "decomm")=0),"",COUNTIFS('Cage Tally'!$A:$A,$A47,'Cage Tally'!$C:$C,'Cage tracking'!X$4,'Cage Tally'!$E:$E, "decomm"))</f>
        <v/>
      </c>
      <c r="Y47" s="273"/>
      <c r="Z47" s="273"/>
      <c r="AA47" s="273"/>
      <c r="AB47" s="273"/>
      <c r="AC47" s="273"/>
      <c r="AD47" s="273"/>
      <c r="AE47" s="273"/>
      <c r="AF47" s="273"/>
      <c r="AG47" s="273"/>
      <c r="AH47" s="273"/>
      <c r="AI47" s="273"/>
      <c r="AJ47" s="273"/>
      <c r="AK47" s="273"/>
      <c r="AL47" s="273"/>
      <c r="AM47" s="273"/>
      <c r="AN47" s="273"/>
      <c r="AO47" s="273"/>
      <c r="AP47" s="273"/>
      <c r="AQ47" s="273"/>
      <c r="AR47" s="273"/>
      <c r="AS47" s="273"/>
      <c r="AT47" s="273"/>
      <c r="AU47" s="273"/>
      <c r="AV47" s="273"/>
    </row>
    <row r="48" spans="1:48" ht="12.75">
      <c r="A48" s="131">
        <v>44098</v>
      </c>
      <c r="B48" s="132" t="str">
        <f>IF((COUNTIFS('Cage Tally'!$A:$A,$A48,'Cage Tally'!$C:$C,'Cage tracking'!B$4,'Cage Tally'!$E:$E, "Dark")=0),"",COUNTIFS('Cage Tally'!$A:$A,$A48,'Cage Tally'!$C:$C,'Cage tracking'!B$4,'Cage Tally'!$E:$E, "Dark"))</f>
        <v/>
      </c>
      <c r="C48" s="132" t="str">
        <f>IF((COUNTIFS('Cage Tally'!$A:$A,$A48,'Cage Tally'!$C:$C,'Cage tracking'!C$4,'Cage Tally'!$E:$E, "Dark")=0),"",COUNTIFS('Cage Tally'!$A:$A,$A48,'Cage Tally'!$C:$C,'Cage tracking'!C$4,'Cage Tally'!$E:$E, "Dark"))</f>
        <v/>
      </c>
      <c r="D48" s="132" t="str">
        <f>IF((COUNTIFS('Cage Tally'!$A:$A,$A48,'Cage Tally'!$C:$C,'Cage tracking'!D$4,'Cage Tally'!$E:$E, "Dark")=0),"",COUNTIFS('Cage Tally'!$A:$A,$A48,'Cage Tally'!$C:$C,'Cage tracking'!D$4,'Cage Tally'!$E:$E, "Dark"))</f>
        <v/>
      </c>
      <c r="E48" s="132" t="str">
        <f>IF((COUNTIFS('Cage Tally'!$A:$A,$A48,'Cage Tally'!$C:$C,'Cage tracking'!E$4,'Cage Tally'!$E:$E, "Dark")=0),"",COUNTIFS('Cage Tally'!$A:$A,$A48,'Cage Tally'!$C:$C,'Cage tracking'!E$4,'Cage Tally'!$E:$E, "Dark"))</f>
        <v/>
      </c>
      <c r="F48" s="132" t="str">
        <f>IF((COUNTIFS('Cage Tally'!$A:$A,$A48,'Cage Tally'!$C:$C,'Cage tracking'!F$4,'Cage Tally'!$E:$E, "Dark")=0),"",COUNTIFS('Cage Tally'!$A:$A,$A48,'Cage Tally'!$C:$C,'Cage tracking'!F$4,'Cage Tally'!$E:$E, "Dark"))</f>
        <v/>
      </c>
      <c r="G48" s="132" t="str">
        <f>IF((COUNTIFS('Cage Tally'!$A:$A,$A48,'Cage Tally'!$C:$C,'Cage tracking'!G$4,'Cage Tally'!$E:$E, "Dark")=0),"",COUNTIFS('Cage Tally'!$A:$A,$A48,'Cage Tally'!$C:$C,'Cage tracking'!G$4,'Cage Tally'!$E:$E, "Dark"))</f>
        <v/>
      </c>
      <c r="H48" s="135"/>
      <c r="I48" s="134"/>
      <c r="J48" s="132"/>
      <c r="K48" s="132" t="str">
        <f>IF((COUNTIFS('Cage Tally'!$A:$A,$A48,'Cage Tally'!$C:$C,'Cage tracking'!K$4,'Cage Tally'!$E:$E, "Light")=0),"",COUNTIFS('Cage Tally'!$A:$A,$A48,'Cage Tally'!$C:$C,'Cage tracking'!K$4,'Cage Tally'!$E:$E, "Light"))</f>
        <v/>
      </c>
      <c r="L48" s="132" t="str">
        <f>IF((COUNTIFS('Cage Tally'!$A:$A,$A48,'Cage Tally'!$C:$C,'Cage tracking'!L$4,'Cage Tally'!$E:$E, "Light")=0),"",COUNTIFS('Cage Tally'!$A:$A,$A48,'Cage Tally'!$C:$C,'Cage tracking'!L$4,'Cage Tally'!$E:$E, "Light"))</f>
        <v/>
      </c>
      <c r="M48" s="132" t="str">
        <f>IF((COUNTIFS('Cage Tally'!$A:$A,$A48,'Cage Tally'!$C:$C,'Cage tracking'!M$4,'Cage Tally'!$E:$E, "Light")=0),"",COUNTIFS('Cage Tally'!$A:$A,$A48,'Cage Tally'!$C:$C,'Cage tracking'!M$4,'Cage Tally'!$E:$E, "Light"))</f>
        <v/>
      </c>
      <c r="N48" s="132" t="str">
        <f>IF((COUNTIFS('Cage Tally'!$A:$A,$A48,'Cage Tally'!$C:$C,'Cage tracking'!N$4,'Cage Tally'!$E:$E, "Light")=0),"",COUNTIFS('Cage Tally'!$A:$A,$A48,'Cage Tally'!$C:$C,'Cage tracking'!N$4,'Cage Tally'!$E:$E, "Light"))</f>
        <v/>
      </c>
      <c r="O48" s="132" t="str">
        <f>IF((COUNTIFS('Cage Tally'!$A:$A,$A48,'Cage Tally'!$C:$C,'Cage tracking'!O$4,'Cage Tally'!$E:$E, "Light")=0),"",COUNTIFS('Cage Tally'!$A:$A,$A48,'Cage Tally'!$C:$C,'Cage tracking'!O$4,'Cage Tally'!$E:$E, "Light"))</f>
        <v/>
      </c>
      <c r="P48" s="132" t="str">
        <f>IF((COUNTIFS('Cage Tally'!$A:$A,$A48,'Cage Tally'!$C:$C,'Cage tracking'!P$4,'Cage Tally'!$E:$E, "Light")=0),"",COUNTIFS('Cage Tally'!$A:$A,$A48,'Cage Tally'!$C:$C,'Cage tracking'!P$4,'Cage Tally'!$E:$E, "Light"))</f>
        <v/>
      </c>
      <c r="Q48" s="135"/>
      <c r="R48" s="136"/>
      <c r="S48" s="132" t="str">
        <f>IF((COUNTIFS('Cage Tally'!$A:$A,$A48,'Cage Tally'!$C:$C,'Cage tracking'!S$4,'Cage Tally'!$E:$E, "decomm")=0),"",COUNTIFS('Cage Tally'!$A:$A,$A48,'Cage Tally'!$C:$C,'Cage tracking'!S$4,'Cage Tally'!$E:$E, "decomm"))</f>
        <v/>
      </c>
      <c r="T48" s="132" t="str">
        <f>IF((COUNTIFS('Cage Tally'!$A:$A,$A48,'Cage Tally'!$C:$C,'Cage tracking'!T$4,'Cage Tally'!$E:$E, "decomm")=0),"",COUNTIFS('Cage Tally'!$A:$A,$A48,'Cage Tally'!$C:$C,'Cage tracking'!T$4,'Cage Tally'!$E:$E, "decomm"))</f>
        <v/>
      </c>
      <c r="U48" s="132" t="str">
        <f>IF((COUNTIFS('Cage Tally'!$A:$A,$A48,'Cage Tally'!$C:$C,'Cage tracking'!U$4,'Cage Tally'!$E:$E, "decomm")=0),"",COUNTIFS('Cage Tally'!$A:$A,$A48,'Cage Tally'!$C:$C,'Cage tracking'!U$4,'Cage Tally'!$E:$E, "decomm"))</f>
        <v/>
      </c>
      <c r="V48" s="132" t="str">
        <f>IF((COUNTIFS('Cage Tally'!$A:$A,$A48,'Cage Tally'!$C:$C,'Cage tracking'!V$4,'Cage Tally'!$E:$E, "decomm")=0),"",COUNTIFS('Cage Tally'!$A:$A,$A48,'Cage Tally'!$C:$C,'Cage tracking'!V$4,'Cage Tally'!$E:$E, "decomm"))</f>
        <v/>
      </c>
      <c r="W48" s="132" t="str">
        <f>IF((COUNTIFS('Cage Tally'!$A:$A,$A48,'Cage Tally'!$C:$C,'Cage tracking'!W$4,'Cage Tally'!$E:$E, "decomm")=0),"",COUNTIFS('Cage Tally'!$A:$A,$A48,'Cage Tally'!$C:$C,'Cage tracking'!W$4,'Cage Tally'!$E:$E, "decomm"))</f>
        <v/>
      </c>
      <c r="X48" s="142" t="str">
        <f>IF((COUNTIFS('Cage Tally'!$A:$A,$A48,'Cage Tally'!$C:$C,'Cage tracking'!X$4,'Cage Tally'!$E:$E, "decomm")=0),"",COUNTIFS('Cage Tally'!$A:$A,$A48,'Cage Tally'!$C:$C,'Cage tracking'!X$4,'Cage Tally'!$E:$E, "decomm"))</f>
        <v/>
      </c>
      <c r="Y48" s="273"/>
      <c r="Z48" s="273"/>
      <c r="AA48" s="273"/>
      <c r="AB48" s="273"/>
      <c r="AC48" s="273"/>
      <c r="AD48" s="273"/>
      <c r="AE48" s="273"/>
      <c r="AF48" s="273"/>
      <c r="AG48" s="273"/>
      <c r="AH48" s="273"/>
      <c r="AI48" s="273"/>
      <c r="AJ48" s="273"/>
      <c r="AK48" s="273"/>
      <c r="AL48" s="273"/>
      <c r="AM48" s="273"/>
      <c r="AN48" s="273"/>
      <c r="AO48" s="273"/>
      <c r="AP48" s="273"/>
      <c r="AQ48" s="273"/>
      <c r="AR48" s="273"/>
      <c r="AS48" s="273"/>
      <c r="AT48" s="273"/>
      <c r="AU48" s="273"/>
      <c r="AV48" s="273"/>
    </row>
    <row r="49" spans="1:48" ht="12.75">
      <c r="A49" s="126">
        <v>44099</v>
      </c>
      <c r="B49" s="132" t="str">
        <f>IF((COUNTIFS('Cage Tally'!$A:$A,$A49,'Cage Tally'!$C:$C,'Cage tracking'!B$4,'Cage Tally'!$E:$E, "Dark")=0),"",COUNTIFS('Cage Tally'!$A:$A,$A49,'Cage Tally'!$C:$C,'Cage tracking'!B$4,'Cage Tally'!$E:$E, "Dark"))</f>
        <v/>
      </c>
      <c r="C49" s="132" t="str">
        <f>IF((COUNTIFS('Cage Tally'!$A:$A,$A49,'Cage Tally'!$C:$C,'Cage tracking'!C$4,'Cage Tally'!$E:$E, "Dark")=0),"",COUNTIFS('Cage Tally'!$A:$A,$A49,'Cage Tally'!$C:$C,'Cage tracking'!C$4,'Cage Tally'!$E:$E, "Dark"))</f>
        <v/>
      </c>
      <c r="D49" s="132">
        <f>IF((COUNTIFS('Cage Tally'!$A:$A,$A49,'Cage Tally'!$C:$C,'Cage tracking'!D$4,'Cage Tally'!$E:$E, "Dark")=0),"",COUNTIFS('Cage Tally'!$A:$A,$A49,'Cage Tally'!$C:$C,'Cage tracking'!D$4,'Cage Tally'!$E:$E, "Dark"))</f>
        <v>1</v>
      </c>
      <c r="E49" s="132">
        <f>IF((COUNTIFS('Cage Tally'!$A:$A,$A49,'Cage Tally'!$C:$C,'Cage tracking'!E$4,'Cage Tally'!$E:$E, "Dark")=0),"",COUNTIFS('Cage Tally'!$A:$A,$A49,'Cage Tally'!$C:$C,'Cage tracking'!E$4,'Cage Tally'!$E:$E, "Dark"))</f>
        <v>4</v>
      </c>
      <c r="F49" s="132" t="str">
        <f>IF((COUNTIFS('Cage Tally'!$A:$A,$A49,'Cage Tally'!$C:$C,'Cage tracking'!F$4,'Cage Tally'!$E:$E, "Dark")=0),"",COUNTIFS('Cage Tally'!$A:$A,$A49,'Cage Tally'!$C:$C,'Cage tracking'!F$4,'Cage Tally'!$E:$E, "Dark"))</f>
        <v/>
      </c>
      <c r="G49" s="132" t="str">
        <f>IF((COUNTIFS('Cage Tally'!$A:$A,$A49,'Cage Tally'!$C:$C,'Cage tracking'!G$4,'Cage Tally'!$E:$E, "Dark")=0),"",COUNTIFS('Cage Tally'!$A:$A,$A49,'Cage Tally'!$C:$C,'Cage tracking'!G$4,'Cage Tally'!$E:$E, "Dark"))</f>
        <v/>
      </c>
      <c r="H49" s="129"/>
      <c r="I49" s="128"/>
      <c r="J49" s="31"/>
      <c r="K49" s="132" t="str">
        <f>IF((COUNTIFS('Cage Tally'!$A:$A,$A49,'Cage Tally'!$C:$C,'Cage tracking'!K$4,'Cage Tally'!$E:$E, "Light")=0),"",COUNTIFS('Cage Tally'!$A:$A,$A49,'Cage Tally'!$C:$C,'Cage tracking'!K$4,'Cage Tally'!$E:$E, "Light"))</f>
        <v/>
      </c>
      <c r="L49" s="132">
        <f>IF((COUNTIFS('Cage Tally'!$A:$A,$A49,'Cage Tally'!$C:$C,'Cage tracking'!L$4,'Cage Tally'!$E:$E, "Light")=0),"",COUNTIFS('Cage Tally'!$A:$A,$A49,'Cage Tally'!$C:$C,'Cage tracking'!L$4,'Cage Tally'!$E:$E, "Light"))</f>
        <v>1</v>
      </c>
      <c r="M49" s="132" t="str">
        <f>IF((COUNTIFS('Cage Tally'!$A:$A,$A49,'Cage Tally'!$C:$C,'Cage tracking'!M$4,'Cage Tally'!$E:$E, "Light")=0),"",COUNTIFS('Cage Tally'!$A:$A,$A49,'Cage Tally'!$C:$C,'Cage tracking'!M$4,'Cage Tally'!$E:$E, "Light"))</f>
        <v/>
      </c>
      <c r="N49" s="132">
        <f>IF((COUNTIFS('Cage Tally'!$A:$A,$A49,'Cage Tally'!$C:$C,'Cage tracking'!N$4,'Cage Tally'!$E:$E, "Light")=0),"",COUNTIFS('Cage Tally'!$A:$A,$A49,'Cage Tally'!$C:$C,'Cage tracking'!N$4,'Cage Tally'!$E:$E, "Light"))</f>
        <v>1</v>
      </c>
      <c r="O49" s="132" t="str">
        <f>IF((COUNTIFS('Cage Tally'!$A:$A,$A49,'Cage Tally'!$C:$C,'Cage tracking'!O$4,'Cage Tally'!$E:$E, "Light")=0),"",COUNTIFS('Cage Tally'!$A:$A,$A49,'Cage Tally'!$C:$C,'Cage tracking'!O$4,'Cage Tally'!$E:$E, "Light"))</f>
        <v/>
      </c>
      <c r="P49" s="132" t="str">
        <f>IF((COUNTIFS('Cage Tally'!$A:$A,$A49,'Cage Tally'!$C:$C,'Cage tracking'!P$4,'Cage Tally'!$E:$E, "Light")=0),"",COUNTIFS('Cage Tally'!$A:$A,$A49,'Cage Tally'!$C:$C,'Cage tracking'!P$4,'Cage Tally'!$E:$E, "Light"))</f>
        <v/>
      </c>
      <c r="Q49" s="135"/>
      <c r="R49" s="130"/>
      <c r="S49" s="132" t="str">
        <f>IF((COUNTIFS('Cage Tally'!$A:$A,$A49,'Cage Tally'!$C:$C,'Cage tracking'!S$4,'Cage Tally'!$E:$E, "decomm")=0),"",COUNTIFS('Cage Tally'!$A:$A,$A49,'Cage Tally'!$C:$C,'Cage tracking'!S$4,'Cage Tally'!$E:$E, "decomm"))</f>
        <v/>
      </c>
      <c r="T49" s="132" t="str">
        <f>IF((COUNTIFS('Cage Tally'!$A:$A,$A49,'Cage Tally'!$C:$C,'Cage tracking'!T$4,'Cage Tally'!$E:$E, "decomm")=0),"",COUNTIFS('Cage Tally'!$A:$A,$A49,'Cage Tally'!$C:$C,'Cage tracking'!T$4,'Cage Tally'!$E:$E, "decomm"))</f>
        <v/>
      </c>
      <c r="U49" s="132" t="str">
        <f>IF((COUNTIFS('Cage Tally'!$A:$A,$A49,'Cage Tally'!$C:$C,'Cage tracking'!U$4,'Cage Tally'!$E:$E, "decomm")=0),"",COUNTIFS('Cage Tally'!$A:$A,$A49,'Cage Tally'!$C:$C,'Cage tracking'!U$4,'Cage Tally'!$E:$E, "decomm"))</f>
        <v/>
      </c>
      <c r="V49" s="132" t="str">
        <f>IF((COUNTIFS('Cage Tally'!$A:$A,$A49,'Cage Tally'!$C:$C,'Cage tracking'!V$4,'Cage Tally'!$E:$E, "decomm")=0),"",COUNTIFS('Cage Tally'!$A:$A,$A49,'Cage Tally'!$C:$C,'Cage tracking'!V$4,'Cage Tally'!$E:$E, "decomm"))</f>
        <v/>
      </c>
      <c r="W49" s="132" t="str">
        <f>IF((COUNTIFS('Cage Tally'!$A:$A,$A49,'Cage Tally'!$C:$C,'Cage tracking'!W$4,'Cage Tally'!$E:$E, "decomm")=0),"",COUNTIFS('Cage Tally'!$A:$A,$A49,'Cage Tally'!$C:$C,'Cage tracking'!W$4,'Cage Tally'!$E:$E, "decomm"))</f>
        <v/>
      </c>
      <c r="X49" s="142" t="str">
        <f>IF((COUNTIFS('Cage Tally'!$A:$A,$A49,'Cage Tally'!$C:$C,'Cage tracking'!X$4,'Cage Tally'!$E:$E, "decomm")=0),"",COUNTIFS('Cage Tally'!$A:$A,$A49,'Cage Tally'!$C:$C,'Cage tracking'!X$4,'Cage Tally'!$E:$E, "decomm"))</f>
        <v/>
      </c>
      <c r="Y49" s="273"/>
      <c r="Z49" s="273"/>
      <c r="AA49" s="273"/>
      <c r="AB49" s="273"/>
      <c r="AC49" s="273"/>
      <c r="AD49" s="273"/>
      <c r="AE49" s="273"/>
      <c r="AF49" s="273"/>
      <c r="AG49" s="273"/>
      <c r="AH49" s="273"/>
      <c r="AI49" s="273"/>
      <c r="AJ49" s="273"/>
      <c r="AK49" s="273"/>
      <c r="AL49" s="273"/>
      <c r="AM49" s="273"/>
      <c r="AN49" s="273"/>
      <c r="AO49" s="273"/>
      <c r="AP49" s="273"/>
      <c r="AQ49" s="273"/>
      <c r="AR49" s="273"/>
      <c r="AS49" s="273"/>
      <c r="AT49" s="273"/>
      <c r="AU49" s="273"/>
      <c r="AV49" s="273"/>
    </row>
    <row r="50" spans="1:48" ht="12.75">
      <c r="A50" s="131">
        <v>44100</v>
      </c>
      <c r="B50" s="132" t="str">
        <f>IF((COUNTIFS('Cage Tally'!$A:$A,$A50,'Cage Tally'!$C:$C,'Cage tracking'!B$4,'Cage Tally'!$E:$E, "Dark")=0),"",COUNTIFS('Cage Tally'!$A:$A,$A50,'Cage Tally'!$C:$C,'Cage tracking'!B$4,'Cage Tally'!$E:$E, "Dark"))</f>
        <v/>
      </c>
      <c r="C50" s="132" t="str">
        <f>IF((COUNTIFS('Cage Tally'!$A:$A,$A50,'Cage Tally'!$C:$C,'Cage tracking'!C$4,'Cage Tally'!$E:$E, "Dark")=0),"",COUNTIFS('Cage Tally'!$A:$A,$A50,'Cage Tally'!$C:$C,'Cage tracking'!C$4,'Cage Tally'!$E:$E, "Dark"))</f>
        <v/>
      </c>
      <c r="D50" s="132" t="str">
        <f>IF((COUNTIFS('Cage Tally'!$A:$A,$A50,'Cage Tally'!$C:$C,'Cage tracking'!D$4,'Cage Tally'!$E:$E, "Dark")=0),"",COUNTIFS('Cage Tally'!$A:$A,$A50,'Cage Tally'!$C:$C,'Cage tracking'!D$4,'Cage Tally'!$E:$E, "Dark"))</f>
        <v/>
      </c>
      <c r="E50" s="132" t="str">
        <f>IF((COUNTIFS('Cage Tally'!$A:$A,$A50,'Cage Tally'!$C:$C,'Cage tracking'!E$4,'Cage Tally'!$E:$E, "Dark")=0),"",COUNTIFS('Cage Tally'!$A:$A,$A50,'Cage Tally'!$C:$C,'Cage tracking'!E$4,'Cage Tally'!$E:$E, "Dark"))</f>
        <v/>
      </c>
      <c r="F50" s="132" t="str">
        <f>IF((COUNTIFS('Cage Tally'!$A:$A,$A50,'Cage Tally'!$C:$C,'Cage tracking'!F$4,'Cage Tally'!$E:$E, "Dark")=0),"",COUNTIFS('Cage Tally'!$A:$A,$A50,'Cage Tally'!$C:$C,'Cage tracking'!F$4,'Cage Tally'!$E:$E, "Dark"))</f>
        <v/>
      </c>
      <c r="G50" s="132" t="str">
        <f>IF((COUNTIFS('Cage Tally'!$A:$A,$A50,'Cage Tally'!$C:$C,'Cage tracking'!G$4,'Cage Tally'!$E:$E, "Dark")=0),"",COUNTIFS('Cage Tally'!$A:$A,$A50,'Cage Tally'!$C:$C,'Cage tracking'!G$4,'Cage Tally'!$E:$E, "Dark"))</f>
        <v/>
      </c>
      <c r="H50" s="204"/>
      <c r="I50" s="128"/>
      <c r="J50" s="204"/>
      <c r="K50" s="132" t="str">
        <f>IF((COUNTIFS('Cage Tally'!$A:$A,$A50,'Cage Tally'!$C:$C,'Cage tracking'!K$4,'Cage Tally'!$E:$E, "Light")=0),"",COUNTIFS('Cage Tally'!$A:$A,$A50,'Cage Tally'!$C:$C,'Cage tracking'!K$4,'Cage Tally'!$E:$E, "Light"))</f>
        <v/>
      </c>
      <c r="L50" s="132" t="str">
        <f>IF((COUNTIFS('Cage Tally'!$A:$A,$A50,'Cage Tally'!$C:$C,'Cage tracking'!L$4,'Cage Tally'!$E:$E, "Light")=0),"",COUNTIFS('Cage Tally'!$A:$A,$A50,'Cage Tally'!$C:$C,'Cage tracking'!L$4,'Cage Tally'!$E:$E, "Light"))</f>
        <v/>
      </c>
      <c r="M50" s="132" t="str">
        <f>IF((COUNTIFS('Cage Tally'!$A:$A,$A50,'Cage Tally'!$C:$C,'Cage tracking'!M$4,'Cage Tally'!$E:$E, "Light")=0),"",COUNTIFS('Cage Tally'!$A:$A,$A50,'Cage Tally'!$C:$C,'Cage tracking'!M$4,'Cage Tally'!$E:$E, "Light"))</f>
        <v/>
      </c>
      <c r="N50" s="132" t="str">
        <f>IF((COUNTIFS('Cage Tally'!$A:$A,$A50,'Cage Tally'!$C:$C,'Cage tracking'!N$4,'Cage Tally'!$E:$E, "Light")=0),"",COUNTIFS('Cage Tally'!$A:$A,$A50,'Cage Tally'!$C:$C,'Cage tracking'!N$4,'Cage Tally'!$E:$E, "Light"))</f>
        <v/>
      </c>
      <c r="O50" s="132" t="str">
        <f>IF((COUNTIFS('Cage Tally'!$A:$A,$A50,'Cage Tally'!$C:$C,'Cage tracking'!O$4,'Cage Tally'!$E:$E, "Light")=0),"",COUNTIFS('Cage Tally'!$A:$A,$A50,'Cage Tally'!$C:$C,'Cage tracking'!O$4,'Cage Tally'!$E:$E, "Light"))</f>
        <v/>
      </c>
      <c r="P50" s="132" t="str">
        <f>IF((COUNTIFS('Cage Tally'!$A:$A,$A50,'Cage Tally'!$C:$C,'Cage tracking'!P$4,'Cage Tally'!$E:$E, "Light")=0),"",COUNTIFS('Cage Tally'!$A:$A,$A50,'Cage Tally'!$C:$C,'Cage tracking'!P$4,'Cage Tally'!$E:$E, "Light"))</f>
        <v/>
      </c>
      <c r="Q50" s="135"/>
      <c r="R50" s="205"/>
      <c r="S50" s="132" t="str">
        <f>IF((COUNTIFS('Cage Tally'!$A:$A,$A50,'Cage Tally'!$C:$C,'Cage tracking'!S$4,'Cage Tally'!$E:$E, "decomm")=0),"",COUNTIFS('Cage Tally'!$A:$A,$A50,'Cage Tally'!$C:$C,'Cage tracking'!S$4,'Cage Tally'!$E:$E, "decomm"))</f>
        <v/>
      </c>
      <c r="T50" s="132" t="str">
        <f>IF((COUNTIFS('Cage Tally'!$A:$A,$A50,'Cage Tally'!$C:$C,'Cage tracking'!T$4,'Cage Tally'!$E:$E, "decomm")=0),"",COUNTIFS('Cage Tally'!$A:$A,$A50,'Cage Tally'!$C:$C,'Cage tracking'!T$4,'Cage Tally'!$E:$E, "decomm"))</f>
        <v/>
      </c>
      <c r="U50" s="132" t="str">
        <f>IF((COUNTIFS('Cage Tally'!$A:$A,$A50,'Cage Tally'!$C:$C,'Cage tracking'!U$4,'Cage Tally'!$E:$E, "decomm")=0),"",COUNTIFS('Cage Tally'!$A:$A,$A50,'Cage Tally'!$C:$C,'Cage tracking'!U$4,'Cage Tally'!$E:$E, "decomm"))</f>
        <v/>
      </c>
      <c r="V50" s="132" t="str">
        <f>IF((COUNTIFS('Cage Tally'!$A:$A,$A50,'Cage Tally'!$C:$C,'Cage tracking'!V$4,'Cage Tally'!$E:$E, "decomm")=0),"",COUNTIFS('Cage Tally'!$A:$A,$A50,'Cage Tally'!$C:$C,'Cage tracking'!V$4,'Cage Tally'!$E:$E, "decomm"))</f>
        <v/>
      </c>
      <c r="W50" s="132" t="str">
        <f>IF((COUNTIFS('Cage Tally'!$A:$A,$A50,'Cage Tally'!$C:$C,'Cage tracking'!W$4,'Cage Tally'!$E:$E, "decomm")=0),"",COUNTIFS('Cage Tally'!$A:$A,$A50,'Cage Tally'!$C:$C,'Cage tracking'!W$4,'Cage Tally'!$E:$E, "decomm"))</f>
        <v/>
      </c>
      <c r="X50" s="142" t="str">
        <f>IF((COUNTIFS('Cage Tally'!$A:$A,$A50,'Cage Tally'!$C:$C,'Cage tracking'!X$4,'Cage Tally'!$E:$E, "decomm")=0),"",COUNTIFS('Cage Tally'!$A:$A,$A50,'Cage Tally'!$C:$C,'Cage tracking'!X$4,'Cage Tally'!$E:$E, "decomm"))</f>
        <v/>
      </c>
      <c r="Y50" s="273"/>
      <c r="Z50" s="273"/>
      <c r="AA50" s="273"/>
      <c r="AB50" s="273"/>
      <c r="AC50" s="273"/>
      <c r="AD50" s="273"/>
      <c r="AE50" s="273"/>
      <c r="AF50" s="273"/>
      <c r="AG50" s="273"/>
      <c r="AH50" s="273"/>
      <c r="AI50" s="273"/>
      <c r="AJ50" s="273"/>
      <c r="AK50" s="273"/>
      <c r="AL50" s="273"/>
      <c r="AM50" s="273"/>
      <c r="AN50" s="273"/>
      <c r="AO50" s="273"/>
      <c r="AP50" s="273"/>
      <c r="AQ50" s="273"/>
      <c r="AR50" s="273"/>
      <c r="AS50" s="273"/>
      <c r="AT50" s="273"/>
      <c r="AU50" s="273"/>
      <c r="AV50" s="273"/>
    </row>
    <row r="51" spans="1:48" ht="12.75">
      <c r="A51" s="126">
        <v>44101</v>
      </c>
      <c r="B51" s="206" t="str">
        <f>IF((COUNTIFS('Cage Tally'!$A:$A,$A51,'Cage Tally'!$C:$C,'Cage tracking'!B$4,'Cage Tally'!$E:$E, "Dark")=0),"",COUNTIFS('Cage Tally'!$A:$A,$A51,'Cage Tally'!$C:$C,'Cage tracking'!B$4,'Cage Tally'!$E:$E, "Dark"))</f>
        <v/>
      </c>
      <c r="C51" s="206" t="str">
        <f>IF((COUNTIFS('Cage Tally'!$A:$A,$A51,'Cage Tally'!$C:$C,'Cage tracking'!C$4,'Cage Tally'!$E:$E, "Dark")=0),"",COUNTIFS('Cage Tally'!$A:$A,$A51,'Cage Tally'!$C:$C,'Cage tracking'!C$4,'Cage Tally'!$E:$E, "Dark"))</f>
        <v/>
      </c>
      <c r="D51" s="206" t="str">
        <f>IF((COUNTIFS('Cage Tally'!$A:$A,$A51,'Cage Tally'!$C:$C,'Cage tracking'!D$4,'Cage Tally'!$E:$E, "Dark")=0),"",COUNTIFS('Cage Tally'!$A:$A,$A51,'Cage Tally'!$C:$C,'Cage tracking'!D$4,'Cage Tally'!$E:$E, "Dark"))</f>
        <v/>
      </c>
      <c r="E51" s="206" t="str">
        <f>IF((COUNTIFS('Cage Tally'!$A:$A,$A51,'Cage Tally'!$C:$C,'Cage tracking'!E$4,'Cage Tally'!$E:$E, "Dark")=0),"",COUNTIFS('Cage Tally'!$A:$A,$A51,'Cage Tally'!$C:$C,'Cage tracking'!E$4,'Cage Tally'!$E:$E, "Dark"))</f>
        <v/>
      </c>
      <c r="F51" s="206" t="str">
        <f>IF((COUNTIFS('Cage Tally'!$A:$A,$A51,'Cage Tally'!$C:$C,'Cage tracking'!F$4,'Cage Tally'!$E:$E, "Dark")=0),"",COUNTIFS('Cage Tally'!$A:$A,$A51,'Cage Tally'!$C:$C,'Cage tracking'!F$4,'Cage Tally'!$E:$E, "Dark"))</f>
        <v/>
      </c>
      <c r="G51" s="206" t="str">
        <f>IF((COUNTIFS('Cage Tally'!$A:$A,$A51,'Cage Tally'!$C:$C,'Cage tracking'!G$4,'Cage Tally'!$E:$E, "Dark")=0),"",COUNTIFS('Cage Tally'!$A:$A,$A51,'Cage Tally'!$C:$C,'Cage tracking'!G$4,'Cage Tally'!$E:$E, "Dark"))</f>
        <v/>
      </c>
      <c r="H51" s="129"/>
      <c r="I51" s="128"/>
      <c r="J51" s="31"/>
      <c r="K51" s="206" t="str">
        <f>IF((COUNTIFS('Cage Tally'!$A:$A,$A51,'Cage Tally'!$C:$C,'Cage tracking'!K$4,'Cage Tally'!$E:$E, "Light")=0),"",COUNTIFS('Cage Tally'!$A:$A,$A51,'Cage Tally'!$C:$C,'Cage tracking'!K$4,'Cage Tally'!$E:$E, "Light"))</f>
        <v/>
      </c>
      <c r="L51" s="206" t="str">
        <f>IF((COUNTIFS('Cage Tally'!$A:$A,$A51,'Cage Tally'!$C:$C,'Cage tracking'!L$4,'Cage Tally'!$E:$E, "Light")=0),"",COUNTIFS('Cage Tally'!$A:$A,$A51,'Cage Tally'!$C:$C,'Cage tracking'!L$4,'Cage Tally'!$E:$E, "Light"))</f>
        <v/>
      </c>
      <c r="M51" s="206" t="str">
        <f>IF((COUNTIFS('Cage Tally'!$A:$A,$A51,'Cage Tally'!$C:$C,'Cage tracking'!M$4,'Cage Tally'!$E:$E, "Light")=0),"",COUNTIFS('Cage Tally'!$A:$A,$A51,'Cage Tally'!$C:$C,'Cage tracking'!M$4,'Cage Tally'!$E:$E, "Light"))</f>
        <v/>
      </c>
      <c r="N51" s="206" t="str">
        <f>IF((COUNTIFS('Cage Tally'!$A:$A,$A51,'Cage Tally'!$C:$C,'Cage tracking'!N$4,'Cage Tally'!$E:$E, "Light")=0),"",COUNTIFS('Cage Tally'!$A:$A,$A51,'Cage Tally'!$C:$C,'Cage tracking'!N$4,'Cage Tally'!$E:$E, "Light"))</f>
        <v/>
      </c>
      <c r="O51" s="206" t="str">
        <f>IF((COUNTIFS('Cage Tally'!$A:$A,$A51,'Cage Tally'!$C:$C,'Cage tracking'!O$4,'Cage Tally'!$E:$E, "Light")=0),"",COUNTIFS('Cage Tally'!$A:$A,$A51,'Cage Tally'!$C:$C,'Cage tracking'!O$4,'Cage Tally'!$E:$E, "Light"))</f>
        <v/>
      </c>
      <c r="P51" s="206" t="str">
        <f>IF((COUNTIFS('Cage Tally'!$A:$A,$A51,'Cage Tally'!$C:$C,'Cage tracking'!P$4,'Cage Tally'!$E:$E, "Light")=0),"",COUNTIFS('Cage Tally'!$A:$A,$A51,'Cage Tally'!$C:$C,'Cage tracking'!P$4,'Cage Tally'!$E:$E, "Light"))</f>
        <v/>
      </c>
      <c r="Q51" s="206"/>
      <c r="R51" s="130"/>
      <c r="S51" s="206" t="str">
        <f>IF((COUNTIFS('Cage Tally'!$A:$A,$A51,'Cage Tally'!$C:$C,'Cage tracking'!S$4,'Cage Tally'!$E:$E, "decomm")=0),"",COUNTIFS('Cage Tally'!$A:$A,$A51,'Cage Tally'!$C:$C,'Cage tracking'!S$4,'Cage Tally'!$E:$E, "decomm"))</f>
        <v/>
      </c>
      <c r="T51" s="206" t="str">
        <f>IF((COUNTIFS('Cage Tally'!$A:$A,$A51,'Cage Tally'!$C:$C,'Cage tracking'!T$4,'Cage Tally'!$E:$E, "decomm")=0),"",COUNTIFS('Cage Tally'!$A:$A,$A51,'Cage Tally'!$C:$C,'Cage tracking'!T$4,'Cage Tally'!$E:$E, "decomm"))</f>
        <v/>
      </c>
      <c r="U51" s="206" t="str">
        <f>IF((COUNTIFS('Cage Tally'!$A:$A,$A51,'Cage Tally'!$C:$C,'Cage tracking'!U$4,'Cage Tally'!$E:$E, "decomm")=0),"",COUNTIFS('Cage Tally'!$A:$A,$A51,'Cage Tally'!$C:$C,'Cage tracking'!U$4,'Cage Tally'!$E:$E, "decomm"))</f>
        <v/>
      </c>
      <c r="V51" s="206" t="str">
        <f>IF((COUNTIFS('Cage Tally'!$A:$A,$A51,'Cage Tally'!$C:$C,'Cage tracking'!V$4,'Cage Tally'!$E:$E, "decomm")=0),"",COUNTIFS('Cage Tally'!$A:$A,$A51,'Cage Tally'!$C:$C,'Cage tracking'!V$4,'Cage Tally'!$E:$E, "decomm"))</f>
        <v/>
      </c>
      <c r="W51" s="206" t="str">
        <f>IF((COUNTIFS('Cage Tally'!$A:$A,$A51,'Cage Tally'!$C:$C,'Cage tracking'!W$4,'Cage Tally'!$E:$E, "decomm")=0),"",COUNTIFS('Cage Tally'!$A:$A,$A51,'Cage Tally'!$C:$C,'Cage tracking'!W$4,'Cage Tally'!$E:$E, "decomm"))</f>
        <v/>
      </c>
      <c r="X51" s="207" t="str">
        <f>IF((COUNTIFS('Cage Tally'!$A:$A,$A51,'Cage Tally'!$C:$C,'Cage tracking'!X$4,'Cage Tally'!$E:$E, "decomm")=0),"",COUNTIFS('Cage Tally'!$A:$A,$A51,'Cage Tally'!$C:$C,'Cage tracking'!X$4,'Cage Tally'!$E:$E, "decomm"))</f>
        <v/>
      </c>
      <c r="Y51" s="273"/>
      <c r="Z51" s="273"/>
      <c r="AA51" s="273"/>
      <c r="AB51" s="273"/>
      <c r="AC51" s="273"/>
      <c r="AD51" s="273"/>
      <c r="AE51" s="273"/>
      <c r="AF51" s="273"/>
      <c r="AG51" s="273"/>
      <c r="AH51" s="273"/>
      <c r="AI51" s="273"/>
      <c r="AJ51" s="273"/>
      <c r="AK51" s="273"/>
      <c r="AL51" s="273"/>
      <c r="AM51" s="273"/>
      <c r="AN51" s="273"/>
      <c r="AO51" s="273"/>
      <c r="AP51" s="273"/>
      <c r="AQ51" s="273"/>
      <c r="AR51" s="273"/>
      <c r="AS51" s="273"/>
      <c r="AT51" s="273"/>
      <c r="AU51" s="273"/>
      <c r="AV51" s="273"/>
    </row>
    <row r="52" spans="1:48" ht="12.75">
      <c r="A52" s="131">
        <v>44102</v>
      </c>
      <c r="B52" s="132" t="str">
        <f>IF((COUNTIFS('Cage Tally'!$A:$A,$A52,'Cage Tally'!$C:$C,'Cage tracking'!B$4,'Cage Tally'!$E:$E, "Dark")=0),"",COUNTIFS('Cage Tally'!$A:$A,$A52,'Cage Tally'!$C:$C,'Cage tracking'!B$4,'Cage Tally'!$E:$E, "Dark"))</f>
        <v/>
      </c>
      <c r="C52" s="132" t="str">
        <f>IF((COUNTIFS('Cage Tally'!$A:$A,$A52,'Cage Tally'!$C:$C,'Cage tracking'!C$4,'Cage Tally'!$E:$E, "Dark")=0),"",COUNTIFS('Cage Tally'!$A:$A,$A52,'Cage Tally'!$C:$C,'Cage tracking'!C$4,'Cage Tally'!$E:$E, "Dark"))</f>
        <v/>
      </c>
      <c r="D52" s="132" t="str">
        <f>IF((COUNTIFS('Cage Tally'!$A:$A,$A52,'Cage Tally'!$C:$C,'Cage tracking'!D$4,'Cage Tally'!$E:$E, "Dark")=0),"",COUNTIFS('Cage Tally'!$A:$A,$A52,'Cage Tally'!$C:$C,'Cage tracking'!D$4,'Cage Tally'!$E:$E, "Dark"))</f>
        <v/>
      </c>
      <c r="E52" s="132" t="str">
        <f>IF((COUNTIFS('Cage Tally'!$A:$A,$A52,'Cage Tally'!$C:$C,'Cage tracking'!E$4,'Cage Tally'!$E:$E, "Dark")=0),"",COUNTIFS('Cage Tally'!$A:$A,$A52,'Cage Tally'!$C:$C,'Cage tracking'!E$4,'Cage Tally'!$E:$E, "Dark"))</f>
        <v/>
      </c>
      <c r="F52" s="132" t="str">
        <f>IF((COUNTIFS('Cage Tally'!$A:$A,$A52,'Cage Tally'!$C:$C,'Cage tracking'!F$4,'Cage Tally'!$E:$E, "Dark")=0),"",COUNTIFS('Cage Tally'!$A:$A,$A52,'Cage Tally'!$C:$C,'Cage tracking'!F$4,'Cage Tally'!$E:$E, "Dark"))</f>
        <v/>
      </c>
      <c r="G52" s="132" t="str">
        <f>IF((COUNTIFS('Cage Tally'!$A:$A,$A52,'Cage Tally'!$C:$C,'Cage tracking'!G$4,'Cage Tally'!$E:$E, "Dark")=0),"",COUNTIFS('Cage Tally'!$A:$A,$A52,'Cage Tally'!$C:$C,'Cage tracking'!G$4,'Cage Tally'!$E:$E, "Dark"))</f>
        <v/>
      </c>
      <c r="H52" s="204"/>
      <c r="I52" s="128"/>
      <c r="J52" s="204"/>
      <c r="K52" s="132" t="str">
        <f>IF((COUNTIFS('Cage Tally'!$A:$A,$A52,'Cage Tally'!$C:$C,'Cage tracking'!K$4,'Cage Tally'!$E:$E, "Light")=0),"",COUNTIFS('Cage Tally'!$A:$A,$A52,'Cage Tally'!$C:$C,'Cage tracking'!K$4,'Cage Tally'!$E:$E, "Light"))</f>
        <v/>
      </c>
      <c r="L52" s="132">
        <f>IF((COUNTIFS('Cage Tally'!$A:$A,$A52,'Cage Tally'!$C:$C,'Cage tracking'!L$4,'Cage Tally'!$E:$E, "Light")=0),"",COUNTIFS('Cage Tally'!$A:$A,$A52,'Cage Tally'!$C:$C,'Cage tracking'!L$4,'Cage Tally'!$E:$E, "Light"))</f>
        <v>1</v>
      </c>
      <c r="M52" s="132" t="str">
        <f>IF((COUNTIFS('Cage Tally'!$A:$A,$A52,'Cage Tally'!$C:$C,'Cage tracking'!M$4,'Cage Tally'!$E:$E, "Light")=0),"",COUNTIFS('Cage Tally'!$A:$A,$A52,'Cage Tally'!$C:$C,'Cage tracking'!M$4,'Cage Tally'!$E:$E, "Light"))</f>
        <v/>
      </c>
      <c r="N52" s="132">
        <f>IF((COUNTIFS('Cage Tally'!$A:$A,$A52,'Cage Tally'!$C:$C,'Cage tracking'!N$4,'Cage Tally'!$E:$E, "Light")=0),"",COUNTIFS('Cage Tally'!$A:$A,$A52,'Cage Tally'!$C:$C,'Cage tracking'!N$4,'Cage Tally'!$E:$E, "Light"))</f>
        <v>1</v>
      </c>
      <c r="O52" s="132" t="str">
        <f>IF((COUNTIFS('Cage Tally'!$A:$A,$A52,'Cage Tally'!$C:$C,'Cage tracking'!O$4,'Cage Tally'!$E:$E, "Light")=0),"",COUNTIFS('Cage Tally'!$A:$A,$A52,'Cage Tally'!$C:$C,'Cage tracking'!O$4,'Cage Tally'!$E:$E, "Light"))</f>
        <v/>
      </c>
      <c r="P52" s="132" t="str">
        <f>IF((COUNTIFS('Cage Tally'!$A:$A,$A52,'Cage Tally'!$C:$C,'Cage tracking'!P$4,'Cage Tally'!$E:$E, "Light")=0),"",COUNTIFS('Cage Tally'!$A:$A,$A52,'Cage Tally'!$C:$C,'Cage tracking'!P$4,'Cage Tally'!$E:$E, "Light"))</f>
        <v/>
      </c>
      <c r="Q52" s="135"/>
      <c r="R52" s="205"/>
      <c r="S52" s="132" t="str">
        <f>IF((COUNTIFS('Cage Tally'!$A:$A,$A52,'Cage Tally'!$C:$C,'Cage tracking'!S$4,'Cage Tally'!$E:$E, "decomm")=0),"",COUNTIFS('Cage Tally'!$A:$A,$A52,'Cage Tally'!$C:$C,'Cage tracking'!S$4,'Cage Tally'!$E:$E, "decomm"))</f>
        <v/>
      </c>
      <c r="T52" s="132">
        <f>IF((COUNTIFS('Cage Tally'!$A:$A,$A52,'Cage Tally'!$C:$C,'Cage tracking'!T$4,'Cage Tally'!$E:$E, "decomm")=0),"",COUNTIFS('Cage Tally'!$A:$A,$A52,'Cage Tally'!$C:$C,'Cage tracking'!T$4,'Cage Tally'!$E:$E, "decomm"))</f>
        <v>1</v>
      </c>
      <c r="U52" s="132">
        <f>IF((COUNTIFS('Cage Tally'!$A:$A,$A52,'Cage Tally'!$C:$C,'Cage tracking'!U$4,'Cage Tally'!$E:$E, "decomm")=0),"",COUNTIFS('Cage Tally'!$A:$A,$A52,'Cage Tally'!$C:$C,'Cage tracking'!U$4,'Cage Tally'!$E:$E, "decomm"))</f>
        <v>3</v>
      </c>
      <c r="V52" s="132">
        <f>IF((COUNTIFS('Cage Tally'!$A:$A,$A52,'Cage Tally'!$C:$C,'Cage tracking'!V$4,'Cage Tally'!$E:$E, "decomm")=0),"",COUNTIFS('Cage Tally'!$A:$A,$A52,'Cage Tally'!$C:$C,'Cage tracking'!V$4,'Cage Tally'!$E:$E, "decomm"))</f>
        <v>5</v>
      </c>
      <c r="W52" s="132" t="str">
        <f>IF((COUNTIFS('Cage Tally'!$A:$A,$A52,'Cage Tally'!$C:$C,'Cage tracking'!W$4,'Cage Tally'!$E:$E, "decomm")=0),"",COUNTIFS('Cage Tally'!$A:$A,$A52,'Cage Tally'!$C:$C,'Cage tracking'!W$4,'Cage Tally'!$E:$E, "decomm"))</f>
        <v/>
      </c>
      <c r="X52" s="142" t="str">
        <f>IF((COUNTIFS('Cage Tally'!$A:$A,$A52,'Cage Tally'!$C:$C,'Cage tracking'!X$4,'Cage Tally'!$E:$E, "decomm")=0),"",COUNTIFS('Cage Tally'!$A:$A,$A52,'Cage Tally'!$C:$C,'Cage tracking'!X$4,'Cage Tally'!$E:$E, "decomm"))</f>
        <v/>
      </c>
      <c r="Y52" s="273"/>
      <c r="Z52" s="273"/>
      <c r="AA52" s="273"/>
      <c r="AB52" s="273"/>
      <c r="AC52" s="273"/>
      <c r="AD52" s="273"/>
      <c r="AE52" s="273"/>
      <c r="AF52" s="273"/>
      <c r="AG52" s="273"/>
      <c r="AH52" s="273"/>
      <c r="AI52" s="273"/>
      <c r="AJ52" s="273"/>
      <c r="AK52" s="273"/>
      <c r="AL52" s="273"/>
      <c r="AM52" s="273"/>
      <c r="AN52" s="273"/>
      <c r="AO52" s="273"/>
      <c r="AP52" s="273"/>
      <c r="AQ52" s="273"/>
      <c r="AR52" s="273"/>
      <c r="AS52" s="273"/>
      <c r="AT52" s="273"/>
      <c r="AU52" s="273"/>
      <c r="AV52" s="273"/>
    </row>
    <row r="53" spans="1:48" ht="12.75">
      <c r="A53" s="126">
        <v>44103</v>
      </c>
      <c r="B53" s="206" t="str">
        <f>IF((COUNTIFS('Cage Tally'!$A:$A,$A53,'Cage Tally'!$C:$C,'Cage tracking'!B$4,'Cage Tally'!$E:$E, "Dark")=0),"",COUNTIFS('Cage Tally'!$A:$A,$A53,'Cage Tally'!$C:$C,'Cage tracking'!B$4,'Cage Tally'!$E:$E, "Dark"))</f>
        <v/>
      </c>
      <c r="C53" s="206" t="str">
        <f>IF((COUNTIFS('Cage Tally'!$A:$A,$A53,'Cage Tally'!$C:$C,'Cage tracking'!C$4,'Cage Tally'!$E:$E, "Dark")=0),"",COUNTIFS('Cage Tally'!$A:$A,$A53,'Cage Tally'!$C:$C,'Cage tracking'!C$4,'Cage Tally'!$E:$E, "Dark"))</f>
        <v/>
      </c>
      <c r="D53" s="206" t="str">
        <f>IF((COUNTIFS('Cage Tally'!$A:$A,$A53,'Cage Tally'!$C:$C,'Cage tracking'!D$4,'Cage Tally'!$E:$E, "Dark")=0),"",COUNTIFS('Cage Tally'!$A:$A,$A53,'Cage Tally'!$C:$C,'Cage tracking'!D$4,'Cage Tally'!$E:$E, "Dark"))</f>
        <v/>
      </c>
      <c r="E53" s="206" t="str">
        <f>IF((COUNTIFS('Cage Tally'!$A:$A,$A53,'Cage Tally'!$C:$C,'Cage tracking'!E$4,'Cage Tally'!$E:$E, "Dark")=0),"",COUNTIFS('Cage Tally'!$A:$A,$A53,'Cage Tally'!$C:$C,'Cage tracking'!E$4,'Cage Tally'!$E:$E, "Dark"))</f>
        <v/>
      </c>
      <c r="F53" s="206" t="str">
        <f>IF((COUNTIFS('Cage Tally'!$A:$A,$A53,'Cage Tally'!$C:$C,'Cage tracking'!F$4,'Cage Tally'!$E:$E, "Dark")=0),"",COUNTIFS('Cage Tally'!$A:$A,$A53,'Cage Tally'!$C:$C,'Cage tracking'!F$4,'Cage Tally'!$E:$E, "Dark"))</f>
        <v/>
      </c>
      <c r="G53" s="206" t="str">
        <f>IF((COUNTIFS('Cage Tally'!$A:$A,$A53,'Cage Tally'!$C:$C,'Cage tracking'!G$4,'Cage Tally'!$E:$E, "Dark")=0),"",COUNTIFS('Cage Tally'!$A:$A,$A53,'Cage Tally'!$C:$C,'Cage tracking'!G$4,'Cage Tally'!$E:$E, "Dark"))</f>
        <v/>
      </c>
      <c r="H53" s="129"/>
      <c r="I53" s="128"/>
      <c r="J53" s="31"/>
      <c r="K53" s="206" t="str">
        <f>IF((COUNTIFS('Cage Tally'!$A:$A,$A53,'Cage Tally'!$C:$C,'Cage tracking'!K$4,'Cage Tally'!$E:$E, "Light")=0),"",COUNTIFS('Cage Tally'!$A:$A,$A53,'Cage Tally'!$C:$C,'Cage tracking'!K$4,'Cage Tally'!$E:$E, "Light"))</f>
        <v/>
      </c>
      <c r="L53" s="206" t="str">
        <f>IF((COUNTIFS('Cage Tally'!$A:$A,$A53,'Cage Tally'!$C:$C,'Cage tracking'!L$4,'Cage Tally'!$E:$E, "Light")=0),"",COUNTIFS('Cage Tally'!$A:$A,$A53,'Cage Tally'!$C:$C,'Cage tracking'!L$4,'Cage Tally'!$E:$E, "Light"))</f>
        <v/>
      </c>
      <c r="M53" s="206" t="str">
        <f>IF((COUNTIFS('Cage Tally'!$A:$A,$A53,'Cage Tally'!$C:$C,'Cage tracking'!M$4,'Cage Tally'!$E:$E, "Light")=0),"",COUNTIFS('Cage Tally'!$A:$A,$A53,'Cage Tally'!$C:$C,'Cage tracking'!M$4,'Cage Tally'!$E:$E, "Light"))</f>
        <v/>
      </c>
      <c r="N53" s="206" t="str">
        <f>IF((COUNTIFS('Cage Tally'!$A:$A,$A53,'Cage Tally'!$C:$C,'Cage tracking'!N$4,'Cage Tally'!$E:$E, "Light")=0),"",COUNTIFS('Cage Tally'!$A:$A,$A53,'Cage Tally'!$C:$C,'Cage tracking'!N$4,'Cage Tally'!$E:$E, "Light"))</f>
        <v/>
      </c>
      <c r="O53" s="206" t="str">
        <f>IF((COUNTIFS('Cage Tally'!$A:$A,$A53,'Cage Tally'!$C:$C,'Cage tracking'!O$4,'Cage Tally'!$E:$E, "Light")=0),"",COUNTIFS('Cage Tally'!$A:$A,$A53,'Cage Tally'!$C:$C,'Cage tracking'!O$4,'Cage Tally'!$E:$E, "Light"))</f>
        <v/>
      </c>
      <c r="P53" s="206" t="str">
        <f>IF((COUNTIFS('Cage Tally'!$A:$A,$A53,'Cage Tally'!$C:$C,'Cage tracking'!P$4,'Cage Tally'!$E:$E, "Light")=0),"",COUNTIFS('Cage Tally'!$A:$A,$A53,'Cage Tally'!$C:$C,'Cage tracking'!P$4,'Cage Tally'!$E:$E, "Light"))</f>
        <v/>
      </c>
      <c r="Q53" s="206"/>
      <c r="R53" s="130"/>
      <c r="S53" s="206" t="str">
        <f>IF((COUNTIFS('Cage Tally'!$A:$A,$A53,'Cage Tally'!$C:$C,'Cage tracking'!S$4,'Cage Tally'!$E:$E, "decomm")=0),"",COUNTIFS('Cage Tally'!$A:$A,$A53,'Cage Tally'!$C:$C,'Cage tracking'!S$4,'Cage Tally'!$E:$E, "decomm"))</f>
        <v/>
      </c>
      <c r="T53" s="206" t="str">
        <f>IF((COUNTIFS('Cage Tally'!$A:$A,$A53,'Cage Tally'!$C:$C,'Cage tracking'!T$4,'Cage Tally'!$E:$E, "decomm")=0),"",COUNTIFS('Cage Tally'!$A:$A,$A53,'Cage Tally'!$C:$C,'Cage tracking'!T$4,'Cage Tally'!$E:$E, "decomm"))</f>
        <v/>
      </c>
      <c r="U53" s="206" t="str">
        <f>IF((COUNTIFS('Cage Tally'!$A:$A,$A53,'Cage Tally'!$C:$C,'Cage tracking'!U$4,'Cage Tally'!$E:$E, "decomm")=0),"",COUNTIFS('Cage Tally'!$A:$A,$A53,'Cage Tally'!$C:$C,'Cage tracking'!U$4,'Cage Tally'!$E:$E, "decomm"))</f>
        <v/>
      </c>
      <c r="V53" s="206" t="str">
        <f>IF((COUNTIFS('Cage Tally'!$A:$A,$A53,'Cage Tally'!$C:$C,'Cage tracking'!V$4,'Cage Tally'!$E:$E, "decomm")=0),"",COUNTIFS('Cage Tally'!$A:$A,$A53,'Cage Tally'!$C:$C,'Cage tracking'!V$4,'Cage Tally'!$E:$E, "decomm"))</f>
        <v/>
      </c>
      <c r="W53" s="206" t="str">
        <f>IF((COUNTIFS('Cage Tally'!$A:$A,$A53,'Cage Tally'!$C:$C,'Cage tracking'!W$4,'Cage Tally'!$E:$E, "decomm")=0),"",COUNTIFS('Cage Tally'!$A:$A,$A53,'Cage Tally'!$C:$C,'Cage tracking'!W$4,'Cage Tally'!$E:$E, "decomm"))</f>
        <v/>
      </c>
      <c r="X53" s="207" t="str">
        <f>IF((COUNTIFS('Cage Tally'!$A:$A,$A53,'Cage Tally'!$C:$C,'Cage tracking'!X$4,'Cage Tally'!$E:$E, "decomm")=0),"",COUNTIFS('Cage Tally'!$A:$A,$A53,'Cage Tally'!$C:$C,'Cage tracking'!X$4,'Cage Tally'!$E:$E, "decomm"))</f>
        <v/>
      </c>
      <c r="Y53" s="273"/>
      <c r="Z53" s="273"/>
      <c r="AA53" s="273"/>
      <c r="AB53" s="273"/>
      <c r="AC53" s="273"/>
      <c r="AD53" s="273"/>
      <c r="AE53" s="273"/>
      <c r="AF53" s="273"/>
      <c r="AG53" s="273"/>
      <c r="AH53" s="273"/>
      <c r="AI53" s="273"/>
      <c r="AJ53" s="273"/>
      <c r="AK53" s="273"/>
      <c r="AL53" s="273"/>
      <c r="AM53" s="273"/>
      <c r="AN53" s="273"/>
      <c r="AO53" s="273"/>
      <c r="AP53" s="273"/>
      <c r="AQ53" s="273"/>
      <c r="AR53" s="273"/>
      <c r="AS53" s="273"/>
      <c r="AT53" s="273"/>
      <c r="AU53" s="273"/>
      <c r="AV53" s="273"/>
    </row>
    <row r="54" spans="1:48" ht="12.75">
      <c r="A54" s="131">
        <v>44104</v>
      </c>
      <c r="B54" s="132" t="str">
        <f>IF((COUNTIFS('Cage Tally'!$A:$A,$A54,'Cage Tally'!$C:$C,'Cage tracking'!B$4,'Cage Tally'!$E:$E, "Dark")=0),"",COUNTIFS('Cage Tally'!$A:$A,$A54,'Cage Tally'!$C:$C,'Cage tracking'!B$4,'Cage Tally'!$E:$E, "Dark"))</f>
        <v/>
      </c>
      <c r="C54" s="132" t="str">
        <f>IF((COUNTIFS('Cage Tally'!$A:$A,$A54,'Cage Tally'!$C:$C,'Cage tracking'!C$4,'Cage Tally'!$E:$E, "Dark")=0),"",COUNTIFS('Cage Tally'!$A:$A,$A54,'Cage Tally'!$C:$C,'Cage tracking'!C$4,'Cage Tally'!$E:$E, "Dark"))</f>
        <v/>
      </c>
      <c r="D54" s="132" t="str">
        <f>IF((COUNTIFS('Cage Tally'!$A:$A,$A54,'Cage Tally'!$C:$C,'Cage tracking'!D$4,'Cage Tally'!$E:$E, "Dark")=0),"",COUNTIFS('Cage Tally'!$A:$A,$A54,'Cage Tally'!$C:$C,'Cage tracking'!D$4,'Cage Tally'!$E:$E, "Dark"))</f>
        <v/>
      </c>
      <c r="E54" s="132">
        <f>IF((COUNTIFS('Cage Tally'!$A:$A,$A54,'Cage Tally'!$C:$C,'Cage tracking'!E$4,'Cage Tally'!$E:$E, "Dark")=0),"",COUNTIFS('Cage Tally'!$A:$A,$A54,'Cage Tally'!$C:$C,'Cage tracking'!E$4,'Cage Tally'!$E:$E, "Dark"))</f>
        <v>2</v>
      </c>
      <c r="F54" s="132" t="str">
        <f>IF((COUNTIFS('Cage Tally'!$A:$A,$A54,'Cage Tally'!$C:$C,'Cage tracking'!F$4,'Cage Tally'!$E:$E, "Dark")=0),"",COUNTIFS('Cage Tally'!$A:$A,$A54,'Cage Tally'!$C:$C,'Cage tracking'!F$4,'Cage Tally'!$E:$E, "Dark"))</f>
        <v/>
      </c>
      <c r="G54" s="132" t="str">
        <f>IF((COUNTIFS('Cage Tally'!$A:$A,$A54,'Cage Tally'!$C:$C,'Cage tracking'!G$4,'Cage Tally'!$E:$E, "Dark")=0),"",COUNTIFS('Cage Tally'!$A:$A,$A54,'Cage Tally'!$C:$C,'Cage tracking'!G$4,'Cage Tally'!$E:$E, "Dark"))</f>
        <v/>
      </c>
      <c r="H54" s="204"/>
      <c r="I54" s="128"/>
      <c r="J54" s="204"/>
      <c r="K54" s="132" t="str">
        <f>IF((COUNTIFS('Cage Tally'!$A:$A,$A54,'Cage Tally'!$C:$C,'Cage tracking'!K$4,'Cage Tally'!$E:$E, "Light")=0),"",COUNTIFS('Cage Tally'!$A:$A,$A54,'Cage Tally'!$C:$C,'Cage tracking'!K$4,'Cage Tally'!$E:$E, "Light"))</f>
        <v/>
      </c>
      <c r="L54" s="132" t="str">
        <f>IF((COUNTIFS('Cage Tally'!$A:$A,$A54,'Cage Tally'!$C:$C,'Cage tracking'!L$4,'Cage Tally'!$E:$E, "Light")=0),"",COUNTIFS('Cage Tally'!$A:$A,$A54,'Cage Tally'!$C:$C,'Cage tracking'!L$4,'Cage Tally'!$E:$E, "Light"))</f>
        <v/>
      </c>
      <c r="M54" s="132">
        <f>IF((COUNTIFS('Cage Tally'!$A:$A,$A54,'Cage Tally'!$C:$C,'Cage tracking'!M$4,'Cage Tally'!$E:$E, "Light")=0),"",COUNTIFS('Cage Tally'!$A:$A,$A54,'Cage Tally'!$C:$C,'Cage tracking'!M$4,'Cage Tally'!$E:$E, "Light"))</f>
        <v>1</v>
      </c>
      <c r="N54" s="132">
        <f>IF((COUNTIFS('Cage Tally'!$A:$A,$A54,'Cage Tally'!$C:$C,'Cage tracking'!N$4,'Cage Tally'!$E:$E, "Light")=0),"",COUNTIFS('Cage Tally'!$A:$A,$A54,'Cage Tally'!$C:$C,'Cage tracking'!N$4,'Cage Tally'!$E:$E, "Light"))</f>
        <v>2</v>
      </c>
      <c r="O54" s="132" t="str">
        <f>IF((COUNTIFS('Cage Tally'!$A:$A,$A54,'Cage Tally'!$C:$C,'Cage tracking'!O$4,'Cage Tally'!$E:$E, "Light")=0),"",COUNTIFS('Cage Tally'!$A:$A,$A54,'Cage Tally'!$C:$C,'Cage tracking'!O$4,'Cage Tally'!$E:$E, "Light"))</f>
        <v/>
      </c>
      <c r="P54" s="132" t="str">
        <f>IF((COUNTIFS('Cage Tally'!$A:$A,$A54,'Cage Tally'!$C:$C,'Cage tracking'!P$4,'Cage Tally'!$E:$E, "Light")=0),"",COUNTIFS('Cage Tally'!$A:$A,$A54,'Cage Tally'!$C:$C,'Cage tracking'!P$4,'Cage Tally'!$E:$E, "Light"))</f>
        <v/>
      </c>
      <c r="Q54" s="135"/>
      <c r="R54" s="205"/>
      <c r="S54" s="132" t="str">
        <f>IF((COUNTIFS('Cage Tally'!$A:$A,$A54,'Cage Tally'!$C:$C,'Cage tracking'!S$4,'Cage Tally'!$E:$E, "decomm")=0),"",COUNTIFS('Cage Tally'!$A:$A,$A54,'Cage Tally'!$C:$C,'Cage tracking'!S$4,'Cage Tally'!$E:$E, "decomm"))</f>
        <v/>
      </c>
      <c r="T54" s="132" t="str">
        <f>IF((COUNTIFS('Cage Tally'!$A:$A,$A54,'Cage Tally'!$C:$C,'Cage tracking'!T$4,'Cage Tally'!$E:$E, "decomm")=0),"",COUNTIFS('Cage Tally'!$A:$A,$A54,'Cage Tally'!$C:$C,'Cage tracking'!T$4,'Cage Tally'!$E:$E, "decomm"))</f>
        <v/>
      </c>
      <c r="U54" s="132" t="str">
        <f>IF((COUNTIFS('Cage Tally'!$A:$A,$A54,'Cage Tally'!$C:$C,'Cage tracking'!U$4,'Cage Tally'!$E:$E, "decomm")=0),"",COUNTIFS('Cage Tally'!$A:$A,$A54,'Cage Tally'!$C:$C,'Cage tracking'!U$4,'Cage Tally'!$E:$E, "decomm"))</f>
        <v/>
      </c>
      <c r="V54" s="132" t="str">
        <f>IF((COUNTIFS('Cage Tally'!$A:$A,$A54,'Cage Tally'!$C:$C,'Cage tracking'!V$4,'Cage Tally'!$E:$E, "decomm")=0),"",COUNTIFS('Cage Tally'!$A:$A,$A54,'Cage Tally'!$C:$C,'Cage tracking'!V$4,'Cage Tally'!$E:$E, "decomm"))</f>
        <v/>
      </c>
      <c r="W54" s="132">
        <f>IF((COUNTIFS('Cage Tally'!$A:$A,$A54,'Cage Tally'!$C:$C,'Cage tracking'!W$4,'Cage Tally'!$E:$E, "decomm")=0),"",COUNTIFS('Cage Tally'!$A:$A,$A54,'Cage Tally'!$C:$C,'Cage tracking'!W$4,'Cage Tally'!$E:$E, "decomm"))</f>
        <v>1</v>
      </c>
      <c r="X54" s="142" t="str">
        <f>IF((COUNTIFS('Cage Tally'!$A:$A,$A54,'Cage Tally'!$C:$C,'Cage tracking'!X$4,'Cage Tally'!$E:$E, "decomm")=0),"",COUNTIFS('Cage Tally'!$A:$A,$A54,'Cage Tally'!$C:$C,'Cage tracking'!X$4,'Cage Tally'!$E:$E, "decomm"))</f>
        <v/>
      </c>
      <c r="Y54" s="273"/>
      <c r="Z54" s="273"/>
      <c r="AA54" s="273"/>
      <c r="AB54" s="273"/>
      <c r="AC54" s="273"/>
      <c r="AD54" s="273"/>
      <c r="AE54" s="273"/>
      <c r="AF54" s="273"/>
      <c r="AG54" s="273"/>
      <c r="AH54" s="273"/>
      <c r="AI54" s="273"/>
      <c r="AJ54" s="273"/>
      <c r="AK54" s="273"/>
      <c r="AL54" s="273"/>
      <c r="AM54" s="273"/>
      <c r="AN54" s="273"/>
      <c r="AO54" s="273"/>
      <c r="AP54" s="273"/>
      <c r="AQ54" s="273"/>
      <c r="AR54" s="273"/>
      <c r="AS54" s="273"/>
      <c r="AT54" s="273"/>
      <c r="AU54" s="273"/>
      <c r="AV54" s="273"/>
    </row>
    <row r="55" spans="1:48" ht="12.75">
      <c r="A55" s="126">
        <v>44105</v>
      </c>
      <c r="B55" s="206" t="str">
        <f>IF((COUNTIFS('Cage Tally'!$A:$A,$A55,'Cage Tally'!$C:$C,'Cage tracking'!B$4,'Cage Tally'!$E:$E, "Dark")=0),"",COUNTIFS('Cage Tally'!$A:$A,$A55,'Cage Tally'!$C:$C,'Cage tracking'!B$4,'Cage Tally'!$E:$E, "Dark"))</f>
        <v/>
      </c>
      <c r="C55" s="206" t="str">
        <f>IF((COUNTIFS('Cage Tally'!$A:$A,$A55,'Cage Tally'!$C:$C,'Cage tracking'!C$4,'Cage Tally'!$E:$E, "Dark")=0),"",COUNTIFS('Cage Tally'!$A:$A,$A55,'Cage Tally'!$C:$C,'Cage tracking'!C$4,'Cage Tally'!$E:$E, "Dark"))</f>
        <v/>
      </c>
      <c r="D55" s="206">
        <f>IF((COUNTIFS('Cage Tally'!$A:$A,$A55,'Cage Tally'!$C:$C,'Cage tracking'!D$4,'Cage Tally'!$E:$E, "Dark")=0),"",COUNTIFS('Cage Tally'!$A:$A,$A55,'Cage Tally'!$C:$C,'Cage tracking'!D$4,'Cage Tally'!$E:$E, "Dark"))</f>
        <v>3</v>
      </c>
      <c r="E55" s="206" t="str">
        <f>IF((COUNTIFS('Cage Tally'!$A:$A,$A55,'Cage Tally'!$C:$C,'Cage tracking'!E$4,'Cage Tally'!$E:$E, "Dark")=0),"",COUNTIFS('Cage Tally'!$A:$A,$A55,'Cage Tally'!$C:$C,'Cage tracking'!E$4,'Cage Tally'!$E:$E, "Dark"))</f>
        <v/>
      </c>
      <c r="F55" s="206" t="str">
        <f>IF((COUNTIFS('Cage Tally'!$A:$A,$A55,'Cage Tally'!$C:$C,'Cage tracking'!F$4,'Cage Tally'!$E:$E, "Dark")=0),"",COUNTIFS('Cage Tally'!$A:$A,$A55,'Cage Tally'!$C:$C,'Cage tracking'!F$4,'Cage Tally'!$E:$E, "Dark"))</f>
        <v/>
      </c>
      <c r="G55" s="206" t="str">
        <f>IF((COUNTIFS('Cage Tally'!$A:$A,$A55,'Cage Tally'!$C:$C,'Cage tracking'!G$4,'Cage Tally'!$E:$E, "Dark")=0),"",COUNTIFS('Cage Tally'!$A:$A,$A55,'Cage Tally'!$C:$C,'Cage tracking'!G$4,'Cage Tally'!$E:$E, "Dark"))</f>
        <v/>
      </c>
      <c r="H55" s="129"/>
      <c r="I55" s="128"/>
      <c r="J55" s="31"/>
      <c r="K55" s="206" t="str">
        <f>IF((COUNTIFS('Cage Tally'!$A:$A,$A55,'Cage Tally'!$C:$C,'Cage tracking'!K$4,'Cage Tally'!$E:$E, "Light")=0),"",COUNTIFS('Cage Tally'!$A:$A,$A55,'Cage Tally'!$C:$C,'Cage tracking'!K$4,'Cage Tally'!$E:$E, "Light"))</f>
        <v/>
      </c>
      <c r="L55" s="206" t="str">
        <f>IF((COUNTIFS('Cage Tally'!$A:$A,$A55,'Cage Tally'!$C:$C,'Cage tracking'!L$4,'Cage Tally'!$E:$E, "Light")=0),"",COUNTIFS('Cage Tally'!$A:$A,$A55,'Cage Tally'!$C:$C,'Cage tracking'!L$4,'Cage Tally'!$E:$E, "Light"))</f>
        <v/>
      </c>
      <c r="M55" s="206" t="str">
        <f>IF((COUNTIFS('Cage Tally'!$A:$A,$A55,'Cage Tally'!$C:$C,'Cage tracking'!M$4,'Cage Tally'!$E:$E, "Light")=0),"",COUNTIFS('Cage Tally'!$A:$A,$A55,'Cage Tally'!$C:$C,'Cage tracking'!M$4,'Cage Tally'!$E:$E, "Light"))</f>
        <v/>
      </c>
      <c r="N55" s="206" t="str">
        <f>IF((COUNTIFS('Cage Tally'!$A:$A,$A55,'Cage Tally'!$C:$C,'Cage tracking'!N$4,'Cage Tally'!$E:$E, "Light")=0),"",COUNTIFS('Cage Tally'!$A:$A,$A55,'Cage Tally'!$C:$C,'Cage tracking'!N$4,'Cage Tally'!$E:$E, "Light"))</f>
        <v/>
      </c>
      <c r="O55" s="206" t="str">
        <f>IF((COUNTIFS('Cage Tally'!$A:$A,$A55,'Cage Tally'!$C:$C,'Cage tracking'!O$4,'Cage Tally'!$E:$E, "Light")=0),"",COUNTIFS('Cage Tally'!$A:$A,$A55,'Cage Tally'!$C:$C,'Cage tracking'!O$4,'Cage Tally'!$E:$E, "Light"))</f>
        <v/>
      </c>
      <c r="P55" s="206" t="str">
        <f>IF((COUNTIFS('Cage Tally'!$A:$A,$A55,'Cage Tally'!$C:$C,'Cage tracking'!P$4,'Cage Tally'!$E:$E, "Light")=0),"",COUNTIFS('Cage Tally'!$A:$A,$A55,'Cage Tally'!$C:$C,'Cage tracking'!P$4,'Cage Tally'!$E:$E, "Light"))</f>
        <v/>
      </c>
      <c r="Q55" s="206"/>
      <c r="R55" s="130"/>
      <c r="S55" s="206" t="str">
        <f>IF((COUNTIFS('Cage Tally'!$A:$A,$A55,'Cage Tally'!$C:$C,'Cage tracking'!S$4,'Cage Tally'!$E:$E, "decomm")=0),"",COUNTIFS('Cage Tally'!$A:$A,$A55,'Cage Tally'!$C:$C,'Cage tracking'!S$4,'Cage Tally'!$E:$E, "decomm"))</f>
        <v/>
      </c>
      <c r="T55" s="206" t="str">
        <f>IF((COUNTIFS('Cage Tally'!$A:$A,$A55,'Cage Tally'!$C:$C,'Cage tracking'!T$4,'Cage Tally'!$E:$E, "decomm")=0),"",COUNTIFS('Cage Tally'!$A:$A,$A55,'Cage Tally'!$C:$C,'Cage tracking'!T$4,'Cage Tally'!$E:$E, "decomm"))</f>
        <v/>
      </c>
      <c r="U55" s="206" t="str">
        <f>IF((COUNTIFS('Cage Tally'!$A:$A,$A55,'Cage Tally'!$C:$C,'Cage tracking'!U$4,'Cage Tally'!$E:$E, "decomm")=0),"",COUNTIFS('Cage Tally'!$A:$A,$A55,'Cage Tally'!$C:$C,'Cage tracking'!U$4,'Cage Tally'!$E:$E, "decomm"))</f>
        <v/>
      </c>
      <c r="V55" s="206" t="str">
        <f>IF((COUNTIFS('Cage Tally'!$A:$A,$A55,'Cage Tally'!$C:$C,'Cage tracking'!V$4,'Cage Tally'!$E:$E, "decomm")=0),"",COUNTIFS('Cage Tally'!$A:$A,$A55,'Cage Tally'!$C:$C,'Cage tracking'!V$4,'Cage Tally'!$E:$E, "decomm"))</f>
        <v/>
      </c>
      <c r="W55" s="206" t="str">
        <f>IF((COUNTIFS('Cage Tally'!$A:$A,$A55,'Cage Tally'!$C:$C,'Cage tracking'!W$4,'Cage Tally'!$E:$E, "decomm")=0),"",COUNTIFS('Cage Tally'!$A:$A,$A55,'Cage Tally'!$C:$C,'Cage tracking'!W$4,'Cage Tally'!$E:$E, "decomm"))</f>
        <v/>
      </c>
      <c r="X55" s="207" t="str">
        <f>IF((COUNTIFS('Cage Tally'!$A:$A,$A55,'Cage Tally'!$C:$C,'Cage tracking'!X$4,'Cage Tally'!$E:$E, "decomm")=0),"",COUNTIFS('Cage Tally'!$A:$A,$A55,'Cage Tally'!$C:$C,'Cage tracking'!X$4,'Cage Tally'!$E:$E, "decomm"))</f>
        <v/>
      </c>
      <c r="Y55" s="273"/>
      <c r="Z55" s="273"/>
      <c r="AA55" s="273"/>
      <c r="AB55" s="273"/>
      <c r="AC55" s="273"/>
      <c r="AD55" s="273"/>
      <c r="AE55" s="273"/>
      <c r="AF55" s="273"/>
      <c r="AG55" s="273"/>
      <c r="AH55" s="273"/>
      <c r="AI55" s="273"/>
      <c r="AJ55" s="273"/>
      <c r="AK55" s="273"/>
      <c r="AL55" s="273"/>
      <c r="AM55" s="273"/>
      <c r="AN55" s="273"/>
      <c r="AO55" s="273"/>
      <c r="AP55" s="273"/>
      <c r="AQ55" s="273"/>
      <c r="AR55" s="273"/>
      <c r="AS55" s="273"/>
      <c r="AT55" s="273"/>
      <c r="AU55" s="273"/>
      <c r="AV55" s="273"/>
    </row>
    <row r="56" spans="1:48" ht="12.75">
      <c r="A56" s="131">
        <v>44106</v>
      </c>
      <c r="B56" s="132" t="str">
        <f>IF((COUNTIFS('Cage Tally'!$A:$A,$A56,'Cage Tally'!$C:$C,'Cage tracking'!B$4,'Cage Tally'!$E:$E, "Dark")=0),"",COUNTIFS('Cage Tally'!$A:$A,$A56,'Cage Tally'!$C:$C,'Cage tracking'!B$4,'Cage Tally'!$E:$E, "Dark"))</f>
        <v/>
      </c>
      <c r="C56" s="132" t="str">
        <f>IF((COUNTIFS('Cage Tally'!$A:$A,$A56,'Cage Tally'!$C:$C,'Cage tracking'!C$4,'Cage Tally'!$E:$E, "Dark")=0),"",COUNTIFS('Cage Tally'!$A:$A,$A56,'Cage Tally'!$C:$C,'Cage tracking'!C$4,'Cage Tally'!$E:$E, "Dark"))</f>
        <v/>
      </c>
      <c r="D56" s="132" t="str">
        <f>IF((COUNTIFS('Cage Tally'!$A:$A,$A56,'Cage Tally'!$C:$C,'Cage tracking'!D$4,'Cage Tally'!$E:$E, "Dark")=0),"",COUNTIFS('Cage Tally'!$A:$A,$A56,'Cage Tally'!$C:$C,'Cage tracking'!D$4,'Cage Tally'!$E:$E, "Dark"))</f>
        <v/>
      </c>
      <c r="E56" s="132" t="str">
        <f>IF((COUNTIFS('Cage Tally'!$A:$A,$A56,'Cage Tally'!$C:$C,'Cage tracking'!E$4,'Cage Tally'!$E:$E, "Dark")=0),"",COUNTIFS('Cage Tally'!$A:$A,$A56,'Cage Tally'!$C:$C,'Cage tracking'!E$4,'Cage Tally'!$E:$E, "Dark"))</f>
        <v/>
      </c>
      <c r="F56" s="132" t="str">
        <f>IF((COUNTIFS('Cage Tally'!$A:$A,$A56,'Cage Tally'!$C:$C,'Cage tracking'!F$4,'Cage Tally'!$E:$E, "Dark")=0),"",COUNTIFS('Cage Tally'!$A:$A,$A56,'Cage Tally'!$C:$C,'Cage tracking'!F$4,'Cage Tally'!$E:$E, "Dark"))</f>
        <v/>
      </c>
      <c r="G56" s="132" t="str">
        <f>IF((COUNTIFS('Cage Tally'!$A:$A,$A56,'Cage Tally'!$C:$C,'Cage tracking'!G$4,'Cage Tally'!$E:$E, "Dark")=0),"",COUNTIFS('Cage Tally'!$A:$A,$A56,'Cage Tally'!$C:$C,'Cage tracking'!G$4,'Cage Tally'!$E:$E, "Dark"))</f>
        <v/>
      </c>
      <c r="H56" s="204"/>
      <c r="I56" s="128"/>
      <c r="J56" s="204"/>
      <c r="K56" s="132" t="str">
        <f>IF((COUNTIFS('Cage Tally'!$A:$A,$A56,'Cage Tally'!$C:$C,'Cage tracking'!K$4,'Cage Tally'!$E:$E, "Light")=0),"",COUNTIFS('Cage Tally'!$A:$A,$A56,'Cage Tally'!$C:$C,'Cage tracking'!K$4,'Cage Tally'!$E:$E, "Light"))</f>
        <v/>
      </c>
      <c r="L56" s="132" t="str">
        <f>IF((COUNTIFS('Cage Tally'!$A:$A,$A56,'Cage Tally'!$C:$C,'Cage tracking'!L$4,'Cage Tally'!$E:$E, "Light")=0),"",COUNTIFS('Cage Tally'!$A:$A,$A56,'Cage Tally'!$C:$C,'Cage tracking'!L$4,'Cage Tally'!$E:$E, "Light"))</f>
        <v/>
      </c>
      <c r="M56" s="132" t="str">
        <f>IF((COUNTIFS('Cage Tally'!$A:$A,$A56,'Cage Tally'!$C:$C,'Cage tracking'!M$4,'Cage Tally'!$E:$E, "Light")=0),"",COUNTIFS('Cage Tally'!$A:$A,$A56,'Cage Tally'!$C:$C,'Cage tracking'!M$4,'Cage Tally'!$E:$E, "Light"))</f>
        <v/>
      </c>
      <c r="N56" s="132" t="str">
        <f>IF((COUNTIFS('Cage Tally'!$A:$A,$A56,'Cage Tally'!$C:$C,'Cage tracking'!N$4,'Cage Tally'!$E:$E, "Light")=0),"",COUNTIFS('Cage Tally'!$A:$A,$A56,'Cage Tally'!$C:$C,'Cage tracking'!N$4,'Cage Tally'!$E:$E, "Light"))</f>
        <v/>
      </c>
      <c r="O56" s="132" t="str">
        <f>IF((COUNTIFS('Cage Tally'!$A:$A,$A56,'Cage Tally'!$C:$C,'Cage tracking'!O$4,'Cage Tally'!$E:$E, "Light")=0),"",COUNTIFS('Cage Tally'!$A:$A,$A56,'Cage Tally'!$C:$C,'Cage tracking'!O$4,'Cage Tally'!$E:$E, "Light"))</f>
        <v/>
      </c>
      <c r="P56" s="132" t="str">
        <f>IF((COUNTIFS('Cage Tally'!$A:$A,$A56,'Cage Tally'!$C:$C,'Cage tracking'!P$4,'Cage Tally'!$E:$E, "Light")=0),"",COUNTIFS('Cage Tally'!$A:$A,$A56,'Cage Tally'!$C:$C,'Cage tracking'!P$4,'Cage Tally'!$E:$E, "Light"))</f>
        <v/>
      </c>
      <c r="Q56" s="135"/>
      <c r="R56" s="205"/>
      <c r="S56" s="132">
        <f>IF((COUNTIFS('Cage Tally'!$A:$A,$A56,'Cage Tally'!$C:$C,'Cage tracking'!S$4,'Cage Tally'!$E:$E, "decomm")=0),"",COUNTIFS('Cage Tally'!$A:$A,$A56,'Cage Tally'!$C:$C,'Cage tracking'!S$4,'Cage Tally'!$E:$E, "decomm"))</f>
        <v>4</v>
      </c>
      <c r="T56" s="132" t="str">
        <f>IF((COUNTIFS('Cage Tally'!$A:$A,$A56,'Cage Tally'!$C:$C,'Cage tracking'!T$4,'Cage Tally'!$E:$E, "decomm")=0),"",COUNTIFS('Cage Tally'!$A:$A,$A56,'Cage Tally'!$C:$C,'Cage tracking'!T$4,'Cage Tally'!$E:$E, "decomm"))</f>
        <v/>
      </c>
      <c r="U56" s="132">
        <f>IF((COUNTIFS('Cage Tally'!$A:$A,$A56,'Cage Tally'!$C:$C,'Cage tracking'!U$4,'Cage Tally'!$E:$E, "decomm")=0),"",COUNTIFS('Cage Tally'!$A:$A,$A56,'Cage Tally'!$C:$C,'Cage tracking'!U$4,'Cage Tally'!$E:$E, "decomm"))</f>
        <v>7</v>
      </c>
      <c r="V56" s="132">
        <f>IF((COUNTIFS('Cage Tally'!$A:$A,$A56,'Cage Tally'!$C:$C,'Cage tracking'!V$4,'Cage Tally'!$E:$E, "decomm")=0),"",COUNTIFS('Cage Tally'!$A:$A,$A56,'Cage Tally'!$C:$C,'Cage tracking'!V$4,'Cage Tally'!$E:$E, "decomm"))</f>
        <v>7</v>
      </c>
      <c r="W56" s="132" t="str">
        <f>IF((COUNTIFS('Cage Tally'!$A:$A,$A56,'Cage Tally'!$C:$C,'Cage tracking'!W$4,'Cage Tally'!$E:$E, "decomm")=0),"",COUNTIFS('Cage Tally'!$A:$A,$A56,'Cage Tally'!$C:$C,'Cage tracking'!W$4,'Cage Tally'!$E:$E, "decomm"))</f>
        <v/>
      </c>
      <c r="X56" s="142" t="str">
        <f>IF((COUNTIFS('Cage Tally'!$A:$A,$A56,'Cage Tally'!$C:$C,'Cage tracking'!X$4,'Cage Tally'!$E:$E, "decomm")=0),"",COUNTIFS('Cage Tally'!$A:$A,$A56,'Cage Tally'!$C:$C,'Cage tracking'!X$4,'Cage Tally'!$E:$E, "decomm"))</f>
        <v/>
      </c>
      <c r="Y56" s="273"/>
      <c r="Z56" s="273"/>
      <c r="AA56" s="273"/>
      <c r="AB56" s="273"/>
      <c r="AC56" s="273"/>
      <c r="AD56" s="273"/>
      <c r="AE56" s="273"/>
      <c r="AF56" s="273"/>
      <c r="AG56" s="273"/>
      <c r="AH56" s="273"/>
      <c r="AI56" s="273"/>
      <c r="AJ56" s="273"/>
      <c r="AK56" s="273"/>
      <c r="AL56" s="273"/>
      <c r="AM56" s="273"/>
      <c r="AN56" s="273"/>
      <c r="AO56" s="273"/>
      <c r="AP56" s="273"/>
      <c r="AQ56" s="273"/>
      <c r="AR56" s="273"/>
      <c r="AS56" s="273"/>
      <c r="AT56" s="273"/>
      <c r="AU56" s="273"/>
      <c r="AV56" s="273"/>
    </row>
    <row r="57" spans="1:48" ht="12.75">
      <c r="A57" s="126">
        <v>44107</v>
      </c>
      <c r="B57" s="206" t="str">
        <f>IF((COUNTIFS('Cage Tally'!$A:$A,$A57,'Cage Tally'!$C:$C,'Cage tracking'!B$4,'Cage Tally'!$E:$E, "Dark")=0),"",COUNTIFS('Cage Tally'!$A:$A,$A57,'Cage Tally'!$C:$C,'Cage tracking'!B$4,'Cage Tally'!$E:$E, "Dark"))</f>
        <v/>
      </c>
      <c r="C57" s="206" t="str">
        <f>IF((COUNTIFS('Cage Tally'!$A:$A,$A57,'Cage Tally'!$C:$C,'Cage tracking'!C$4,'Cage Tally'!$E:$E, "Dark")=0),"",COUNTIFS('Cage Tally'!$A:$A,$A57,'Cage Tally'!$C:$C,'Cage tracking'!C$4,'Cage Tally'!$E:$E, "Dark"))</f>
        <v/>
      </c>
      <c r="D57" s="206" t="str">
        <f>IF((COUNTIFS('Cage Tally'!$A:$A,$A57,'Cage Tally'!$C:$C,'Cage tracking'!D$4,'Cage Tally'!$E:$E, "Dark")=0),"",COUNTIFS('Cage Tally'!$A:$A,$A57,'Cage Tally'!$C:$C,'Cage tracking'!D$4,'Cage Tally'!$E:$E, "Dark"))</f>
        <v/>
      </c>
      <c r="E57" s="206" t="str">
        <f>IF((COUNTIFS('Cage Tally'!$A:$A,$A57,'Cage Tally'!$C:$C,'Cage tracking'!E$4,'Cage Tally'!$E:$E, "Dark")=0),"",COUNTIFS('Cage Tally'!$A:$A,$A57,'Cage Tally'!$C:$C,'Cage tracking'!E$4,'Cage Tally'!$E:$E, "Dark"))</f>
        <v/>
      </c>
      <c r="F57" s="206" t="str">
        <f>IF((COUNTIFS('Cage Tally'!$A:$A,$A57,'Cage Tally'!$C:$C,'Cage tracking'!F$4,'Cage Tally'!$E:$E, "Dark")=0),"",COUNTIFS('Cage Tally'!$A:$A,$A57,'Cage Tally'!$C:$C,'Cage tracking'!F$4,'Cage Tally'!$E:$E, "Dark"))</f>
        <v/>
      </c>
      <c r="G57" s="206" t="str">
        <f>IF((COUNTIFS('Cage Tally'!$A:$A,$A57,'Cage Tally'!$C:$C,'Cage tracking'!G$4,'Cage Tally'!$E:$E, "Dark")=0),"",COUNTIFS('Cage Tally'!$A:$A,$A57,'Cage Tally'!$C:$C,'Cage tracking'!G$4,'Cage Tally'!$E:$E, "Dark"))</f>
        <v/>
      </c>
      <c r="H57" s="129"/>
      <c r="I57" s="128"/>
      <c r="J57" s="31"/>
      <c r="K57" s="206" t="str">
        <f>IF((COUNTIFS('Cage Tally'!$A:$A,$A57,'Cage Tally'!$C:$C,'Cage tracking'!K$4,'Cage Tally'!$E:$E, "Light")=0),"",COUNTIFS('Cage Tally'!$A:$A,$A57,'Cage Tally'!$C:$C,'Cage tracking'!K$4,'Cage Tally'!$E:$E, "Light"))</f>
        <v/>
      </c>
      <c r="L57" s="206" t="str">
        <f>IF((COUNTIFS('Cage Tally'!$A:$A,$A57,'Cage Tally'!$C:$C,'Cage tracking'!L$4,'Cage Tally'!$E:$E, "Light")=0),"",COUNTIFS('Cage Tally'!$A:$A,$A57,'Cage Tally'!$C:$C,'Cage tracking'!L$4,'Cage Tally'!$E:$E, "Light"))</f>
        <v/>
      </c>
      <c r="M57" s="206" t="str">
        <f>IF((COUNTIFS('Cage Tally'!$A:$A,$A57,'Cage Tally'!$C:$C,'Cage tracking'!M$4,'Cage Tally'!$E:$E, "Light")=0),"",COUNTIFS('Cage Tally'!$A:$A,$A57,'Cage Tally'!$C:$C,'Cage tracking'!M$4,'Cage Tally'!$E:$E, "Light"))</f>
        <v/>
      </c>
      <c r="N57" s="206" t="str">
        <f>IF((COUNTIFS('Cage Tally'!$A:$A,$A57,'Cage Tally'!$C:$C,'Cage tracking'!N$4,'Cage Tally'!$E:$E, "Light")=0),"",COUNTIFS('Cage Tally'!$A:$A,$A57,'Cage Tally'!$C:$C,'Cage tracking'!N$4,'Cage Tally'!$E:$E, "Light"))</f>
        <v/>
      </c>
      <c r="O57" s="206" t="str">
        <f>IF((COUNTIFS('Cage Tally'!$A:$A,$A57,'Cage Tally'!$C:$C,'Cage tracking'!O$4,'Cage Tally'!$E:$E, "Light")=0),"",COUNTIFS('Cage Tally'!$A:$A,$A57,'Cage Tally'!$C:$C,'Cage tracking'!O$4,'Cage Tally'!$E:$E, "Light"))</f>
        <v/>
      </c>
      <c r="P57" s="206" t="str">
        <f>IF((COUNTIFS('Cage Tally'!$A:$A,$A57,'Cage Tally'!$C:$C,'Cage tracking'!P$4,'Cage Tally'!$E:$E, "Light")=0),"",COUNTIFS('Cage Tally'!$A:$A,$A57,'Cage Tally'!$C:$C,'Cage tracking'!P$4,'Cage Tally'!$E:$E, "Light"))</f>
        <v/>
      </c>
      <c r="Q57" s="206"/>
      <c r="R57" s="130"/>
      <c r="S57" s="206" t="str">
        <f>IF((COUNTIFS('Cage Tally'!$A:$A,$A57,'Cage Tally'!$C:$C,'Cage tracking'!S$4,'Cage Tally'!$E:$E, "decomm")=0),"",COUNTIFS('Cage Tally'!$A:$A,$A57,'Cage Tally'!$C:$C,'Cage tracking'!S$4,'Cage Tally'!$E:$E, "decomm"))</f>
        <v/>
      </c>
      <c r="T57" s="206" t="str">
        <f>IF((COUNTIFS('Cage Tally'!$A:$A,$A57,'Cage Tally'!$C:$C,'Cage tracking'!T$4,'Cage Tally'!$E:$E, "decomm")=0),"",COUNTIFS('Cage Tally'!$A:$A,$A57,'Cage Tally'!$C:$C,'Cage tracking'!T$4,'Cage Tally'!$E:$E, "decomm"))</f>
        <v/>
      </c>
      <c r="U57" s="206" t="str">
        <f>IF((COUNTIFS('Cage Tally'!$A:$A,$A57,'Cage Tally'!$C:$C,'Cage tracking'!U$4,'Cage Tally'!$E:$E, "decomm")=0),"",COUNTIFS('Cage Tally'!$A:$A,$A57,'Cage Tally'!$C:$C,'Cage tracking'!U$4,'Cage Tally'!$E:$E, "decomm"))</f>
        <v/>
      </c>
      <c r="V57" s="206" t="str">
        <f>IF((COUNTIFS('Cage Tally'!$A:$A,$A57,'Cage Tally'!$C:$C,'Cage tracking'!V$4,'Cage Tally'!$E:$E, "decomm")=0),"",COUNTIFS('Cage Tally'!$A:$A,$A57,'Cage Tally'!$C:$C,'Cage tracking'!V$4,'Cage Tally'!$E:$E, "decomm"))</f>
        <v/>
      </c>
      <c r="W57" s="206" t="str">
        <f>IF((COUNTIFS('Cage Tally'!$A:$A,$A57,'Cage Tally'!$C:$C,'Cage tracking'!W$4,'Cage Tally'!$E:$E, "decomm")=0),"",COUNTIFS('Cage Tally'!$A:$A,$A57,'Cage Tally'!$C:$C,'Cage tracking'!W$4,'Cage Tally'!$E:$E, "decomm"))</f>
        <v/>
      </c>
      <c r="X57" s="207" t="str">
        <f>IF((COUNTIFS('Cage Tally'!$A:$A,$A57,'Cage Tally'!$C:$C,'Cage tracking'!X$4,'Cage Tally'!$E:$E, "decomm")=0),"",COUNTIFS('Cage Tally'!$A:$A,$A57,'Cage Tally'!$C:$C,'Cage tracking'!X$4,'Cage Tally'!$E:$E, "decomm"))</f>
        <v/>
      </c>
      <c r="Y57" s="273"/>
      <c r="Z57" s="273"/>
      <c r="AA57" s="273"/>
      <c r="AB57" s="273"/>
      <c r="AC57" s="273"/>
      <c r="AD57" s="273"/>
      <c r="AE57" s="273"/>
      <c r="AF57" s="273"/>
      <c r="AG57" s="273"/>
      <c r="AH57" s="273"/>
      <c r="AI57" s="273"/>
      <c r="AJ57" s="273"/>
      <c r="AK57" s="273"/>
      <c r="AL57" s="273"/>
      <c r="AM57" s="273"/>
      <c r="AN57" s="273"/>
      <c r="AO57" s="273"/>
      <c r="AP57" s="273"/>
      <c r="AQ57" s="273"/>
      <c r="AR57" s="273"/>
      <c r="AS57" s="273"/>
      <c r="AT57" s="273"/>
      <c r="AU57" s="273"/>
      <c r="AV57" s="273"/>
    </row>
    <row r="58" spans="1:48" ht="12.75">
      <c r="A58" s="131">
        <v>44108</v>
      </c>
      <c r="B58" s="132" t="str">
        <f>IF((COUNTIFS('Cage Tally'!$A:$A,$A58,'Cage Tally'!$C:$C,'Cage tracking'!B$4,'Cage Tally'!$E:$E, "Dark")=0),"",COUNTIFS('Cage Tally'!$A:$A,$A58,'Cage Tally'!$C:$C,'Cage tracking'!B$4,'Cage Tally'!$E:$E, "Dark"))</f>
        <v/>
      </c>
      <c r="C58" s="132" t="str">
        <f>IF((COUNTIFS('Cage Tally'!$A:$A,$A58,'Cage Tally'!$C:$C,'Cage tracking'!C$4,'Cage Tally'!$E:$E, "Dark")=0),"",COUNTIFS('Cage Tally'!$A:$A,$A58,'Cage Tally'!$C:$C,'Cage tracking'!C$4,'Cage Tally'!$E:$E, "Dark"))</f>
        <v/>
      </c>
      <c r="D58" s="132" t="str">
        <f>IF((COUNTIFS('Cage Tally'!$A:$A,$A58,'Cage Tally'!$C:$C,'Cage tracking'!D$4,'Cage Tally'!$E:$E, "Dark")=0),"",COUNTIFS('Cage Tally'!$A:$A,$A58,'Cage Tally'!$C:$C,'Cage tracking'!D$4,'Cage Tally'!$E:$E, "Dark"))</f>
        <v/>
      </c>
      <c r="E58" s="132" t="str">
        <f>IF((COUNTIFS('Cage Tally'!$A:$A,$A58,'Cage Tally'!$C:$C,'Cage tracking'!E$4,'Cage Tally'!$E:$E, "Dark")=0),"",COUNTIFS('Cage Tally'!$A:$A,$A58,'Cage Tally'!$C:$C,'Cage tracking'!E$4,'Cage Tally'!$E:$E, "Dark"))</f>
        <v/>
      </c>
      <c r="F58" s="132" t="str">
        <f>IF((COUNTIFS('Cage Tally'!$A:$A,$A58,'Cage Tally'!$C:$C,'Cage tracking'!F$4,'Cage Tally'!$E:$E, "Dark")=0),"",COUNTIFS('Cage Tally'!$A:$A,$A58,'Cage Tally'!$C:$C,'Cage tracking'!F$4,'Cage Tally'!$E:$E, "Dark"))</f>
        <v/>
      </c>
      <c r="G58" s="132" t="str">
        <f>IF((COUNTIFS('Cage Tally'!$A:$A,$A58,'Cage Tally'!$C:$C,'Cage tracking'!G$4,'Cage Tally'!$E:$E, "Dark")=0),"",COUNTIFS('Cage Tally'!$A:$A,$A58,'Cage Tally'!$C:$C,'Cage tracking'!G$4,'Cage Tally'!$E:$E, "Dark"))</f>
        <v/>
      </c>
      <c r="H58" s="204"/>
      <c r="I58" s="128"/>
      <c r="J58" s="204"/>
      <c r="K58" s="132" t="str">
        <f>IF((COUNTIFS('Cage Tally'!$A:$A,$A58,'Cage Tally'!$C:$C,'Cage tracking'!K$4,'Cage Tally'!$E:$E, "Light")=0),"",COUNTIFS('Cage Tally'!$A:$A,$A58,'Cage Tally'!$C:$C,'Cage tracking'!K$4,'Cage Tally'!$E:$E, "Light"))</f>
        <v/>
      </c>
      <c r="L58" s="132" t="str">
        <f>IF((COUNTIFS('Cage Tally'!$A:$A,$A58,'Cage Tally'!$C:$C,'Cage tracking'!L$4,'Cage Tally'!$E:$E, "Light")=0),"",COUNTIFS('Cage Tally'!$A:$A,$A58,'Cage Tally'!$C:$C,'Cage tracking'!L$4,'Cage Tally'!$E:$E, "Light"))</f>
        <v/>
      </c>
      <c r="M58" s="132" t="str">
        <f>IF((COUNTIFS('Cage Tally'!$A:$A,$A58,'Cage Tally'!$C:$C,'Cage tracking'!M$4,'Cage Tally'!$E:$E, "Light")=0),"",COUNTIFS('Cage Tally'!$A:$A,$A58,'Cage Tally'!$C:$C,'Cage tracking'!M$4,'Cage Tally'!$E:$E, "Light"))</f>
        <v/>
      </c>
      <c r="N58" s="132" t="str">
        <f>IF((COUNTIFS('Cage Tally'!$A:$A,$A58,'Cage Tally'!$C:$C,'Cage tracking'!N$4,'Cage Tally'!$E:$E, "Light")=0),"",COUNTIFS('Cage Tally'!$A:$A,$A58,'Cage Tally'!$C:$C,'Cage tracking'!N$4,'Cage Tally'!$E:$E, "Light"))</f>
        <v/>
      </c>
      <c r="O58" s="132" t="str">
        <f>IF((COUNTIFS('Cage Tally'!$A:$A,$A58,'Cage Tally'!$C:$C,'Cage tracking'!O$4,'Cage Tally'!$E:$E, "Light")=0),"",COUNTIFS('Cage Tally'!$A:$A,$A58,'Cage Tally'!$C:$C,'Cage tracking'!O$4,'Cage Tally'!$E:$E, "Light"))</f>
        <v/>
      </c>
      <c r="P58" s="132" t="str">
        <f>IF((COUNTIFS('Cage Tally'!$A:$A,$A58,'Cage Tally'!$C:$C,'Cage tracking'!P$4,'Cage Tally'!$E:$E, "Light")=0),"",COUNTIFS('Cage Tally'!$A:$A,$A58,'Cage Tally'!$C:$C,'Cage tracking'!P$4,'Cage Tally'!$E:$E, "Light"))</f>
        <v/>
      </c>
      <c r="Q58" s="135"/>
      <c r="R58" s="205"/>
      <c r="S58" s="132" t="str">
        <f>IF((COUNTIFS('Cage Tally'!$A:$A,$A58,'Cage Tally'!$C:$C,'Cage tracking'!S$4,'Cage Tally'!$E:$E, "decomm")=0),"",COUNTIFS('Cage Tally'!$A:$A,$A58,'Cage Tally'!$C:$C,'Cage tracking'!S$4,'Cage Tally'!$E:$E, "decomm"))</f>
        <v/>
      </c>
      <c r="T58" s="132" t="str">
        <f>IF((COUNTIFS('Cage Tally'!$A:$A,$A58,'Cage Tally'!$C:$C,'Cage tracking'!T$4,'Cage Tally'!$E:$E, "decomm")=0),"",COUNTIFS('Cage Tally'!$A:$A,$A58,'Cage Tally'!$C:$C,'Cage tracking'!T$4,'Cage Tally'!$E:$E, "decomm"))</f>
        <v/>
      </c>
      <c r="U58" s="132" t="str">
        <f>IF((COUNTIFS('Cage Tally'!$A:$A,$A58,'Cage Tally'!$C:$C,'Cage tracking'!U$4,'Cage Tally'!$E:$E, "decomm")=0),"",COUNTIFS('Cage Tally'!$A:$A,$A58,'Cage Tally'!$C:$C,'Cage tracking'!U$4,'Cage Tally'!$E:$E, "decomm"))</f>
        <v/>
      </c>
      <c r="V58" s="132" t="str">
        <f>IF((COUNTIFS('Cage Tally'!$A:$A,$A58,'Cage Tally'!$C:$C,'Cage tracking'!V$4,'Cage Tally'!$E:$E, "decomm")=0),"",COUNTIFS('Cage Tally'!$A:$A,$A58,'Cage Tally'!$C:$C,'Cage tracking'!V$4,'Cage Tally'!$E:$E, "decomm"))</f>
        <v/>
      </c>
      <c r="W58" s="132" t="str">
        <f>IF((COUNTIFS('Cage Tally'!$A:$A,$A58,'Cage Tally'!$C:$C,'Cage tracking'!W$4,'Cage Tally'!$E:$E, "decomm")=0),"",COUNTIFS('Cage Tally'!$A:$A,$A58,'Cage Tally'!$C:$C,'Cage tracking'!W$4,'Cage Tally'!$E:$E, "decomm"))</f>
        <v/>
      </c>
      <c r="X58" s="142" t="str">
        <f>IF((COUNTIFS('Cage Tally'!$A:$A,$A58,'Cage Tally'!$C:$C,'Cage tracking'!X$4,'Cage Tally'!$E:$E, "decomm")=0),"",COUNTIFS('Cage Tally'!$A:$A,$A58,'Cage Tally'!$C:$C,'Cage tracking'!X$4,'Cage Tally'!$E:$E, "decomm"))</f>
        <v/>
      </c>
      <c r="Y58" s="273"/>
      <c r="Z58" s="273"/>
      <c r="AA58" s="273"/>
      <c r="AB58" s="273"/>
      <c r="AC58" s="273"/>
      <c r="AD58" s="273"/>
      <c r="AE58" s="273"/>
      <c r="AF58" s="273"/>
      <c r="AG58" s="273"/>
      <c r="AH58" s="273"/>
      <c r="AI58" s="273"/>
      <c r="AJ58" s="273"/>
      <c r="AK58" s="273"/>
      <c r="AL58" s="273"/>
      <c r="AM58" s="273"/>
      <c r="AN58" s="273"/>
      <c r="AO58" s="273"/>
      <c r="AP58" s="273"/>
      <c r="AQ58" s="273"/>
      <c r="AR58" s="273"/>
      <c r="AS58" s="273"/>
      <c r="AT58" s="273"/>
      <c r="AU58" s="273"/>
      <c r="AV58" s="273"/>
    </row>
    <row r="59" spans="1:48" ht="12.75">
      <c r="A59" s="126">
        <v>44109</v>
      </c>
      <c r="B59" s="206" t="str">
        <f>IF((COUNTIFS('Cage Tally'!$A:$A,$A59,'Cage Tally'!$C:$C,'Cage tracking'!B$4,'Cage Tally'!$E:$E, "Dark")=0),"",COUNTIFS('Cage Tally'!$A:$A,$A59,'Cage Tally'!$C:$C,'Cage tracking'!B$4,'Cage Tally'!$E:$E, "Dark"))</f>
        <v/>
      </c>
      <c r="C59" s="206" t="str">
        <f>IF((COUNTIFS('Cage Tally'!$A:$A,$A59,'Cage Tally'!$C:$C,'Cage tracking'!C$4,'Cage Tally'!$E:$E, "Dark")=0),"",COUNTIFS('Cage Tally'!$A:$A,$A59,'Cage Tally'!$C:$C,'Cage tracking'!C$4,'Cage Tally'!$E:$E, "Dark"))</f>
        <v/>
      </c>
      <c r="D59" s="206">
        <f>IF((COUNTIFS('Cage Tally'!$A:$A,$A59,'Cage Tally'!$C:$C,'Cage tracking'!D$4,'Cage Tally'!$E:$E, "Dark")=0),"",COUNTIFS('Cage Tally'!$A:$A,$A59,'Cage Tally'!$C:$C,'Cage tracking'!D$4,'Cage Tally'!$E:$E, "Dark"))</f>
        <v>2</v>
      </c>
      <c r="E59" s="206" t="str">
        <f>IF((COUNTIFS('Cage Tally'!$A:$A,$A59,'Cage Tally'!$C:$C,'Cage tracking'!E$4,'Cage Tally'!$E:$E, "Dark")=0),"",COUNTIFS('Cage Tally'!$A:$A,$A59,'Cage Tally'!$C:$C,'Cage tracking'!E$4,'Cage Tally'!$E:$E, "Dark"))</f>
        <v/>
      </c>
      <c r="F59" s="206" t="str">
        <f>IF((COUNTIFS('Cage Tally'!$A:$A,$A59,'Cage Tally'!$C:$C,'Cage tracking'!F$4,'Cage Tally'!$E:$E, "Dark")=0),"",COUNTIFS('Cage Tally'!$A:$A,$A59,'Cage Tally'!$C:$C,'Cage tracking'!F$4,'Cage Tally'!$E:$E, "Dark"))</f>
        <v/>
      </c>
      <c r="G59" s="206" t="str">
        <f>IF((COUNTIFS('Cage Tally'!$A:$A,$A59,'Cage Tally'!$C:$C,'Cage tracking'!G$4,'Cage Tally'!$E:$E, "Dark")=0),"",COUNTIFS('Cage Tally'!$A:$A,$A59,'Cage Tally'!$C:$C,'Cage tracking'!G$4,'Cage Tally'!$E:$E, "Dark"))</f>
        <v/>
      </c>
      <c r="H59" s="129"/>
      <c r="I59" s="128"/>
      <c r="J59" s="31"/>
      <c r="K59" s="206" t="str">
        <f>IF((COUNTIFS('Cage Tally'!$A:$A,$A59,'Cage Tally'!$C:$C,'Cage tracking'!K$4,'Cage Tally'!$E:$E, "Light")=0),"",COUNTIFS('Cage Tally'!$A:$A,$A59,'Cage Tally'!$C:$C,'Cage tracking'!K$4,'Cage Tally'!$E:$E, "Light"))</f>
        <v/>
      </c>
      <c r="L59" s="206" t="str">
        <f>IF((COUNTIFS('Cage Tally'!$A:$A,$A59,'Cage Tally'!$C:$C,'Cage tracking'!L$4,'Cage Tally'!$E:$E, "Light")=0),"",COUNTIFS('Cage Tally'!$A:$A,$A59,'Cage Tally'!$C:$C,'Cage tracking'!L$4,'Cage Tally'!$E:$E, "Light"))</f>
        <v/>
      </c>
      <c r="M59" s="206">
        <f>IF((COUNTIFS('Cage Tally'!$A:$A,$A59,'Cage Tally'!$C:$C,'Cage tracking'!M$4,'Cage Tally'!$E:$E, "Light")=0),"",COUNTIFS('Cage Tally'!$A:$A,$A59,'Cage Tally'!$C:$C,'Cage tracking'!M$4,'Cage Tally'!$E:$E, "Light"))</f>
        <v>3</v>
      </c>
      <c r="N59" s="206">
        <f>IF((COUNTIFS('Cage Tally'!$A:$A,$A59,'Cage Tally'!$C:$C,'Cage tracking'!N$4,'Cage Tally'!$E:$E, "Light")=0),"",COUNTIFS('Cage Tally'!$A:$A,$A59,'Cage Tally'!$C:$C,'Cage tracking'!N$4,'Cage Tally'!$E:$E, "Light"))</f>
        <v>3</v>
      </c>
      <c r="O59" s="206" t="str">
        <f>IF((COUNTIFS('Cage Tally'!$A:$A,$A59,'Cage Tally'!$C:$C,'Cage tracking'!O$4,'Cage Tally'!$E:$E, "Light")=0),"",COUNTIFS('Cage Tally'!$A:$A,$A59,'Cage Tally'!$C:$C,'Cage tracking'!O$4,'Cage Tally'!$E:$E, "Light"))</f>
        <v/>
      </c>
      <c r="P59" s="206" t="str">
        <f>IF((COUNTIFS('Cage Tally'!$A:$A,$A59,'Cage Tally'!$C:$C,'Cage tracking'!P$4,'Cage Tally'!$E:$E, "Light")=0),"",COUNTIFS('Cage Tally'!$A:$A,$A59,'Cage Tally'!$C:$C,'Cage tracking'!P$4,'Cage Tally'!$E:$E, "Light"))</f>
        <v/>
      </c>
      <c r="Q59" s="206"/>
      <c r="R59" s="130"/>
      <c r="S59" s="206">
        <f>IF((COUNTIFS('Cage Tally'!$A:$A,$A59,'Cage Tally'!$C:$C,'Cage tracking'!S$4,'Cage Tally'!$E:$E, "decomm")=0),"",COUNTIFS('Cage Tally'!$A:$A,$A59,'Cage Tally'!$C:$C,'Cage tracking'!S$4,'Cage Tally'!$E:$E, "decomm"))</f>
        <v>3</v>
      </c>
      <c r="T59" s="206" t="str">
        <f>IF((COUNTIFS('Cage Tally'!$A:$A,$A59,'Cage Tally'!$C:$C,'Cage tracking'!T$4,'Cage Tally'!$E:$E, "decomm")=0),"",COUNTIFS('Cage Tally'!$A:$A,$A59,'Cage Tally'!$C:$C,'Cage tracking'!T$4,'Cage Tally'!$E:$E, "decomm"))</f>
        <v/>
      </c>
      <c r="U59" s="206" t="str">
        <f>IF((COUNTIFS('Cage Tally'!$A:$A,$A59,'Cage Tally'!$C:$C,'Cage tracking'!U$4,'Cage Tally'!$E:$E, "decomm")=0),"",COUNTIFS('Cage Tally'!$A:$A,$A59,'Cage Tally'!$C:$C,'Cage tracking'!U$4,'Cage Tally'!$E:$E, "decomm"))</f>
        <v/>
      </c>
      <c r="V59" s="206">
        <f>IF((COUNTIFS('Cage Tally'!$A:$A,$A59,'Cage Tally'!$C:$C,'Cage tracking'!V$4,'Cage Tally'!$E:$E, "decomm")=0),"",COUNTIFS('Cage Tally'!$A:$A,$A59,'Cage Tally'!$C:$C,'Cage tracking'!V$4,'Cage Tally'!$E:$E, "decomm"))</f>
        <v>1</v>
      </c>
      <c r="W59" s="206">
        <f>IF((COUNTIFS('Cage Tally'!$A:$A,$A59,'Cage Tally'!$C:$C,'Cage tracking'!W$4,'Cage Tally'!$E:$E, "decomm")=0),"",COUNTIFS('Cage Tally'!$A:$A,$A59,'Cage Tally'!$C:$C,'Cage tracking'!W$4,'Cage Tally'!$E:$E, "decomm"))</f>
        <v>1</v>
      </c>
      <c r="X59" s="207" t="str">
        <f>IF((COUNTIFS('Cage Tally'!$A:$A,$A59,'Cage Tally'!$C:$C,'Cage tracking'!X$4,'Cage Tally'!$E:$E, "decomm")=0),"",COUNTIFS('Cage Tally'!$A:$A,$A59,'Cage Tally'!$C:$C,'Cage tracking'!X$4,'Cage Tally'!$E:$E, "decomm"))</f>
        <v/>
      </c>
      <c r="Y59" s="273"/>
      <c r="Z59" s="273"/>
      <c r="AA59" s="273"/>
      <c r="AB59" s="273"/>
      <c r="AC59" s="273"/>
      <c r="AD59" s="273"/>
      <c r="AE59" s="273"/>
      <c r="AF59" s="273"/>
      <c r="AG59" s="273"/>
      <c r="AH59" s="273"/>
      <c r="AI59" s="273"/>
      <c r="AJ59" s="273"/>
      <c r="AK59" s="273"/>
      <c r="AL59" s="273"/>
      <c r="AM59" s="273"/>
      <c r="AN59" s="273"/>
      <c r="AO59" s="273"/>
      <c r="AP59" s="273"/>
      <c r="AQ59" s="273"/>
      <c r="AR59" s="273"/>
      <c r="AS59" s="273"/>
      <c r="AT59" s="273"/>
      <c r="AU59" s="273"/>
      <c r="AV59" s="273"/>
    </row>
    <row r="60" spans="1:48" ht="12.75">
      <c r="A60" s="131">
        <v>44110</v>
      </c>
      <c r="B60" s="132" t="str">
        <f>IF((COUNTIFS('Cage Tally'!$A:$A,$A60,'Cage Tally'!$C:$C,'Cage tracking'!B$4,'Cage Tally'!$E:$E, "Dark")=0),"",COUNTIFS('Cage Tally'!$A:$A,$A60,'Cage Tally'!$C:$C,'Cage tracking'!B$4,'Cage Tally'!$E:$E, "Dark"))</f>
        <v/>
      </c>
      <c r="C60" s="132" t="str">
        <f>IF((COUNTIFS('Cage Tally'!$A:$A,$A60,'Cage Tally'!$C:$C,'Cage tracking'!C$4,'Cage Tally'!$E:$E, "Dark")=0),"",COUNTIFS('Cage Tally'!$A:$A,$A60,'Cage Tally'!$C:$C,'Cage tracking'!C$4,'Cage Tally'!$E:$E, "Dark"))</f>
        <v/>
      </c>
      <c r="D60" s="132" t="str">
        <f>IF((COUNTIFS('Cage Tally'!$A:$A,$A60,'Cage Tally'!$C:$C,'Cage tracking'!D$4,'Cage Tally'!$E:$E, "Dark")=0),"",COUNTIFS('Cage Tally'!$A:$A,$A60,'Cage Tally'!$C:$C,'Cage tracking'!D$4,'Cage Tally'!$E:$E, "Dark"))</f>
        <v/>
      </c>
      <c r="E60" s="132" t="str">
        <f>IF((COUNTIFS('Cage Tally'!$A:$A,$A60,'Cage Tally'!$C:$C,'Cage tracking'!E$4,'Cage Tally'!$E:$E, "Dark")=0),"",COUNTIFS('Cage Tally'!$A:$A,$A60,'Cage Tally'!$C:$C,'Cage tracking'!E$4,'Cage Tally'!$E:$E, "Dark"))</f>
        <v/>
      </c>
      <c r="F60" s="132" t="str">
        <f>IF((COUNTIFS('Cage Tally'!$A:$A,$A60,'Cage Tally'!$C:$C,'Cage tracking'!F$4,'Cage Tally'!$E:$E, "Dark")=0),"",COUNTIFS('Cage Tally'!$A:$A,$A60,'Cage Tally'!$C:$C,'Cage tracking'!F$4,'Cage Tally'!$E:$E, "Dark"))</f>
        <v/>
      </c>
      <c r="G60" s="132" t="str">
        <f>IF((COUNTIFS('Cage Tally'!$A:$A,$A60,'Cage Tally'!$C:$C,'Cage tracking'!G$4,'Cage Tally'!$E:$E, "Dark")=0),"",COUNTIFS('Cage Tally'!$A:$A,$A60,'Cage Tally'!$C:$C,'Cage tracking'!G$4,'Cage Tally'!$E:$E, "Dark"))</f>
        <v/>
      </c>
      <c r="H60" s="204"/>
      <c r="I60" s="128"/>
      <c r="J60" s="204"/>
      <c r="K60" s="132" t="str">
        <f>IF((COUNTIFS('Cage Tally'!$A:$A,$A60,'Cage Tally'!$C:$C,'Cage tracking'!K$4,'Cage Tally'!$E:$E, "Light")=0),"",COUNTIFS('Cage Tally'!$A:$A,$A60,'Cage Tally'!$C:$C,'Cage tracking'!K$4,'Cage Tally'!$E:$E, "Light"))</f>
        <v/>
      </c>
      <c r="L60" s="132" t="str">
        <f>IF((COUNTIFS('Cage Tally'!$A:$A,$A60,'Cage Tally'!$C:$C,'Cage tracking'!L$4,'Cage Tally'!$E:$E, "Light")=0),"",COUNTIFS('Cage Tally'!$A:$A,$A60,'Cage Tally'!$C:$C,'Cage tracking'!L$4,'Cage Tally'!$E:$E, "Light"))</f>
        <v/>
      </c>
      <c r="M60" s="132" t="str">
        <f>IF((COUNTIFS('Cage Tally'!$A:$A,$A60,'Cage Tally'!$C:$C,'Cage tracking'!M$4,'Cage Tally'!$E:$E, "Light")=0),"",COUNTIFS('Cage Tally'!$A:$A,$A60,'Cage Tally'!$C:$C,'Cage tracking'!M$4,'Cage Tally'!$E:$E, "Light"))</f>
        <v/>
      </c>
      <c r="N60" s="132" t="str">
        <f>IF((COUNTIFS('Cage Tally'!$A:$A,$A60,'Cage Tally'!$C:$C,'Cage tracking'!N$4,'Cage Tally'!$E:$E, "Light")=0),"",COUNTIFS('Cage Tally'!$A:$A,$A60,'Cage Tally'!$C:$C,'Cage tracking'!N$4,'Cage Tally'!$E:$E, "Light"))</f>
        <v/>
      </c>
      <c r="O60" s="132" t="str">
        <f>IF((COUNTIFS('Cage Tally'!$A:$A,$A60,'Cage Tally'!$C:$C,'Cage tracking'!O$4,'Cage Tally'!$E:$E, "Light")=0),"",COUNTIFS('Cage Tally'!$A:$A,$A60,'Cage Tally'!$C:$C,'Cage tracking'!O$4,'Cage Tally'!$E:$E, "Light"))</f>
        <v/>
      </c>
      <c r="P60" s="132" t="str">
        <f>IF((COUNTIFS('Cage Tally'!$A:$A,$A60,'Cage Tally'!$C:$C,'Cage tracking'!P$4,'Cage Tally'!$E:$E, "Light")=0),"",COUNTIFS('Cage Tally'!$A:$A,$A60,'Cage Tally'!$C:$C,'Cage tracking'!P$4,'Cage Tally'!$E:$E, "Light"))</f>
        <v/>
      </c>
      <c r="Q60" s="135"/>
      <c r="R60" s="205"/>
      <c r="S60" s="132" t="str">
        <f>IF((COUNTIFS('Cage Tally'!$A:$A,$A60,'Cage Tally'!$C:$C,'Cage tracking'!S$4,'Cage Tally'!$E:$E, "decomm")=0),"",COUNTIFS('Cage Tally'!$A:$A,$A60,'Cage Tally'!$C:$C,'Cage tracking'!S$4,'Cage Tally'!$E:$E, "decomm"))</f>
        <v/>
      </c>
      <c r="T60" s="132" t="str">
        <f>IF((COUNTIFS('Cage Tally'!$A:$A,$A60,'Cage Tally'!$C:$C,'Cage tracking'!T$4,'Cage Tally'!$E:$E, "decomm")=0),"",COUNTIFS('Cage Tally'!$A:$A,$A60,'Cage Tally'!$C:$C,'Cage tracking'!T$4,'Cage Tally'!$E:$E, "decomm"))</f>
        <v/>
      </c>
      <c r="U60" s="132" t="str">
        <f>IF((COUNTIFS('Cage Tally'!$A:$A,$A60,'Cage Tally'!$C:$C,'Cage tracking'!U$4,'Cage Tally'!$E:$E, "decomm")=0),"",COUNTIFS('Cage Tally'!$A:$A,$A60,'Cage Tally'!$C:$C,'Cage tracking'!U$4,'Cage Tally'!$E:$E, "decomm"))</f>
        <v/>
      </c>
      <c r="V60" s="132" t="str">
        <f>IF((COUNTIFS('Cage Tally'!$A:$A,$A60,'Cage Tally'!$C:$C,'Cage tracking'!V$4,'Cage Tally'!$E:$E, "decomm")=0),"",COUNTIFS('Cage Tally'!$A:$A,$A60,'Cage Tally'!$C:$C,'Cage tracking'!V$4,'Cage Tally'!$E:$E, "decomm"))</f>
        <v/>
      </c>
      <c r="W60" s="132" t="str">
        <f>IF((COUNTIFS('Cage Tally'!$A:$A,$A60,'Cage Tally'!$C:$C,'Cage tracking'!W$4,'Cage Tally'!$E:$E, "decomm")=0),"",COUNTIFS('Cage Tally'!$A:$A,$A60,'Cage Tally'!$C:$C,'Cage tracking'!W$4,'Cage Tally'!$E:$E, "decomm"))</f>
        <v/>
      </c>
      <c r="X60" s="142" t="str">
        <f>IF((COUNTIFS('Cage Tally'!$A:$A,$A60,'Cage Tally'!$C:$C,'Cage tracking'!X$4,'Cage Tally'!$E:$E, "decomm")=0),"",COUNTIFS('Cage Tally'!$A:$A,$A60,'Cage Tally'!$C:$C,'Cage tracking'!X$4,'Cage Tally'!$E:$E, "decomm"))</f>
        <v/>
      </c>
      <c r="Y60" s="273"/>
      <c r="Z60" s="273"/>
      <c r="AA60" s="273"/>
      <c r="AB60" s="273"/>
      <c r="AC60" s="273"/>
      <c r="AD60" s="273"/>
      <c r="AE60" s="273"/>
      <c r="AF60" s="273"/>
      <c r="AG60" s="273"/>
      <c r="AH60" s="273"/>
      <c r="AI60" s="273"/>
      <c r="AJ60" s="273"/>
      <c r="AK60" s="273"/>
      <c r="AL60" s="273"/>
      <c r="AM60" s="273"/>
      <c r="AN60" s="273"/>
      <c r="AO60" s="273"/>
      <c r="AP60" s="273"/>
      <c r="AQ60" s="273"/>
      <c r="AR60" s="273"/>
      <c r="AS60" s="273"/>
      <c r="AT60" s="273"/>
      <c r="AU60" s="273"/>
      <c r="AV60" s="273"/>
    </row>
    <row r="61" spans="1:48" ht="12.75">
      <c r="A61" s="131">
        <v>44111</v>
      </c>
      <c r="B61" s="206" t="str">
        <f>IF((COUNTIFS('Cage Tally'!$A:$A,$A61,'Cage Tally'!$C:$C,'Cage tracking'!B$4,'Cage Tally'!$E:$E, "Dark")=0),"",COUNTIFS('Cage Tally'!$A:$A,$A61,'Cage Tally'!$C:$C,'Cage tracking'!B$4,'Cage Tally'!$E:$E, "Dark"))</f>
        <v/>
      </c>
      <c r="C61" s="206" t="str">
        <f>IF((COUNTIFS('Cage Tally'!$A:$A,$A61,'Cage Tally'!$C:$C,'Cage tracking'!C$4,'Cage Tally'!$E:$E, "Dark")=0),"",COUNTIFS('Cage Tally'!$A:$A,$A61,'Cage Tally'!$C:$C,'Cage tracking'!C$4,'Cage Tally'!$E:$E, "Dark"))</f>
        <v/>
      </c>
      <c r="D61" s="206" t="str">
        <f>IF((COUNTIFS('Cage Tally'!$A:$A,$A61,'Cage Tally'!$C:$C,'Cage tracking'!D$4,'Cage Tally'!$E:$E, "Dark")=0),"",COUNTIFS('Cage Tally'!$A:$A,$A61,'Cage Tally'!$C:$C,'Cage tracking'!D$4,'Cage Tally'!$E:$E, "Dark"))</f>
        <v/>
      </c>
      <c r="E61" s="206">
        <f>IF((COUNTIFS('Cage Tally'!$A:$A,$A61,'Cage Tally'!$C:$C,'Cage tracking'!E$4,'Cage Tally'!$E:$E, "Dark")=0),"",COUNTIFS('Cage Tally'!$A:$A,$A61,'Cage Tally'!$C:$C,'Cage tracking'!E$4,'Cage Tally'!$E:$E, "Dark"))</f>
        <v>2</v>
      </c>
      <c r="F61" s="206" t="str">
        <f>IF((COUNTIFS('Cage Tally'!$A:$A,$A61,'Cage Tally'!$C:$C,'Cage tracking'!F$4,'Cage Tally'!$E:$E, "Dark")=0),"",COUNTIFS('Cage Tally'!$A:$A,$A61,'Cage Tally'!$C:$C,'Cage tracking'!F$4,'Cage Tally'!$E:$E, "Dark"))</f>
        <v/>
      </c>
      <c r="G61" s="206" t="str">
        <f>IF((COUNTIFS('Cage Tally'!$A:$A,$A61,'Cage Tally'!$C:$C,'Cage tracking'!G$4,'Cage Tally'!$E:$E, "Dark")=0),"",COUNTIFS('Cage Tally'!$A:$A,$A61,'Cage Tally'!$C:$C,'Cage tracking'!G$4,'Cage Tally'!$E:$E, "Dark"))</f>
        <v/>
      </c>
      <c r="H61" s="129"/>
      <c r="I61" s="128"/>
      <c r="J61" s="31"/>
      <c r="K61" s="206" t="str">
        <f>IF((COUNTIFS('Cage Tally'!$A:$A,$A61,'Cage Tally'!$C:$C,'Cage tracking'!K$4,'Cage Tally'!$E:$E, "Light")=0),"",COUNTIFS('Cage Tally'!$A:$A,$A61,'Cage Tally'!$C:$C,'Cage tracking'!K$4,'Cage Tally'!$E:$E, "Light"))</f>
        <v/>
      </c>
      <c r="L61" s="206" t="str">
        <f>IF((COUNTIFS('Cage Tally'!$A:$A,$A61,'Cage Tally'!$C:$C,'Cage tracking'!L$4,'Cage Tally'!$E:$E, "Light")=0),"",COUNTIFS('Cage Tally'!$A:$A,$A61,'Cage Tally'!$C:$C,'Cage tracking'!L$4,'Cage Tally'!$E:$E, "Light"))</f>
        <v/>
      </c>
      <c r="M61" s="206">
        <f>IF((COUNTIFS('Cage Tally'!$A:$A,$A61,'Cage Tally'!$C:$C,'Cage tracking'!M$4,'Cage Tally'!$E:$E, "Light")=0),"",COUNTIFS('Cage Tally'!$A:$A,$A61,'Cage Tally'!$C:$C,'Cage tracking'!M$4,'Cage Tally'!$E:$E, "Light"))</f>
        <v>1</v>
      </c>
      <c r="N61" s="206" t="str">
        <f>IF((COUNTIFS('Cage Tally'!$A:$A,$A61,'Cage Tally'!$C:$C,'Cage tracking'!N$4,'Cage Tally'!$E:$E, "Light")=0),"",COUNTIFS('Cage Tally'!$A:$A,$A61,'Cage Tally'!$C:$C,'Cage tracking'!N$4,'Cage Tally'!$E:$E, "Light"))</f>
        <v/>
      </c>
      <c r="O61" s="206" t="str">
        <f>IF((COUNTIFS('Cage Tally'!$A:$A,$A61,'Cage Tally'!$C:$C,'Cage tracking'!O$4,'Cage Tally'!$E:$E, "Light")=0),"",COUNTIFS('Cage Tally'!$A:$A,$A61,'Cage Tally'!$C:$C,'Cage tracking'!O$4,'Cage Tally'!$E:$E, "Light"))</f>
        <v/>
      </c>
      <c r="P61" s="206" t="str">
        <f>IF((COUNTIFS('Cage Tally'!$A:$A,$A61,'Cage Tally'!$C:$C,'Cage tracking'!P$4,'Cage Tally'!$E:$E, "Light")=0),"",COUNTIFS('Cage Tally'!$A:$A,$A61,'Cage Tally'!$C:$C,'Cage tracking'!P$4,'Cage Tally'!$E:$E, "Light"))</f>
        <v/>
      </c>
      <c r="Q61" s="206"/>
      <c r="R61" s="130"/>
      <c r="S61" s="206">
        <f>IF((COUNTIFS('Cage Tally'!$A:$A,$A61,'Cage Tally'!$C:$C,'Cage tracking'!S$4,'Cage Tally'!$E:$E, "decomm")=0),"",COUNTIFS('Cage Tally'!$A:$A,$A61,'Cage Tally'!$C:$C,'Cage tracking'!S$4,'Cage Tally'!$E:$E, "decomm"))</f>
        <v>2</v>
      </c>
      <c r="T61" s="206" t="str">
        <f>IF((COUNTIFS('Cage Tally'!$A:$A,$A61,'Cage Tally'!$C:$C,'Cage tracking'!T$4,'Cage Tally'!$E:$E, "decomm")=0),"",COUNTIFS('Cage Tally'!$A:$A,$A61,'Cage Tally'!$C:$C,'Cage tracking'!T$4,'Cage Tally'!$E:$E, "decomm"))</f>
        <v/>
      </c>
      <c r="U61" s="206" t="str">
        <f>IF((COUNTIFS('Cage Tally'!$A:$A,$A61,'Cage Tally'!$C:$C,'Cage tracking'!U$4,'Cage Tally'!$E:$E, "decomm")=0),"",COUNTIFS('Cage Tally'!$A:$A,$A61,'Cage Tally'!$C:$C,'Cage tracking'!U$4,'Cage Tally'!$E:$E, "decomm"))</f>
        <v/>
      </c>
      <c r="V61" s="206" t="str">
        <f>IF((COUNTIFS('Cage Tally'!$A:$A,$A61,'Cage Tally'!$C:$C,'Cage tracking'!V$4,'Cage Tally'!$E:$E, "decomm")=0),"",COUNTIFS('Cage Tally'!$A:$A,$A61,'Cage Tally'!$C:$C,'Cage tracking'!V$4,'Cage Tally'!$E:$E, "decomm"))</f>
        <v/>
      </c>
      <c r="W61" s="206" t="str">
        <f>IF((COUNTIFS('Cage Tally'!$A:$A,$A61,'Cage Tally'!$C:$C,'Cage tracking'!W$4,'Cage Tally'!$E:$E, "decomm")=0),"",COUNTIFS('Cage Tally'!$A:$A,$A61,'Cage Tally'!$C:$C,'Cage tracking'!W$4,'Cage Tally'!$E:$E, "decomm"))</f>
        <v/>
      </c>
      <c r="X61" s="207" t="str">
        <f>IF((COUNTIFS('Cage Tally'!$A:$A,$A61,'Cage Tally'!$C:$C,'Cage tracking'!X$4,'Cage Tally'!$E:$E, "decomm")=0),"",COUNTIFS('Cage Tally'!$A:$A,$A61,'Cage Tally'!$C:$C,'Cage tracking'!X$4,'Cage Tally'!$E:$E, "decomm"))</f>
        <v/>
      </c>
      <c r="Y61" s="273"/>
      <c r="Z61" s="273"/>
      <c r="AA61" s="273"/>
      <c r="AB61" s="273"/>
      <c r="AC61" s="273"/>
      <c r="AD61" s="273"/>
      <c r="AE61" s="273"/>
      <c r="AF61" s="273"/>
      <c r="AG61" s="273"/>
      <c r="AH61" s="273"/>
      <c r="AI61" s="273"/>
      <c r="AJ61" s="273"/>
      <c r="AK61" s="273"/>
      <c r="AL61" s="273"/>
      <c r="AM61" s="273"/>
      <c r="AN61" s="273"/>
      <c r="AO61" s="273"/>
      <c r="AP61" s="273"/>
      <c r="AQ61" s="273"/>
      <c r="AR61" s="273"/>
      <c r="AS61" s="273"/>
      <c r="AT61" s="273"/>
      <c r="AU61" s="273"/>
      <c r="AV61" s="273"/>
    </row>
    <row r="62" spans="1:48" ht="12.75">
      <c r="A62" s="131">
        <v>44112</v>
      </c>
      <c r="B62" s="132" t="str">
        <f>IF((COUNTIFS('Cage Tally'!$A:$A,$A62,'Cage Tally'!$C:$C,'Cage tracking'!B$4,'Cage Tally'!$E:$E, "Dark")=0),"",COUNTIFS('Cage Tally'!$A:$A,$A62,'Cage Tally'!$C:$C,'Cage tracking'!B$4,'Cage Tally'!$E:$E, "Dark"))</f>
        <v/>
      </c>
      <c r="C62" s="132" t="str">
        <f>IF((COUNTIFS('Cage Tally'!$A:$A,$A62,'Cage Tally'!$C:$C,'Cage tracking'!C$4,'Cage Tally'!$E:$E, "Dark")=0),"",COUNTIFS('Cage Tally'!$A:$A,$A62,'Cage Tally'!$C:$C,'Cage tracking'!C$4,'Cage Tally'!$E:$E, "Dark"))</f>
        <v/>
      </c>
      <c r="D62" s="132" t="str">
        <f>IF((COUNTIFS('Cage Tally'!$A:$A,$A62,'Cage Tally'!$C:$C,'Cage tracking'!D$4,'Cage Tally'!$E:$E, "Dark")=0),"",COUNTIFS('Cage Tally'!$A:$A,$A62,'Cage Tally'!$C:$C,'Cage tracking'!D$4,'Cage Tally'!$E:$E, "Dark"))</f>
        <v/>
      </c>
      <c r="E62" s="132">
        <f>IF((COUNTIFS('Cage Tally'!$A:$A,$A62,'Cage Tally'!$C:$C,'Cage tracking'!E$4,'Cage Tally'!$E:$E, "Dark")=0),"",COUNTIFS('Cage Tally'!$A:$A,$A62,'Cage Tally'!$C:$C,'Cage tracking'!E$4,'Cage Tally'!$E:$E, "Dark"))</f>
        <v>4</v>
      </c>
      <c r="F62" s="132" t="str">
        <f>IF((COUNTIFS('Cage Tally'!$A:$A,$A62,'Cage Tally'!$C:$C,'Cage tracking'!F$4,'Cage Tally'!$E:$E, "Dark")=0),"",COUNTIFS('Cage Tally'!$A:$A,$A62,'Cage Tally'!$C:$C,'Cage tracking'!F$4,'Cage Tally'!$E:$E, "Dark"))</f>
        <v/>
      </c>
      <c r="G62" s="132" t="str">
        <f>IF((COUNTIFS('Cage Tally'!$A:$A,$A62,'Cage Tally'!$C:$C,'Cage tracking'!G$4,'Cage Tally'!$E:$E, "Dark")=0),"",COUNTIFS('Cage Tally'!$A:$A,$A62,'Cage Tally'!$C:$C,'Cage tracking'!G$4,'Cage Tally'!$E:$E, "Dark"))</f>
        <v/>
      </c>
      <c r="H62" s="204"/>
      <c r="I62" s="128"/>
      <c r="J62" s="204"/>
      <c r="K62" s="132" t="str">
        <f>IF((COUNTIFS('Cage Tally'!$A:$A,$A62,'Cage Tally'!$C:$C,'Cage tracking'!K$4,'Cage Tally'!$E:$E, "Light")=0),"",COUNTIFS('Cage Tally'!$A:$A,$A62,'Cage Tally'!$C:$C,'Cage tracking'!K$4,'Cage Tally'!$E:$E, "Light"))</f>
        <v/>
      </c>
      <c r="L62" s="132" t="str">
        <f>IF((COUNTIFS('Cage Tally'!$A:$A,$A62,'Cage Tally'!$C:$C,'Cage tracking'!L$4,'Cage Tally'!$E:$E, "Light")=0),"",COUNTIFS('Cage Tally'!$A:$A,$A62,'Cage Tally'!$C:$C,'Cage tracking'!L$4,'Cage Tally'!$E:$E, "Light"))</f>
        <v/>
      </c>
      <c r="M62" s="132" t="str">
        <f>IF((COUNTIFS('Cage Tally'!$A:$A,$A62,'Cage Tally'!$C:$C,'Cage tracking'!M$4,'Cage Tally'!$E:$E, "Light")=0),"",COUNTIFS('Cage Tally'!$A:$A,$A62,'Cage Tally'!$C:$C,'Cage tracking'!M$4,'Cage Tally'!$E:$E, "Light"))</f>
        <v/>
      </c>
      <c r="N62" s="132" t="str">
        <f>IF((COUNTIFS('Cage Tally'!$A:$A,$A62,'Cage Tally'!$C:$C,'Cage tracking'!N$4,'Cage Tally'!$E:$E, "Light")=0),"",COUNTIFS('Cage Tally'!$A:$A,$A62,'Cage Tally'!$C:$C,'Cage tracking'!N$4,'Cage Tally'!$E:$E, "Light"))</f>
        <v/>
      </c>
      <c r="O62" s="132" t="str">
        <f>IF((COUNTIFS('Cage Tally'!$A:$A,$A62,'Cage Tally'!$C:$C,'Cage tracking'!O$4,'Cage Tally'!$E:$E, "Light")=0),"",COUNTIFS('Cage Tally'!$A:$A,$A62,'Cage Tally'!$C:$C,'Cage tracking'!O$4,'Cage Tally'!$E:$E, "Light"))</f>
        <v/>
      </c>
      <c r="P62" s="132" t="str">
        <f>IF((COUNTIFS('Cage Tally'!$A:$A,$A62,'Cage Tally'!$C:$C,'Cage tracking'!P$4,'Cage Tally'!$E:$E, "Light")=0),"",COUNTIFS('Cage Tally'!$A:$A,$A62,'Cage Tally'!$C:$C,'Cage tracking'!P$4,'Cage Tally'!$E:$E, "Light"))</f>
        <v/>
      </c>
      <c r="Q62" s="135"/>
      <c r="R62" s="205"/>
      <c r="S62" s="132" t="str">
        <f>IF((COUNTIFS('Cage Tally'!$A:$A,$A62,'Cage Tally'!$C:$C,'Cage tracking'!S$4,'Cage Tally'!$E:$E, "decomm")=0),"",COUNTIFS('Cage Tally'!$A:$A,$A62,'Cage Tally'!$C:$C,'Cage tracking'!S$4,'Cage Tally'!$E:$E, "decomm"))</f>
        <v/>
      </c>
      <c r="T62" s="132" t="str">
        <f>IF((COUNTIFS('Cage Tally'!$A:$A,$A62,'Cage Tally'!$C:$C,'Cage tracking'!T$4,'Cage Tally'!$E:$E, "decomm")=0),"",COUNTIFS('Cage Tally'!$A:$A,$A62,'Cage Tally'!$C:$C,'Cage tracking'!T$4,'Cage Tally'!$E:$E, "decomm"))</f>
        <v/>
      </c>
      <c r="U62" s="132" t="str">
        <f>IF((COUNTIFS('Cage Tally'!$A:$A,$A62,'Cage Tally'!$C:$C,'Cage tracking'!U$4,'Cage Tally'!$E:$E, "decomm")=0),"",COUNTIFS('Cage Tally'!$A:$A,$A62,'Cage Tally'!$C:$C,'Cage tracking'!U$4,'Cage Tally'!$E:$E, "decomm"))</f>
        <v/>
      </c>
      <c r="V62" s="132" t="str">
        <f>IF((COUNTIFS('Cage Tally'!$A:$A,$A62,'Cage Tally'!$C:$C,'Cage tracking'!V$4,'Cage Tally'!$E:$E, "decomm")=0),"",COUNTIFS('Cage Tally'!$A:$A,$A62,'Cage Tally'!$C:$C,'Cage tracking'!V$4,'Cage Tally'!$E:$E, "decomm"))</f>
        <v/>
      </c>
      <c r="W62" s="132" t="str">
        <f>IF((COUNTIFS('Cage Tally'!$A:$A,$A62,'Cage Tally'!$C:$C,'Cage tracking'!W$4,'Cage Tally'!$E:$E, "decomm")=0),"",COUNTIFS('Cage Tally'!$A:$A,$A62,'Cage Tally'!$C:$C,'Cage tracking'!W$4,'Cage Tally'!$E:$E, "decomm"))</f>
        <v/>
      </c>
      <c r="X62" s="142" t="str">
        <f>IF((COUNTIFS('Cage Tally'!$A:$A,$A62,'Cage Tally'!$C:$C,'Cage tracking'!X$4,'Cage Tally'!$E:$E, "decomm")=0),"",COUNTIFS('Cage Tally'!$A:$A,$A62,'Cage Tally'!$C:$C,'Cage tracking'!X$4,'Cage Tally'!$E:$E, "decomm"))</f>
        <v/>
      </c>
      <c r="Y62" s="273"/>
      <c r="Z62" s="273"/>
      <c r="AA62" s="273"/>
      <c r="AB62" s="273"/>
      <c r="AC62" s="273"/>
      <c r="AD62" s="273"/>
      <c r="AE62" s="273"/>
      <c r="AF62" s="273"/>
      <c r="AG62" s="273"/>
      <c r="AH62" s="273"/>
      <c r="AI62" s="273"/>
      <c r="AJ62" s="273"/>
      <c r="AK62" s="273"/>
      <c r="AL62" s="273"/>
      <c r="AM62" s="273"/>
      <c r="AN62" s="273"/>
      <c r="AO62" s="273"/>
      <c r="AP62" s="273"/>
      <c r="AQ62" s="273"/>
      <c r="AR62" s="273"/>
      <c r="AS62" s="273"/>
      <c r="AT62" s="273"/>
      <c r="AU62" s="273"/>
      <c r="AV62" s="273"/>
    </row>
    <row r="63" spans="1:48" ht="12.75">
      <c r="A63" s="131">
        <v>44113</v>
      </c>
      <c r="B63" s="206" t="str">
        <f>IF((COUNTIFS('Cage Tally'!$A:$A,$A63,'Cage Tally'!$C:$C,'Cage tracking'!B$4,'Cage Tally'!$E:$E, "Dark")=0),"",COUNTIFS('Cage Tally'!$A:$A,$A63,'Cage Tally'!$C:$C,'Cage tracking'!B$4,'Cage Tally'!$E:$E, "Dark"))</f>
        <v/>
      </c>
      <c r="C63" s="206" t="str">
        <f>IF((COUNTIFS('Cage Tally'!$A:$A,$A63,'Cage Tally'!$C:$C,'Cage tracking'!C$4,'Cage Tally'!$E:$E, "Dark")=0),"",COUNTIFS('Cage Tally'!$A:$A,$A63,'Cage Tally'!$C:$C,'Cage tracking'!C$4,'Cage Tally'!$E:$E, "Dark"))</f>
        <v/>
      </c>
      <c r="D63" s="206">
        <f>IF((COUNTIFS('Cage Tally'!$A:$A,$A63,'Cage Tally'!$C:$C,'Cage tracking'!D$4,'Cage Tally'!$E:$E, "Dark")=0),"",COUNTIFS('Cage Tally'!$A:$A,$A63,'Cage Tally'!$C:$C,'Cage tracking'!D$4,'Cage Tally'!$E:$E, "Dark"))</f>
        <v>1</v>
      </c>
      <c r="E63" s="206">
        <f>IF((COUNTIFS('Cage Tally'!$A:$A,$A63,'Cage Tally'!$C:$C,'Cage tracking'!E$4,'Cage Tally'!$E:$E, "Dark")=0),"",COUNTIFS('Cage Tally'!$A:$A,$A63,'Cage Tally'!$C:$C,'Cage tracking'!E$4,'Cage Tally'!$E:$E, "Dark"))</f>
        <v>2</v>
      </c>
      <c r="F63" s="206" t="str">
        <f>IF((COUNTIFS('Cage Tally'!$A:$A,$A63,'Cage Tally'!$C:$C,'Cage tracking'!F$4,'Cage Tally'!$E:$E, "Dark")=0),"",COUNTIFS('Cage Tally'!$A:$A,$A63,'Cage Tally'!$C:$C,'Cage tracking'!F$4,'Cage Tally'!$E:$E, "Dark"))</f>
        <v/>
      </c>
      <c r="G63" s="206" t="str">
        <f>IF((COUNTIFS('Cage Tally'!$A:$A,$A63,'Cage Tally'!$C:$C,'Cage tracking'!G$4,'Cage Tally'!$E:$E, "Dark")=0),"",COUNTIFS('Cage Tally'!$A:$A,$A63,'Cage Tally'!$C:$C,'Cage tracking'!G$4,'Cage Tally'!$E:$E, "Dark"))</f>
        <v/>
      </c>
      <c r="H63" s="129"/>
      <c r="I63" s="128"/>
      <c r="J63" s="31"/>
      <c r="K63" s="206" t="str">
        <f>IF((COUNTIFS('Cage Tally'!$A:$A,$A63,'Cage Tally'!$C:$C,'Cage tracking'!K$4,'Cage Tally'!$E:$E, "Light")=0),"",COUNTIFS('Cage Tally'!$A:$A,$A63,'Cage Tally'!$C:$C,'Cage tracking'!K$4,'Cage Tally'!$E:$E, "Light"))</f>
        <v/>
      </c>
      <c r="L63" s="206" t="str">
        <f>IF((COUNTIFS('Cage Tally'!$A:$A,$A63,'Cage Tally'!$C:$C,'Cage tracking'!L$4,'Cage Tally'!$E:$E, "Light")=0),"",COUNTIFS('Cage Tally'!$A:$A,$A63,'Cage Tally'!$C:$C,'Cage tracking'!L$4,'Cage Tally'!$E:$E, "Light"))</f>
        <v/>
      </c>
      <c r="M63" s="206">
        <f>IF((COUNTIFS('Cage Tally'!$A:$A,$A63,'Cage Tally'!$C:$C,'Cage tracking'!M$4,'Cage Tally'!$E:$E, "Light")=0),"",COUNTIFS('Cage Tally'!$A:$A,$A63,'Cage Tally'!$C:$C,'Cage tracking'!M$4,'Cage Tally'!$E:$E, "Light"))</f>
        <v>2</v>
      </c>
      <c r="N63" s="206">
        <f>IF((COUNTIFS('Cage Tally'!$A:$A,$A63,'Cage Tally'!$C:$C,'Cage tracking'!N$4,'Cage Tally'!$E:$E, "Light")=0),"",COUNTIFS('Cage Tally'!$A:$A,$A63,'Cage Tally'!$C:$C,'Cage tracking'!N$4,'Cage Tally'!$E:$E, "Light"))</f>
        <v>2</v>
      </c>
      <c r="O63" s="206" t="str">
        <f>IF((COUNTIFS('Cage Tally'!$A:$A,$A63,'Cage Tally'!$C:$C,'Cage tracking'!O$4,'Cage Tally'!$E:$E, "Light")=0),"",COUNTIFS('Cage Tally'!$A:$A,$A63,'Cage Tally'!$C:$C,'Cage tracking'!O$4,'Cage Tally'!$E:$E, "Light"))</f>
        <v/>
      </c>
      <c r="P63" s="206" t="str">
        <f>IF((COUNTIFS('Cage Tally'!$A:$A,$A63,'Cage Tally'!$C:$C,'Cage tracking'!P$4,'Cage Tally'!$E:$E, "Light")=0),"",COUNTIFS('Cage Tally'!$A:$A,$A63,'Cage Tally'!$C:$C,'Cage tracking'!P$4,'Cage Tally'!$E:$E, "Light"))</f>
        <v/>
      </c>
      <c r="Q63" s="206"/>
      <c r="R63" s="130"/>
      <c r="S63" s="206" t="str">
        <f>IF((COUNTIFS('Cage Tally'!$A:$A,$A63,'Cage Tally'!$C:$C,'Cage tracking'!S$4,'Cage Tally'!$E:$E, "decomm")=0),"",COUNTIFS('Cage Tally'!$A:$A,$A63,'Cage Tally'!$C:$C,'Cage tracking'!S$4,'Cage Tally'!$E:$E, "decomm"))</f>
        <v/>
      </c>
      <c r="T63" s="206" t="str">
        <f>IF((COUNTIFS('Cage Tally'!$A:$A,$A63,'Cage Tally'!$C:$C,'Cage tracking'!T$4,'Cage Tally'!$E:$E, "decomm")=0),"",COUNTIFS('Cage Tally'!$A:$A,$A63,'Cage Tally'!$C:$C,'Cage tracking'!T$4,'Cage Tally'!$E:$E, "decomm"))</f>
        <v/>
      </c>
      <c r="U63" s="206" t="str">
        <f>IF((COUNTIFS('Cage Tally'!$A:$A,$A63,'Cage Tally'!$C:$C,'Cage tracking'!U$4,'Cage Tally'!$E:$E, "decomm")=0),"",COUNTIFS('Cage Tally'!$A:$A,$A63,'Cage Tally'!$C:$C,'Cage tracking'!U$4,'Cage Tally'!$E:$E, "decomm"))</f>
        <v/>
      </c>
      <c r="V63" s="206" t="str">
        <f>IF((COUNTIFS('Cage Tally'!$A:$A,$A63,'Cage Tally'!$C:$C,'Cage tracking'!V$4,'Cage Tally'!$E:$E, "decomm")=0),"",COUNTIFS('Cage Tally'!$A:$A,$A63,'Cage Tally'!$C:$C,'Cage tracking'!V$4,'Cage Tally'!$E:$E, "decomm"))</f>
        <v/>
      </c>
      <c r="W63" s="206" t="str">
        <f>IF((COUNTIFS('Cage Tally'!$A:$A,$A63,'Cage Tally'!$C:$C,'Cage tracking'!W$4,'Cage Tally'!$E:$E, "decomm")=0),"",COUNTIFS('Cage Tally'!$A:$A,$A63,'Cage Tally'!$C:$C,'Cage tracking'!W$4,'Cage Tally'!$E:$E, "decomm"))</f>
        <v/>
      </c>
      <c r="X63" s="207" t="str">
        <f>IF((COUNTIFS('Cage Tally'!$A:$A,$A63,'Cage Tally'!$C:$C,'Cage tracking'!X$4,'Cage Tally'!$E:$E, "decomm")=0),"",COUNTIFS('Cage Tally'!$A:$A,$A63,'Cage Tally'!$C:$C,'Cage tracking'!X$4,'Cage Tally'!$E:$E, "decomm"))</f>
        <v/>
      </c>
      <c r="Y63" s="273"/>
      <c r="Z63" s="273"/>
      <c r="AA63" s="273"/>
      <c r="AB63" s="273"/>
      <c r="AC63" s="273"/>
      <c r="AD63" s="273"/>
      <c r="AE63" s="273"/>
      <c r="AF63" s="273"/>
      <c r="AG63" s="273"/>
      <c r="AH63" s="273"/>
      <c r="AI63" s="273"/>
      <c r="AJ63" s="273"/>
      <c r="AK63" s="273"/>
      <c r="AL63" s="273"/>
      <c r="AM63" s="273"/>
      <c r="AN63" s="273"/>
      <c r="AO63" s="273"/>
      <c r="AP63" s="273"/>
      <c r="AQ63" s="273"/>
      <c r="AR63" s="273"/>
      <c r="AS63" s="273"/>
      <c r="AT63" s="273"/>
      <c r="AU63" s="273"/>
      <c r="AV63" s="273"/>
    </row>
    <row r="64" spans="1:48" ht="12.75">
      <c r="A64" s="131">
        <v>44114</v>
      </c>
      <c r="B64" s="132" t="str">
        <f>IF((COUNTIFS('Cage Tally'!$A:$A,$A64,'Cage Tally'!$C:$C,'Cage tracking'!B$4,'Cage Tally'!$E:$E, "Dark")=0),"",COUNTIFS('Cage Tally'!$A:$A,$A64,'Cage Tally'!$C:$C,'Cage tracking'!B$4,'Cage Tally'!$E:$E, "Dark"))</f>
        <v/>
      </c>
      <c r="C64" s="132" t="str">
        <f>IF((COUNTIFS('Cage Tally'!$A:$A,$A64,'Cage Tally'!$C:$C,'Cage tracking'!C$4,'Cage Tally'!$E:$E, "Dark")=0),"",COUNTIFS('Cage Tally'!$A:$A,$A64,'Cage Tally'!$C:$C,'Cage tracking'!C$4,'Cage Tally'!$E:$E, "Dark"))</f>
        <v/>
      </c>
      <c r="D64" s="132" t="str">
        <f>IF((COUNTIFS('Cage Tally'!$A:$A,$A64,'Cage Tally'!$C:$C,'Cage tracking'!D$4,'Cage Tally'!$E:$E, "Dark")=0),"",COUNTIFS('Cage Tally'!$A:$A,$A64,'Cage Tally'!$C:$C,'Cage tracking'!D$4,'Cage Tally'!$E:$E, "Dark"))</f>
        <v/>
      </c>
      <c r="E64" s="132" t="str">
        <f>IF((COUNTIFS('Cage Tally'!$A:$A,$A64,'Cage Tally'!$C:$C,'Cage tracking'!E$4,'Cage Tally'!$E:$E, "Dark")=0),"",COUNTIFS('Cage Tally'!$A:$A,$A64,'Cage Tally'!$C:$C,'Cage tracking'!E$4,'Cage Tally'!$E:$E, "Dark"))</f>
        <v/>
      </c>
      <c r="F64" s="132" t="str">
        <f>IF((COUNTIFS('Cage Tally'!$A:$A,$A64,'Cage Tally'!$C:$C,'Cage tracking'!F$4,'Cage Tally'!$E:$E, "Dark")=0),"",COUNTIFS('Cage Tally'!$A:$A,$A64,'Cage Tally'!$C:$C,'Cage tracking'!F$4,'Cage Tally'!$E:$E, "Dark"))</f>
        <v/>
      </c>
      <c r="G64" s="132" t="str">
        <f>IF((COUNTIFS('Cage Tally'!$A:$A,$A64,'Cage Tally'!$C:$C,'Cage tracking'!G$4,'Cage Tally'!$E:$E, "Dark")=0),"",COUNTIFS('Cage Tally'!$A:$A,$A64,'Cage Tally'!$C:$C,'Cage tracking'!G$4,'Cage Tally'!$E:$E, "Dark"))</f>
        <v/>
      </c>
      <c r="H64" s="204"/>
      <c r="I64" s="128"/>
      <c r="J64" s="204"/>
      <c r="K64" s="132" t="str">
        <f>IF((COUNTIFS('Cage Tally'!$A:$A,$A64,'Cage Tally'!$C:$C,'Cage tracking'!K$4,'Cage Tally'!$E:$E, "Light")=0),"",COUNTIFS('Cage Tally'!$A:$A,$A64,'Cage Tally'!$C:$C,'Cage tracking'!K$4,'Cage Tally'!$E:$E, "Light"))</f>
        <v/>
      </c>
      <c r="L64" s="132" t="str">
        <f>IF((COUNTIFS('Cage Tally'!$A:$A,$A64,'Cage Tally'!$C:$C,'Cage tracking'!L$4,'Cage Tally'!$E:$E, "Light")=0),"",COUNTIFS('Cage Tally'!$A:$A,$A64,'Cage Tally'!$C:$C,'Cage tracking'!L$4,'Cage Tally'!$E:$E, "Light"))</f>
        <v/>
      </c>
      <c r="M64" s="132" t="str">
        <f>IF((COUNTIFS('Cage Tally'!$A:$A,$A64,'Cage Tally'!$C:$C,'Cage tracking'!M$4,'Cage Tally'!$E:$E, "Light")=0),"",COUNTIFS('Cage Tally'!$A:$A,$A64,'Cage Tally'!$C:$C,'Cage tracking'!M$4,'Cage Tally'!$E:$E, "Light"))</f>
        <v/>
      </c>
      <c r="N64" s="132" t="str">
        <f>IF((COUNTIFS('Cage Tally'!$A:$A,$A64,'Cage Tally'!$C:$C,'Cage tracking'!N$4,'Cage Tally'!$E:$E, "Light")=0),"",COUNTIFS('Cage Tally'!$A:$A,$A64,'Cage Tally'!$C:$C,'Cage tracking'!N$4,'Cage Tally'!$E:$E, "Light"))</f>
        <v/>
      </c>
      <c r="O64" s="132" t="str">
        <f>IF((COUNTIFS('Cage Tally'!$A:$A,$A64,'Cage Tally'!$C:$C,'Cage tracking'!O$4,'Cage Tally'!$E:$E, "Light")=0),"",COUNTIFS('Cage Tally'!$A:$A,$A64,'Cage Tally'!$C:$C,'Cage tracking'!O$4,'Cage Tally'!$E:$E, "Light"))</f>
        <v/>
      </c>
      <c r="P64" s="132" t="str">
        <f>IF((COUNTIFS('Cage Tally'!$A:$A,$A64,'Cage Tally'!$C:$C,'Cage tracking'!P$4,'Cage Tally'!$E:$E, "Light")=0),"",COUNTIFS('Cage Tally'!$A:$A,$A64,'Cage Tally'!$C:$C,'Cage tracking'!P$4,'Cage Tally'!$E:$E, "Light"))</f>
        <v/>
      </c>
      <c r="Q64" s="135"/>
      <c r="R64" s="205"/>
      <c r="S64" s="132" t="str">
        <f>IF((COUNTIFS('Cage Tally'!$A:$A,$A64,'Cage Tally'!$C:$C,'Cage tracking'!S$4,'Cage Tally'!$E:$E, "decomm")=0),"",COUNTIFS('Cage Tally'!$A:$A,$A64,'Cage Tally'!$C:$C,'Cage tracking'!S$4,'Cage Tally'!$E:$E, "decomm"))</f>
        <v/>
      </c>
      <c r="T64" s="132" t="str">
        <f>IF((COUNTIFS('Cage Tally'!$A:$A,$A64,'Cage Tally'!$C:$C,'Cage tracking'!T$4,'Cage Tally'!$E:$E, "decomm")=0),"",COUNTIFS('Cage Tally'!$A:$A,$A64,'Cage Tally'!$C:$C,'Cage tracking'!T$4,'Cage Tally'!$E:$E, "decomm"))</f>
        <v/>
      </c>
      <c r="U64" s="132" t="str">
        <f>IF((COUNTIFS('Cage Tally'!$A:$A,$A64,'Cage Tally'!$C:$C,'Cage tracking'!U$4,'Cage Tally'!$E:$E, "decomm")=0),"",COUNTIFS('Cage Tally'!$A:$A,$A64,'Cage Tally'!$C:$C,'Cage tracking'!U$4,'Cage Tally'!$E:$E, "decomm"))</f>
        <v/>
      </c>
      <c r="V64" s="132" t="str">
        <f>IF((COUNTIFS('Cage Tally'!$A:$A,$A64,'Cage Tally'!$C:$C,'Cage tracking'!V$4,'Cage Tally'!$E:$E, "decomm")=0),"",COUNTIFS('Cage Tally'!$A:$A,$A64,'Cage Tally'!$C:$C,'Cage tracking'!V$4,'Cage Tally'!$E:$E, "decomm"))</f>
        <v/>
      </c>
      <c r="W64" s="132" t="str">
        <f>IF((COUNTIFS('Cage Tally'!$A:$A,$A64,'Cage Tally'!$C:$C,'Cage tracking'!W$4,'Cage Tally'!$E:$E, "decomm")=0),"",COUNTIFS('Cage Tally'!$A:$A,$A64,'Cage Tally'!$C:$C,'Cage tracking'!W$4,'Cage Tally'!$E:$E, "decomm"))</f>
        <v/>
      </c>
      <c r="X64" s="142" t="str">
        <f>IF((COUNTIFS('Cage Tally'!$A:$A,$A64,'Cage Tally'!$C:$C,'Cage tracking'!X$4,'Cage Tally'!$E:$E, "decomm")=0),"",COUNTIFS('Cage Tally'!$A:$A,$A64,'Cage Tally'!$C:$C,'Cage tracking'!X$4,'Cage Tally'!$E:$E, "decomm"))</f>
        <v/>
      </c>
      <c r="Y64" s="273"/>
      <c r="Z64" s="273"/>
      <c r="AA64" s="273"/>
      <c r="AB64" s="273"/>
      <c r="AC64" s="273"/>
      <c r="AD64" s="273"/>
      <c r="AE64" s="273"/>
      <c r="AF64" s="273"/>
      <c r="AG64" s="273"/>
      <c r="AH64" s="273"/>
      <c r="AI64" s="273"/>
      <c r="AJ64" s="273"/>
      <c r="AK64" s="273"/>
      <c r="AL64" s="273"/>
      <c r="AM64" s="273"/>
      <c r="AN64" s="273"/>
      <c r="AO64" s="273"/>
      <c r="AP64" s="273"/>
      <c r="AQ64" s="273"/>
      <c r="AR64" s="273"/>
      <c r="AS64" s="273"/>
      <c r="AT64" s="273"/>
      <c r="AU64" s="273"/>
      <c r="AV64" s="273"/>
    </row>
    <row r="65" spans="1:48" ht="12.75">
      <c r="A65" s="131">
        <v>44115</v>
      </c>
      <c r="B65" s="206" t="str">
        <f>IF((COUNTIFS('Cage Tally'!$A:$A,$A65,'Cage Tally'!$C:$C,'Cage tracking'!B$4,'Cage Tally'!$E:$E, "Dark")=0),"",COUNTIFS('Cage Tally'!$A:$A,$A65,'Cage Tally'!$C:$C,'Cage tracking'!B$4,'Cage Tally'!$E:$E, "Dark"))</f>
        <v/>
      </c>
      <c r="C65" s="206" t="str">
        <f>IF((COUNTIFS('Cage Tally'!$A:$A,$A65,'Cage Tally'!$C:$C,'Cage tracking'!C$4,'Cage Tally'!$E:$E, "Dark")=0),"",COUNTIFS('Cage Tally'!$A:$A,$A65,'Cage Tally'!$C:$C,'Cage tracking'!C$4,'Cage Tally'!$E:$E, "Dark"))</f>
        <v/>
      </c>
      <c r="D65" s="206" t="str">
        <f>IF((COUNTIFS('Cage Tally'!$A:$A,$A65,'Cage Tally'!$C:$C,'Cage tracking'!D$4,'Cage Tally'!$E:$E, "Dark")=0),"",COUNTIFS('Cage Tally'!$A:$A,$A65,'Cage Tally'!$C:$C,'Cage tracking'!D$4,'Cage Tally'!$E:$E, "Dark"))</f>
        <v/>
      </c>
      <c r="E65" s="206" t="str">
        <f>IF((COUNTIFS('Cage Tally'!$A:$A,$A65,'Cage Tally'!$C:$C,'Cage tracking'!E$4,'Cage Tally'!$E:$E, "Dark")=0),"",COUNTIFS('Cage Tally'!$A:$A,$A65,'Cage Tally'!$C:$C,'Cage tracking'!E$4,'Cage Tally'!$E:$E, "Dark"))</f>
        <v/>
      </c>
      <c r="F65" s="206" t="str">
        <f>IF((COUNTIFS('Cage Tally'!$A:$A,$A65,'Cage Tally'!$C:$C,'Cage tracking'!F$4,'Cage Tally'!$E:$E, "Dark")=0),"",COUNTIFS('Cage Tally'!$A:$A,$A65,'Cage Tally'!$C:$C,'Cage tracking'!F$4,'Cage Tally'!$E:$E, "Dark"))</f>
        <v/>
      </c>
      <c r="G65" s="206" t="str">
        <f>IF((COUNTIFS('Cage Tally'!$A:$A,$A65,'Cage Tally'!$C:$C,'Cage tracking'!G$4,'Cage Tally'!$E:$E, "Dark")=0),"",COUNTIFS('Cage Tally'!$A:$A,$A65,'Cage Tally'!$C:$C,'Cage tracking'!G$4,'Cage Tally'!$E:$E, "Dark"))</f>
        <v/>
      </c>
      <c r="H65" s="129"/>
      <c r="I65" s="128"/>
      <c r="J65" s="31"/>
      <c r="K65" s="206" t="str">
        <f>IF((COUNTIFS('Cage Tally'!$A:$A,$A65,'Cage Tally'!$C:$C,'Cage tracking'!K$4,'Cage Tally'!$E:$E, "Light")=0),"",COUNTIFS('Cage Tally'!$A:$A,$A65,'Cage Tally'!$C:$C,'Cage tracking'!K$4,'Cage Tally'!$E:$E, "Light"))</f>
        <v/>
      </c>
      <c r="L65" s="206" t="str">
        <f>IF((COUNTIFS('Cage Tally'!$A:$A,$A65,'Cage Tally'!$C:$C,'Cage tracking'!L$4,'Cage Tally'!$E:$E, "Light")=0),"",COUNTIFS('Cage Tally'!$A:$A,$A65,'Cage Tally'!$C:$C,'Cage tracking'!L$4,'Cage Tally'!$E:$E, "Light"))</f>
        <v/>
      </c>
      <c r="M65" s="206" t="str">
        <f>IF((COUNTIFS('Cage Tally'!$A:$A,$A65,'Cage Tally'!$C:$C,'Cage tracking'!M$4,'Cage Tally'!$E:$E, "Light")=0),"",COUNTIFS('Cage Tally'!$A:$A,$A65,'Cage Tally'!$C:$C,'Cage tracking'!M$4,'Cage Tally'!$E:$E, "Light"))</f>
        <v/>
      </c>
      <c r="N65" s="206" t="str">
        <f>IF((COUNTIFS('Cage Tally'!$A:$A,$A65,'Cage Tally'!$C:$C,'Cage tracking'!N$4,'Cage Tally'!$E:$E, "Light")=0),"",COUNTIFS('Cage Tally'!$A:$A,$A65,'Cage Tally'!$C:$C,'Cage tracking'!N$4,'Cage Tally'!$E:$E, "Light"))</f>
        <v/>
      </c>
      <c r="O65" s="206" t="str">
        <f>IF((COUNTIFS('Cage Tally'!$A:$A,$A65,'Cage Tally'!$C:$C,'Cage tracking'!O$4,'Cage Tally'!$E:$E, "Light")=0),"",COUNTIFS('Cage Tally'!$A:$A,$A65,'Cage Tally'!$C:$C,'Cage tracking'!O$4,'Cage Tally'!$E:$E, "Light"))</f>
        <v/>
      </c>
      <c r="P65" s="206" t="str">
        <f>IF((COUNTIFS('Cage Tally'!$A:$A,$A65,'Cage Tally'!$C:$C,'Cage tracking'!P$4,'Cage Tally'!$E:$E, "Light")=0),"",COUNTIFS('Cage Tally'!$A:$A,$A65,'Cage Tally'!$C:$C,'Cage tracking'!P$4,'Cage Tally'!$E:$E, "Light"))</f>
        <v/>
      </c>
      <c r="Q65" s="206"/>
      <c r="R65" s="130"/>
      <c r="S65" s="206" t="str">
        <f>IF((COUNTIFS('Cage Tally'!$A:$A,$A65,'Cage Tally'!$C:$C,'Cage tracking'!S$4,'Cage Tally'!$E:$E, "decomm")=0),"",COUNTIFS('Cage Tally'!$A:$A,$A65,'Cage Tally'!$C:$C,'Cage tracking'!S$4,'Cage Tally'!$E:$E, "decomm"))</f>
        <v/>
      </c>
      <c r="T65" s="206" t="str">
        <f>IF((COUNTIFS('Cage Tally'!$A:$A,$A65,'Cage Tally'!$C:$C,'Cage tracking'!T$4,'Cage Tally'!$E:$E, "decomm")=0),"",COUNTIFS('Cage Tally'!$A:$A,$A65,'Cage Tally'!$C:$C,'Cage tracking'!T$4,'Cage Tally'!$E:$E, "decomm"))</f>
        <v/>
      </c>
      <c r="U65" s="206" t="str">
        <f>IF((COUNTIFS('Cage Tally'!$A:$A,$A65,'Cage Tally'!$C:$C,'Cage tracking'!U$4,'Cage Tally'!$E:$E, "decomm")=0),"",COUNTIFS('Cage Tally'!$A:$A,$A65,'Cage Tally'!$C:$C,'Cage tracking'!U$4,'Cage Tally'!$E:$E, "decomm"))</f>
        <v/>
      </c>
      <c r="V65" s="206" t="str">
        <f>IF((COUNTIFS('Cage Tally'!$A:$A,$A65,'Cage Tally'!$C:$C,'Cage tracking'!V$4,'Cage Tally'!$E:$E, "decomm")=0),"",COUNTIFS('Cage Tally'!$A:$A,$A65,'Cage Tally'!$C:$C,'Cage tracking'!V$4,'Cage Tally'!$E:$E, "decomm"))</f>
        <v/>
      </c>
      <c r="W65" s="206" t="str">
        <f>IF((COUNTIFS('Cage Tally'!$A:$A,$A65,'Cage Tally'!$C:$C,'Cage tracking'!W$4,'Cage Tally'!$E:$E, "decomm")=0),"",COUNTIFS('Cage Tally'!$A:$A,$A65,'Cage Tally'!$C:$C,'Cage tracking'!W$4,'Cage Tally'!$E:$E, "decomm"))</f>
        <v/>
      </c>
      <c r="X65" s="207" t="str">
        <f>IF((COUNTIFS('Cage Tally'!$A:$A,$A65,'Cage Tally'!$C:$C,'Cage tracking'!X$4,'Cage Tally'!$E:$E, "decomm")=0),"",COUNTIFS('Cage Tally'!$A:$A,$A65,'Cage Tally'!$C:$C,'Cage tracking'!X$4,'Cage Tally'!$E:$E, "decomm"))</f>
        <v/>
      </c>
      <c r="Y65" s="273"/>
      <c r="Z65" s="273"/>
      <c r="AA65" s="273"/>
      <c r="AB65" s="273"/>
      <c r="AC65" s="273"/>
      <c r="AD65" s="273"/>
      <c r="AE65" s="273"/>
      <c r="AF65" s="273"/>
      <c r="AG65" s="273"/>
      <c r="AH65" s="273"/>
      <c r="AI65" s="273"/>
      <c r="AJ65" s="273"/>
      <c r="AK65" s="273"/>
      <c r="AL65" s="273"/>
      <c r="AM65" s="273"/>
      <c r="AN65" s="273"/>
      <c r="AO65" s="273"/>
      <c r="AP65" s="273"/>
      <c r="AQ65" s="273"/>
      <c r="AR65" s="273"/>
      <c r="AS65" s="273"/>
      <c r="AT65" s="273"/>
      <c r="AU65" s="273"/>
      <c r="AV65" s="273"/>
    </row>
    <row r="66" spans="1:48" ht="12.75">
      <c r="A66" s="131">
        <v>44116</v>
      </c>
      <c r="B66" s="132" t="str">
        <f>IF((COUNTIFS('Cage Tally'!$A:$A,$A66,'Cage Tally'!$C:$C,'Cage tracking'!B$4,'Cage Tally'!$E:$E, "Dark")=0),"",COUNTIFS('Cage Tally'!$A:$A,$A66,'Cage Tally'!$C:$C,'Cage tracking'!B$4,'Cage Tally'!$E:$E, "Dark"))</f>
        <v/>
      </c>
      <c r="C66" s="132" t="str">
        <f>IF((COUNTIFS('Cage Tally'!$A:$A,$A66,'Cage Tally'!$C:$C,'Cage tracking'!C$4,'Cage Tally'!$E:$E, "Dark")=0),"",COUNTIFS('Cage Tally'!$A:$A,$A66,'Cage Tally'!$C:$C,'Cage tracking'!C$4,'Cage Tally'!$E:$E, "Dark"))</f>
        <v/>
      </c>
      <c r="D66" s="132" t="str">
        <f>IF((COUNTIFS('Cage Tally'!$A:$A,$A66,'Cage Tally'!$C:$C,'Cage tracking'!D$4,'Cage Tally'!$E:$E, "Dark")=0),"",COUNTIFS('Cage Tally'!$A:$A,$A66,'Cage Tally'!$C:$C,'Cage tracking'!D$4,'Cage Tally'!$E:$E, "Dark"))</f>
        <v/>
      </c>
      <c r="E66" s="132" t="str">
        <f>IF((COUNTIFS('Cage Tally'!$A:$A,$A66,'Cage Tally'!$C:$C,'Cage tracking'!E$4,'Cage Tally'!$E:$E, "Dark")=0),"",COUNTIFS('Cage Tally'!$A:$A,$A66,'Cage Tally'!$C:$C,'Cage tracking'!E$4,'Cage Tally'!$E:$E, "Dark"))</f>
        <v/>
      </c>
      <c r="F66" s="132" t="str">
        <f>IF((COUNTIFS('Cage Tally'!$A:$A,$A66,'Cage Tally'!$C:$C,'Cage tracking'!F$4,'Cage Tally'!$E:$E, "Dark")=0),"",COUNTIFS('Cage Tally'!$A:$A,$A66,'Cage Tally'!$C:$C,'Cage tracking'!F$4,'Cage Tally'!$E:$E, "Dark"))</f>
        <v/>
      </c>
      <c r="G66" s="132" t="str">
        <f>IF((COUNTIFS('Cage Tally'!$A:$A,$A66,'Cage Tally'!$C:$C,'Cage tracking'!G$4,'Cage Tally'!$E:$E, "Dark")=0),"",COUNTIFS('Cage Tally'!$A:$A,$A66,'Cage Tally'!$C:$C,'Cage tracking'!G$4,'Cage Tally'!$E:$E, "Dark"))</f>
        <v/>
      </c>
      <c r="H66" s="204"/>
      <c r="I66" s="128"/>
      <c r="J66" s="204"/>
      <c r="K66" s="132" t="str">
        <f>IF((COUNTIFS('Cage Tally'!$A:$A,$A66,'Cage Tally'!$C:$C,'Cage tracking'!K$4,'Cage Tally'!$E:$E, "Light")=0),"",COUNTIFS('Cage Tally'!$A:$A,$A66,'Cage Tally'!$C:$C,'Cage tracking'!K$4,'Cage Tally'!$E:$E, "Light"))</f>
        <v/>
      </c>
      <c r="L66" s="132" t="str">
        <f>IF((COUNTIFS('Cage Tally'!$A:$A,$A66,'Cage Tally'!$C:$C,'Cage tracking'!L$4,'Cage Tally'!$E:$E, "Light")=0),"",COUNTIFS('Cage Tally'!$A:$A,$A66,'Cage Tally'!$C:$C,'Cage tracking'!L$4,'Cage Tally'!$E:$E, "Light"))</f>
        <v/>
      </c>
      <c r="M66" s="132" t="str">
        <f>IF((COUNTIFS('Cage Tally'!$A:$A,$A66,'Cage Tally'!$C:$C,'Cage tracking'!M$4,'Cage Tally'!$E:$E, "Light")=0),"",COUNTIFS('Cage Tally'!$A:$A,$A66,'Cage Tally'!$C:$C,'Cage tracking'!M$4,'Cage Tally'!$E:$E, "Light"))</f>
        <v/>
      </c>
      <c r="N66" s="132" t="str">
        <f>IF((COUNTIFS('Cage Tally'!$A:$A,$A66,'Cage Tally'!$C:$C,'Cage tracking'!N$4,'Cage Tally'!$E:$E, "Light")=0),"",COUNTIFS('Cage Tally'!$A:$A,$A66,'Cage Tally'!$C:$C,'Cage tracking'!N$4,'Cage Tally'!$E:$E, "Light"))</f>
        <v/>
      </c>
      <c r="O66" s="132" t="str">
        <f>IF((COUNTIFS('Cage Tally'!$A:$A,$A66,'Cage Tally'!$C:$C,'Cage tracking'!O$4,'Cage Tally'!$E:$E, "Light")=0),"",COUNTIFS('Cage Tally'!$A:$A,$A66,'Cage Tally'!$C:$C,'Cage tracking'!O$4,'Cage Tally'!$E:$E, "Light"))</f>
        <v/>
      </c>
      <c r="P66" s="132" t="str">
        <f>IF((COUNTIFS('Cage Tally'!$A:$A,$A66,'Cage Tally'!$C:$C,'Cage tracking'!P$4,'Cage Tally'!$E:$E, "Light")=0),"",COUNTIFS('Cage Tally'!$A:$A,$A66,'Cage Tally'!$C:$C,'Cage tracking'!P$4,'Cage Tally'!$E:$E, "Light"))</f>
        <v/>
      </c>
      <c r="Q66" s="135"/>
      <c r="R66" s="205"/>
      <c r="S66" s="132" t="str">
        <f>IF((COUNTIFS('Cage Tally'!$A:$A,$A66,'Cage Tally'!$C:$C,'Cage tracking'!S$4,'Cage Tally'!$E:$E, "decomm")=0),"",COUNTIFS('Cage Tally'!$A:$A,$A66,'Cage Tally'!$C:$C,'Cage tracking'!S$4,'Cage Tally'!$E:$E, "decomm"))</f>
        <v/>
      </c>
      <c r="T66" s="132" t="str">
        <f>IF((COUNTIFS('Cage Tally'!$A:$A,$A66,'Cage Tally'!$C:$C,'Cage tracking'!T$4,'Cage Tally'!$E:$E, "decomm")=0),"",COUNTIFS('Cage Tally'!$A:$A,$A66,'Cage Tally'!$C:$C,'Cage tracking'!T$4,'Cage Tally'!$E:$E, "decomm"))</f>
        <v/>
      </c>
      <c r="U66" s="132" t="str">
        <f>IF((COUNTIFS('Cage Tally'!$A:$A,$A66,'Cage Tally'!$C:$C,'Cage tracking'!U$4,'Cage Tally'!$E:$E, "decomm")=0),"",COUNTIFS('Cage Tally'!$A:$A,$A66,'Cage Tally'!$C:$C,'Cage tracking'!U$4,'Cage Tally'!$E:$E, "decomm"))</f>
        <v/>
      </c>
      <c r="V66" s="132" t="str">
        <f>IF((COUNTIFS('Cage Tally'!$A:$A,$A66,'Cage Tally'!$C:$C,'Cage tracking'!V$4,'Cage Tally'!$E:$E, "decomm")=0),"",COUNTIFS('Cage Tally'!$A:$A,$A66,'Cage Tally'!$C:$C,'Cage tracking'!V$4,'Cage Tally'!$E:$E, "decomm"))</f>
        <v/>
      </c>
      <c r="W66" s="132" t="str">
        <f>IF((COUNTIFS('Cage Tally'!$A:$A,$A66,'Cage Tally'!$C:$C,'Cage tracking'!W$4,'Cage Tally'!$E:$E, "decomm")=0),"",COUNTIFS('Cage Tally'!$A:$A,$A66,'Cage Tally'!$C:$C,'Cage tracking'!W$4,'Cage Tally'!$E:$E, "decomm"))</f>
        <v/>
      </c>
      <c r="X66" s="142" t="str">
        <f>IF((COUNTIFS('Cage Tally'!$A:$A,$A66,'Cage Tally'!$C:$C,'Cage tracking'!X$4,'Cage Tally'!$E:$E, "decomm")=0),"",COUNTIFS('Cage Tally'!$A:$A,$A66,'Cage Tally'!$C:$C,'Cage tracking'!X$4,'Cage Tally'!$E:$E, "decomm"))</f>
        <v/>
      </c>
      <c r="Y66" s="273"/>
      <c r="Z66" s="273"/>
      <c r="AA66" s="273"/>
      <c r="AB66" s="273"/>
      <c r="AC66" s="273"/>
      <c r="AD66" s="273"/>
      <c r="AE66" s="273"/>
      <c r="AF66" s="273"/>
      <c r="AG66" s="273"/>
      <c r="AH66" s="273"/>
      <c r="AI66" s="273"/>
      <c r="AJ66" s="273"/>
      <c r="AK66" s="273"/>
      <c r="AL66" s="273"/>
      <c r="AM66" s="273"/>
      <c r="AN66" s="273"/>
      <c r="AO66" s="273"/>
      <c r="AP66" s="273"/>
      <c r="AQ66" s="273"/>
      <c r="AR66" s="273"/>
      <c r="AS66" s="273"/>
      <c r="AT66" s="273"/>
      <c r="AU66" s="273"/>
      <c r="AV66" s="273"/>
    </row>
    <row r="67" spans="1:48" ht="12.75">
      <c r="A67" s="131">
        <v>44117</v>
      </c>
      <c r="B67" s="206" t="str">
        <f>IF((COUNTIFS('Cage Tally'!$A:$A,$A67,'Cage Tally'!$C:$C,'Cage tracking'!B$4,'Cage Tally'!$E:$E, "Dark")=0),"",COUNTIFS('Cage Tally'!$A:$A,$A67,'Cage Tally'!$C:$C,'Cage tracking'!B$4,'Cage Tally'!$E:$E, "Dark"))</f>
        <v/>
      </c>
      <c r="C67" s="206" t="str">
        <f>IF((COUNTIFS('Cage Tally'!$A:$A,$A67,'Cage Tally'!$C:$C,'Cage tracking'!C$4,'Cage Tally'!$E:$E, "Dark")=0),"",COUNTIFS('Cage Tally'!$A:$A,$A67,'Cage Tally'!$C:$C,'Cage tracking'!C$4,'Cage Tally'!$E:$E, "Dark"))</f>
        <v/>
      </c>
      <c r="D67" s="206" t="str">
        <f>IF((COUNTIFS('Cage Tally'!$A:$A,$A67,'Cage Tally'!$C:$C,'Cage tracking'!D$4,'Cage Tally'!$E:$E, "Dark")=0),"",COUNTIFS('Cage Tally'!$A:$A,$A67,'Cage Tally'!$C:$C,'Cage tracking'!D$4,'Cage Tally'!$E:$E, "Dark"))</f>
        <v/>
      </c>
      <c r="E67" s="206" t="str">
        <f>IF((COUNTIFS('Cage Tally'!$A:$A,$A67,'Cage Tally'!$C:$C,'Cage tracking'!E$4,'Cage Tally'!$E:$E, "Dark")=0),"",COUNTIFS('Cage Tally'!$A:$A,$A67,'Cage Tally'!$C:$C,'Cage tracking'!E$4,'Cage Tally'!$E:$E, "Dark"))</f>
        <v/>
      </c>
      <c r="F67" s="206" t="str">
        <f>IF((COUNTIFS('Cage Tally'!$A:$A,$A67,'Cage Tally'!$C:$C,'Cage tracking'!F$4,'Cage Tally'!$E:$E, "Dark")=0),"",COUNTIFS('Cage Tally'!$A:$A,$A67,'Cage Tally'!$C:$C,'Cage tracking'!F$4,'Cage Tally'!$E:$E, "Dark"))</f>
        <v/>
      </c>
      <c r="G67" s="206" t="str">
        <f>IF((COUNTIFS('Cage Tally'!$A:$A,$A67,'Cage Tally'!$C:$C,'Cage tracking'!G$4,'Cage Tally'!$E:$E, "Dark")=0),"",COUNTIFS('Cage Tally'!$A:$A,$A67,'Cage Tally'!$C:$C,'Cage tracking'!G$4,'Cage Tally'!$E:$E, "Dark"))</f>
        <v/>
      </c>
      <c r="H67" s="129"/>
      <c r="I67" s="128"/>
      <c r="J67" s="31"/>
      <c r="K67" s="206" t="str">
        <f>IF((COUNTIFS('Cage Tally'!$A:$A,$A67,'Cage Tally'!$C:$C,'Cage tracking'!K$4,'Cage Tally'!$E:$E, "Light")=0),"",COUNTIFS('Cage Tally'!$A:$A,$A67,'Cage Tally'!$C:$C,'Cage tracking'!K$4,'Cage Tally'!$E:$E, "Light"))</f>
        <v/>
      </c>
      <c r="L67" s="206" t="str">
        <f>IF((COUNTIFS('Cage Tally'!$A:$A,$A67,'Cage Tally'!$C:$C,'Cage tracking'!L$4,'Cage Tally'!$E:$E, "Light")=0),"",COUNTIFS('Cage Tally'!$A:$A,$A67,'Cage Tally'!$C:$C,'Cage tracking'!L$4,'Cage Tally'!$E:$E, "Light"))</f>
        <v/>
      </c>
      <c r="M67" s="206" t="str">
        <f>IF((COUNTIFS('Cage Tally'!$A:$A,$A67,'Cage Tally'!$C:$C,'Cage tracking'!M$4,'Cage Tally'!$E:$E, "Light")=0),"",COUNTIFS('Cage Tally'!$A:$A,$A67,'Cage Tally'!$C:$C,'Cage tracking'!M$4,'Cage Tally'!$E:$E, "Light"))</f>
        <v/>
      </c>
      <c r="N67" s="206">
        <f>IF((COUNTIFS('Cage Tally'!$A:$A,$A67,'Cage Tally'!$C:$C,'Cage tracking'!N$4,'Cage Tally'!$E:$E, "Light")=0),"",COUNTIFS('Cage Tally'!$A:$A,$A67,'Cage Tally'!$C:$C,'Cage tracking'!N$4,'Cage Tally'!$E:$E, "Light"))</f>
        <v>4</v>
      </c>
      <c r="O67" s="206" t="str">
        <f>IF((COUNTIFS('Cage Tally'!$A:$A,$A67,'Cage Tally'!$C:$C,'Cage tracking'!O$4,'Cage Tally'!$E:$E, "Light")=0),"",COUNTIFS('Cage Tally'!$A:$A,$A67,'Cage Tally'!$C:$C,'Cage tracking'!O$4,'Cage Tally'!$E:$E, "Light"))</f>
        <v/>
      </c>
      <c r="P67" s="206" t="str">
        <f>IF((COUNTIFS('Cage Tally'!$A:$A,$A67,'Cage Tally'!$C:$C,'Cage tracking'!P$4,'Cage Tally'!$E:$E, "Light")=0),"",COUNTIFS('Cage Tally'!$A:$A,$A67,'Cage Tally'!$C:$C,'Cage tracking'!P$4,'Cage Tally'!$E:$E, "Light"))</f>
        <v/>
      </c>
      <c r="Q67" s="206"/>
      <c r="R67" s="130"/>
      <c r="S67" s="206" t="str">
        <f>IF((COUNTIFS('Cage Tally'!$A:$A,$A67,'Cage Tally'!$C:$C,'Cage tracking'!S$4,'Cage Tally'!$E:$E, "decomm")=0),"",COUNTIFS('Cage Tally'!$A:$A,$A67,'Cage Tally'!$C:$C,'Cage tracking'!S$4,'Cage Tally'!$E:$E, "decomm"))</f>
        <v/>
      </c>
      <c r="T67" s="206">
        <f>IF((COUNTIFS('Cage Tally'!$A:$A,$A67,'Cage Tally'!$C:$C,'Cage tracking'!T$4,'Cage Tally'!$E:$E, "decomm")=0),"",COUNTIFS('Cage Tally'!$A:$A,$A67,'Cage Tally'!$C:$C,'Cage tracking'!T$4,'Cage Tally'!$E:$E, "decomm"))</f>
        <v>1</v>
      </c>
      <c r="U67" s="206">
        <f>IF((COUNTIFS('Cage Tally'!$A:$A,$A67,'Cage Tally'!$C:$C,'Cage tracking'!U$4,'Cage Tally'!$E:$E, "decomm")=0),"",COUNTIFS('Cage Tally'!$A:$A,$A67,'Cage Tally'!$C:$C,'Cage tracking'!U$4,'Cage Tally'!$E:$E, "decomm"))</f>
        <v>2</v>
      </c>
      <c r="V67" s="206">
        <f>IF((COUNTIFS('Cage Tally'!$A:$A,$A67,'Cage Tally'!$C:$C,'Cage tracking'!V$4,'Cage Tally'!$E:$E, "decomm")=0),"",COUNTIFS('Cage Tally'!$A:$A,$A67,'Cage Tally'!$C:$C,'Cage tracking'!V$4,'Cage Tally'!$E:$E, "decomm"))</f>
        <v>1</v>
      </c>
      <c r="W67" s="206" t="str">
        <f>IF((COUNTIFS('Cage Tally'!$A:$A,$A67,'Cage Tally'!$C:$C,'Cage tracking'!W$4,'Cage Tally'!$E:$E, "decomm")=0),"",COUNTIFS('Cage Tally'!$A:$A,$A67,'Cage Tally'!$C:$C,'Cage tracking'!W$4,'Cage Tally'!$E:$E, "decomm"))</f>
        <v/>
      </c>
      <c r="X67" s="207" t="str">
        <f>IF((COUNTIFS('Cage Tally'!$A:$A,$A67,'Cage Tally'!$C:$C,'Cage tracking'!X$4,'Cage Tally'!$E:$E, "decomm")=0),"",COUNTIFS('Cage Tally'!$A:$A,$A67,'Cage Tally'!$C:$C,'Cage tracking'!X$4,'Cage Tally'!$E:$E, "decomm"))</f>
        <v/>
      </c>
      <c r="Y67" s="273"/>
      <c r="Z67" s="273"/>
      <c r="AA67" s="273"/>
      <c r="AB67" s="273"/>
      <c r="AC67" s="273"/>
      <c r="AD67" s="273"/>
      <c r="AE67" s="273"/>
      <c r="AF67" s="273"/>
      <c r="AG67" s="273"/>
      <c r="AH67" s="273"/>
      <c r="AI67" s="273"/>
      <c r="AJ67" s="273"/>
      <c r="AK67" s="273"/>
      <c r="AL67" s="273"/>
      <c r="AM67" s="273"/>
      <c r="AN67" s="273"/>
      <c r="AO67" s="273"/>
      <c r="AP67" s="273"/>
      <c r="AQ67" s="273"/>
      <c r="AR67" s="273"/>
      <c r="AS67" s="273"/>
      <c r="AT67" s="273"/>
      <c r="AU67" s="273"/>
      <c r="AV67" s="273"/>
    </row>
    <row r="68" spans="1:48" ht="12.75">
      <c r="A68" s="131">
        <v>44118</v>
      </c>
      <c r="B68" s="132" t="str">
        <f>IF((COUNTIFS('Cage Tally'!$A:$A,$A68,'Cage Tally'!$C:$C,'Cage tracking'!B$4,'Cage Tally'!$E:$E, "Dark")=0),"",COUNTIFS('Cage Tally'!$A:$A,$A68,'Cage Tally'!$C:$C,'Cage tracking'!B$4,'Cage Tally'!$E:$E, "Dark"))</f>
        <v/>
      </c>
      <c r="C68" s="132" t="str">
        <f>IF((COUNTIFS('Cage Tally'!$A:$A,$A68,'Cage Tally'!$C:$C,'Cage tracking'!C$4,'Cage Tally'!$E:$E, "Dark")=0),"",COUNTIFS('Cage Tally'!$A:$A,$A68,'Cage Tally'!$C:$C,'Cage tracking'!C$4,'Cage Tally'!$E:$E, "Dark"))</f>
        <v/>
      </c>
      <c r="D68" s="132">
        <f>IF((COUNTIFS('Cage Tally'!$A:$A,$A68,'Cage Tally'!$C:$C,'Cage tracking'!D$4,'Cage Tally'!$E:$E, "Dark")=0),"",COUNTIFS('Cage Tally'!$A:$A,$A68,'Cage Tally'!$C:$C,'Cage tracking'!D$4,'Cage Tally'!$E:$E, "Dark"))</f>
        <v>4</v>
      </c>
      <c r="E68" s="132" t="str">
        <f>IF((COUNTIFS('Cage Tally'!$A:$A,$A68,'Cage Tally'!$C:$C,'Cage tracking'!E$4,'Cage Tally'!$E:$E, "Dark")=0),"",COUNTIFS('Cage Tally'!$A:$A,$A68,'Cage Tally'!$C:$C,'Cage tracking'!E$4,'Cage Tally'!$E:$E, "Dark"))</f>
        <v/>
      </c>
      <c r="F68" s="132" t="str">
        <f>IF((COUNTIFS('Cage Tally'!$A:$A,$A68,'Cage Tally'!$C:$C,'Cage tracking'!F$4,'Cage Tally'!$E:$E, "Dark")=0),"",COUNTIFS('Cage Tally'!$A:$A,$A68,'Cage Tally'!$C:$C,'Cage tracking'!F$4,'Cage Tally'!$E:$E, "Dark"))</f>
        <v/>
      </c>
      <c r="G68" s="132" t="str">
        <f>IF((COUNTIFS('Cage Tally'!$A:$A,$A68,'Cage Tally'!$C:$C,'Cage tracking'!G$4,'Cage Tally'!$E:$E, "Dark")=0),"",COUNTIFS('Cage Tally'!$A:$A,$A68,'Cage Tally'!$C:$C,'Cage tracking'!G$4,'Cage Tally'!$E:$E, "Dark"))</f>
        <v/>
      </c>
      <c r="H68" s="204"/>
      <c r="I68" s="128"/>
      <c r="J68" s="204"/>
      <c r="K68" s="132" t="str">
        <f>IF((COUNTIFS('Cage Tally'!$A:$A,$A68,'Cage Tally'!$C:$C,'Cage tracking'!K$4,'Cage Tally'!$E:$E, "Light")=0),"",COUNTIFS('Cage Tally'!$A:$A,$A68,'Cage Tally'!$C:$C,'Cage tracking'!K$4,'Cage Tally'!$E:$E, "Light"))</f>
        <v/>
      </c>
      <c r="L68" s="132" t="str">
        <f>IF((COUNTIFS('Cage Tally'!$A:$A,$A68,'Cage Tally'!$C:$C,'Cage tracking'!L$4,'Cage Tally'!$E:$E, "Light")=0),"",COUNTIFS('Cage Tally'!$A:$A,$A68,'Cage Tally'!$C:$C,'Cage tracking'!L$4,'Cage Tally'!$E:$E, "Light"))</f>
        <v/>
      </c>
      <c r="M68" s="132" t="str">
        <f>IF((COUNTIFS('Cage Tally'!$A:$A,$A68,'Cage Tally'!$C:$C,'Cage tracking'!M$4,'Cage Tally'!$E:$E, "Light")=0),"",COUNTIFS('Cage Tally'!$A:$A,$A68,'Cage Tally'!$C:$C,'Cage tracking'!M$4,'Cage Tally'!$E:$E, "Light"))</f>
        <v/>
      </c>
      <c r="N68" s="132">
        <f>IF((COUNTIFS('Cage Tally'!$A:$A,$A68,'Cage Tally'!$C:$C,'Cage tracking'!N$4,'Cage Tally'!$E:$E, "Light")=0),"",COUNTIFS('Cage Tally'!$A:$A,$A68,'Cage Tally'!$C:$C,'Cage tracking'!N$4,'Cage Tally'!$E:$E, "Light"))</f>
        <v>2</v>
      </c>
      <c r="O68" s="132" t="str">
        <f>IF((COUNTIFS('Cage Tally'!$A:$A,$A68,'Cage Tally'!$C:$C,'Cage tracking'!O$4,'Cage Tally'!$E:$E, "Light")=0),"",COUNTIFS('Cage Tally'!$A:$A,$A68,'Cage Tally'!$C:$C,'Cage tracking'!O$4,'Cage Tally'!$E:$E, "Light"))</f>
        <v/>
      </c>
      <c r="P68" s="132" t="str">
        <f>IF((COUNTIFS('Cage Tally'!$A:$A,$A68,'Cage Tally'!$C:$C,'Cage tracking'!P$4,'Cage Tally'!$E:$E, "Light")=0),"",COUNTIFS('Cage Tally'!$A:$A,$A68,'Cage Tally'!$C:$C,'Cage tracking'!P$4,'Cage Tally'!$E:$E, "Light"))</f>
        <v/>
      </c>
      <c r="Q68" s="135"/>
      <c r="R68" s="205"/>
      <c r="S68" s="132" t="str">
        <f>IF((COUNTIFS('Cage Tally'!$A:$A,$A68,'Cage Tally'!$C:$C,'Cage tracking'!S$4,'Cage Tally'!$E:$E, "decomm")=0),"",COUNTIFS('Cage Tally'!$A:$A,$A68,'Cage Tally'!$C:$C,'Cage tracking'!S$4,'Cage Tally'!$E:$E, "decomm"))</f>
        <v/>
      </c>
      <c r="T68" s="132" t="str">
        <f>IF((COUNTIFS('Cage Tally'!$A:$A,$A68,'Cage Tally'!$C:$C,'Cage tracking'!T$4,'Cage Tally'!$E:$E, "decomm")=0),"",COUNTIFS('Cage Tally'!$A:$A,$A68,'Cage Tally'!$C:$C,'Cage tracking'!T$4,'Cage Tally'!$E:$E, "decomm"))</f>
        <v/>
      </c>
      <c r="U68" s="132" t="str">
        <f>IF((COUNTIFS('Cage Tally'!$A:$A,$A68,'Cage Tally'!$C:$C,'Cage tracking'!U$4,'Cage Tally'!$E:$E, "decomm")=0),"",COUNTIFS('Cage Tally'!$A:$A,$A68,'Cage Tally'!$C:$C,'Cage tracking'!U$4,'Cage Tally'!$E:$E, "decomm"))</f>
        <v/>
      </c>
      <c r="V68" s="132" t="str">
        <f>IF((COUNTIFS('Cage Tally'!$A:$A,$A68,'Cage Tally'!$C:$C,'Cage tracking'!V$4,'Cage Tally'!$E:$E, "decomm")=0),"",COUNTIFS('Cage Tally'!$A:$A,$A68,'Cage Tally'!$C:$C,'Cage tracking'!V$4,'Cage Tally'!$E:$E, "decomm"))</f>
        <v/>
      </c>
      <c r="W68" s="132" t="str">
        <f>IF((COUNTIFS('Cage Tally'!$A:$A,$A68,'Cage Tally'!$C:$C,'Cage tracking'!W$4,'Cage Tally'!$E:$E, "decomm")=0),"",COUNTIFS('Cage Tally'!$A:$A,$A68,'Cage Tally'!$C:$C,'Cage tracking'!W$4,'Cage Tally'!$E:$E, "decomm"))</f>
        <v/>
      </c>
      <c r="X68" s="142" t="str">
        <f>IF((COUNTIFS('Cage Tally'!$A:$A,$A68,'Cage Tally'!$C:$C,'Cage tracking'!X$4,'Cage Tally'!$E:$E, "decomm")=0),"",COUNTIFS('Cage Tally'!$A:$A,$A68,'Cage Tally'!$C:$C,'Cage tracking'!X$4,'Cage Tally'!$E:$E, "decomm"))</f>
        <v/>
      </c>
      <c r="Y68" s="273"/>
      <c r="Z68" s="273"/>
      <c r="AA68" s="273"/>
      <c r="AB68" s="273"/>
      <c r="AC68" s="273"/>
      <c r="AD68" s="273"/>
      <c r="AE68" s="273"/>
      <c r="AF68" s="273"/>
      <c r="AG68" s="273"/>
      <c r="AH68" s="273"/>
      <c r="AI68" s="273"/>
      <c r="AJ68" s="273"/>
      <c r="AK68" s="273"/>
      <c r="AL68" s="273"/>
      <c r="AM68" s="273"/>
      <c r="AN68" s="273"/>
      <c r="AO68" s="273"/>
      <c r="AP68" s="273"/>
      <c r="AQ68" s="273"/>
      <c r="AR68" s="273"/>
      <c r="AS68" s="273"/>
      <c r="AT68" s="273"/>
      <c r="AU68" s="273"/>
      <c r="AV68" s="273"/>
    </row>
    <row r="69" spans="1:48" ht="12.75">
      <c r="A69" s="131">
        <v>44119</v>
      </c>
      <c r="B69" s="206" t="str">
        <f>IF((COUNTIFS('Cage Tally'!$A:$A,$A69,'Cage Tally'!$C:$C,'Cage tracking'!B$4,'Cage Tally'!$E:$E, "Dark")=0),"",COUNTIFS('Cage Tally'!$A:$A,$A69,'Cage Tally'!$C:$C,'Cage tracking'!B$4,'Cage Tally'!$E:$E, "Dark"))</f>
        <v/>
      </c>
      <c r="C69" s="206" t="str">
        <f>IF((COUNTIFS('Cage Tally'!$A:$A,$A69,'Cage Tally'!$C:$C,'Cage tracking'!C$4,'Cage Tally'!$E:$E, "Dark")=0),"",COUNTIFS('Cage Tally'!$A:$A,$A69,'Cage Tally'!$C:$C,'Cage tracking'!C$4,'Cage Tally'!$E:$E, "Dark"))</f>
        <v/>
      </c>
      <c r="D69" s="206" t="str">
        <f>IF((COUNTIFS('Cage Tally'!$A:$A,$A69,'Cage Tally'!$C:$C,'Cage tracking'!D$4,'Cage Tally'!$E:$E, "Dark")=0),"",COUNTIFS('Cage Tally'!$A:$A,$A69,'Cage Tally'!$C:$C,'Cage tracking'!D$4,'Cage Tally'!$E:$E, "Dark"))</f>
        <v/>
      </c>
      <c r="E69" s="206" t="str">
        <f>IF((COUNTIFS('Cage Tally'!$A:$A,$A69,'Cage Tally'!$C:$C,'Cage tracking'!E$4,'Cage Tally'!$E:$E, "Dark")=0),"",COUNTIFS('Cage Tally'!$A:$A,$A69,'Cage Tally'!$C:$C,'Cage tracking'!E$4,'Cage Tally'!$E:$E, "Dark"))</f>
        <v/>
      </c>
      <c r="F69" s="206" t="str">
        <f>IF((COUNTIFS('Cage Tally'!$A:$A,$A69,'Cage Tally'!$C:$C,'Cage tracking'!F$4,'Cage Tally'!$E:$E, "Dark")=0),"",COUNTIFS('Cage Tally'!$A:$A,$A69,'Cage Tally'!$C:$C,'Cage tracking'!F$4,'Cage Tally'!$E:$E, "Dark"))</f>
        <v/>
      </c>
      <c r="G69" s="206" t="str">
        <f>IF((COUNTIFS('Cage Tally'!$A:$A,$A69,'Cage Tally'!$C:$C,'Cage tracking'!G$4,'Cage Tally'!$E:$E, "Dark")=0),"",COUNTIFS('Cage Tally'!$A:$A,$A69,'Cage Tally'!$C:$C,'Cage tracking'!G$4,'Cage Tally'!$E:$E, "Dark"))</f>
        <v/>
      </c>
      <c r="H69" s="129"/>
      <c r="I69" s="128"/>
      <c r="J69" s="31"/>
      <c r="K69" s="206" t="str">
        <f>IF((COUNTIFS('Cage Tally'!$A:$A,$A69,'Cage Tally'!$C:$C,'Cage tracking'!K$4,'Cage Tally'!$E:$E, "Light")=0),"",COUNTIFS('Cage Tally'!$A:$A,$A69,'Cage Tally'!$C:$C,'Cage tracking'!K$4,'Cage Tally'!$E:$E, "Light"))</f>
        <v/>
      </c>
      <c r="L69" s="206" t="str">
        <f>IF((COUNTIFS('Cage Tally'!$A:$A,$A69,'Cage Tally'!$C:$C,'Cage tracking'!L$4,'Cage Tally'!$E:$E, "Light")=0),"",COUNTIFS('Cage Tally'!$A:$A,$A69,'Cage Tally'!$C:$C,'Cage tracking'!L$4,'Cage Tally'!$E:$E, "Light"))</f>
        <v/>
      </c>
      <c r="M69" s="206" t="str">
        <f>IF((COUNTIFS('Cage Tally'!$A:$A,$A69,'Cage Tally'!$C:$C,'Cage tracking'!M$4,'Cage Tally'!$E:$E, "Light")=0),"",COUNTIFS('Cage Tally'!$A:$A,$A69,'Cage Tally'!$C:$C,'Cage tracking'!M$4,'Cage Tally'!$E:$E, "Light"))</f>
        <v/>
      </c>
      <c r="N69" s="206" t="str">
        <f>IF((COUNTIFS('Cage Tally'!$A:$A,$A69,'Cage Tally'!$C:$C,'Cage tracking'!N$4,'Cage Tally'!$E:$E, "Light")=0),"",COUNTIFS('Cage Tally'!$A:$A,$A69,'Cage Tally'!$C:$C,'Cage tracking'!N$4,'Cage Tally'!$E:$E, "Light"))</f>
        <v/>
      </c>
      <c r="O69" s="206" t="str">
        <f>IF((COUNTIFS('Cage Tally'!$A:$A,$A69,'Cage Tally'!$C:$C,'Cage tracking'!O$4,'Cage Tally'!$E:$E, "Light")=0),"",COUNTIFS('Cage Tally'!$A:$A,$A69,'Cage Tally'!$C:$C,'Cage tracking'!O$4,'Cage Tally'!$E:$E, "Light"))</f>
        <v/>
      </c>
      <c r="P69" s="206" t="str">
        <f>IF((COUNTIFS('Cage Tally'!$A:$A,$A69,'Cage Tally'!$C:$C,'Cage tracking'!P$4,'Cage Tally'!$E:$E, "Light")=0),"",COUNTIFS('Cage Tally'!$A:$A,$A69,'Cage Tally'!$C:$C,'Cage tracking'!P$4,'Cage Tally'!$E:$E, "Light"))</f>
        <v/>
      </c>
      <c r="Q69" s="206"/>
      <c r="R69" s="130"/>
      <c r="S69" s="206" t="str">
        <f>IF((COUNTIFS('Cage Tally'!$A:$A,$A69,'Cage Tally'!$C:$C,'Cage tracking'!S$4,'Cage Tally'!$E:$E, "decomm")=0),"",COUNTIFS('Cage Tally'!$A:$A,$A69,'Cage Tally'!$C:$C,'Cage tracking'!S$4,'Cage Tally'!$E:$E, "decomm"))</f>
        <v/>
      </c>
      <c r="T69" s="206" t="str">
        <f>IF((COUNTIFS('Cage Tally'!$A:$A,$A69,'Cage Tally'!$C:$C,'Cage tracking'!T$4,'Cage Tally'!$E:$E, "decomm")=0),"",COUNTIFS('Cage Tally'!$A:$A,$A69,'Cage Tally'!$C:$C,'Cage tracking'!T$4,'Cage Tally'!$E:$E, "decomm"))</f>
        <v/>
      </c>
      <c r="U69" s="206" t="str">
        <f>IF((COUNTIFS('Cage Tally'!$A:$A,$A69,'Cage Tally'!$C:$C,'Cage tracking'!U$4,'Cage Tally'!$E:$E, "decomm")=0),"",COUNTIFS('Cage Tally'!$A:$A,$A69,'Cage Tally'!$C:$C,'Cage tracking'!U$4,'Cage Tally'!$E:$E, "decomm"))</f>
        <v/>
      </c>
      <c r="V69" s="206" t="str">
        <f>IF((COUNTIFS('Cage Tally'!$A:$A,$A69,'Cage Tally'!$C:$C,'Cage tracking'!V$4,'Cage Tally'!$E:$E, "decomm")=0),"",COUNTIFS('Cage Tally'!$A:$A,$A69,'Cage Tally'!$C:$C,'Cage tracking'!V$4,'Cage Tally'!$E:$E, "decomm"))</f>
        <v/>
      </c>
      <c r="W69" s="206" t="str">
        <f>IF((COUNTIFS('Cage Tally'!$A:$A,$A69,'Cage Tally'!$C:$C,'Cage tracking'!W$4,'Cage Tally'!$E:$E, "decomm")=0),"",COUNTIFS('Cage Tally'!$A:$A,$A69,'Cage Tally'!$C:$C,'Cage tracking'!W$4,'Cage Tally'!$E:$E, "decomm"))</f>
        <v/>
      </c>
      <c r="X69" s="207" t="str">
        <f>IF((COUNTIFS('Cage Tally'!$A:$A,$A69,'Cage Tally'!$C:$C,'Cage tracking'!X$4,'Cage Tally'!$E:$E, "decomm")=0),"",COUNTIFS('Cage Tally'!$A:$A,$A69,'Cage Tally'!$C:$C,'Cage tracking'!X$4,'Cage Tally'!$E:$E, "decomm"))</f>
        <v/>
      </c>
      <c r="Y69" s="273"/>
      <c r="Z69" s="273"/>
      <c r="AA69" s="273"/>
      <c r="AB69" s="273"/>
      <c r="AC69" s="273"/>
      <c r="AD69" s="273"/>
      <c r="AE69" s="273"/>
      <c r="AF69" s="273"/>
      <c r="AG69" s="273"/>
      <c r="AH69" s="273"/>
      <c r="AI69" s="273"/>
      <c r="AJ69" s="273"/>
      <c r="AK69" s="273"/>
      <c r="AL69" s="273"/>
      <c r="AM69" s="273"/>
      <c r="AN69" s="273"/>
      <c r="AO69" s="273"/>
      <c r="AP69" s="273"/>
      <c r="AQ69" s="273"/>
      <c r="AR69" s="273"/>
      <c r="AS69" s="273"/>
      <c r="AT69" s="273"/>
      <c r="AU69" s="273"/>
      <c r="AV69" s="273"/>
    </row>
    <row r="70" spans="1:48" ht="12.75">
      <c r="A70" s="131">
        <v>44120</v>
      </c>
      <c r="B70" s="132" t="str">
        <f>IF((COUNTIFS('Cage Tally'!$A:$A,$A70,'Cage Tally'!$C:$C,'Cage tracking'!B$4,'Cage Tally'!$E:$E, "Dark")=0),"",COUNTIFS('Cage Tally'!$A:$A,$A70,'Cage Tally'!$C:$C,'Cage tracking'!B$4,'Cage Tally'!$E:$E, "Dark"))</f>
        <v/>
      </c>
      <c r="C70" s="132" t="str">
        <f>IF((COUNTIFS('Cage Tally'!$A:$A,$A70,'Cage Tally'!$C:$C,'Cage tracking'!C$4,'Cage Tally'!$E:$E, "Dark")=0),"",COUNTIFS('Cage Tally'!$A:$A,$A70,'Cage Tally'!$C:$C,'Cage tracking'!C$4,'Cage Tally'!$E:$E, "Dark"))</f>
        <v/>
      </c>
      <c r="D70" s="132" t="str">
        <f>IF((COUNTIFS('Cage Tally'!$A:$A,$A70,'Cage Tally'!$C:$C,'Cage tracking'!D$4,'Cage Tally'!$E:$E, "Dark")=0),"",COUNTIFS('Cage Tally'!$A:$A,$A70,'Cage Tally'!$C:$C,'Cage tracking'!D$4,'Cage Tally'!$E:$E, "Dark"))</f>
        <v/>
      </c>
      <c r="E70" s="132">
        <f>IF((COUNTIFS('Cage Tally'!$A:$A,$A70,'Cage Tally'!$C:$C,'Cage tracking'!E$4,'Cage Tally'!$E:$E, "Dark")=0),"",COUNTIFS('Cage Tally'!$A:$A,$A70,'Cage Tally'!$C:$C,'Cage tracking'!E$4,'Cage Tally'!$E:$E, "Dark"))</f>
        <v>1</v>
      </c>
      <c r="F70" s="132" t="str">
        <f>IF((COUNTIFS('Cage Tally'!$A:$A,$A70,'Cage Tally'!$C:$C,'Cage tracking'!F$4,'Cage Tally'!$E:$E, "Dark")=0),"",COUNTIFS('Cage Tally'!$A:$A,$A70,'Cage Tally'!$C:$C,'Cage tracking'!F$4,'Cage Tally'!$E:$E, "Dark"))</f>
        <v/>
      </c>
      <c r="G70" s="132" t="str">
        <f>IF((COUNTIFS('Cage Tally'!$A:$A,$A70,'Cage Tally'!$C:$C,'Cage tracking'!G$4,'Cage Tally'!$E:$E, "Dark")=0),"",COUNTIFS('Cage Tally'!$A:$A,$A70,'Cage Tally'!$C:$C,'Cage tracking'!G$4,'Cage Tally'!$E:$E, "Dark"))</f>
        <v/>
      </c>
      <c r="H70" s="204"/>
      <c r="I70" s="128"/>
      <c r="J70" s="204"/>
      <c r="K70" s="132" t="str">
        <f>IF((COUNTIFS('Cage Tally'!$A:$A,$A70,'Cage Tally'!$C:$C,'Cage tracking'!K$4,'Cage Tally'!$E:$E, "Light")=0),"",COUNTIFS('Cage Tally'!$A:$A,$A70,'Cage Tally'!$C:$C,'Cage tracking'!K$4,'Cage Tally'!$E:$E, "Light"))</f>
        <v/>
      </c>
      <c r="L70" s="132" t="str">
        <f>IF((COUNTIFS('Cage Tally'!$A:$A,$A70,'Cage Tally'!$C:$C,'Cage tracking'!L$4,'Cage Tally'!$E:$E, "Light")=0),"",COUNTIFS('Cage Tally'!$A:$A,$A70,'Cage Tally'!$C:$C,'Cage tracking'!L$4,'Cage Tally'!$E:$E, "Light"))</f>
        <v/>
      </c>
      <c r="M70" s="132" t="str">
        <f>IF((COUNTIFS('Cage Tally'!$A:$A,$A70,'Cage Tally'!$C:$C,'Cage tracking'!M$4,'Cage Tally'!$E:$E, "Light")=0),"",COUNTIFS('Cage Tally'!$A:$A,$A70,'Cage Tally'!$C:$C,'Cage tracking'!M$4,'Cage Tally'!$E:$E, "Light"))</f>
        <v/>
      </c>
      <c r="N70" s="132" t="str">
        <f>IF((COUNTIFS('Cage Tally'!$A:$A,$A70,'Cage Tally'!$C:$C,'Cage tracking'!N$4,'Cage Tally'!$E:$E, "Light")=0),"",COUNTIFS('Cage Tally'!$A:$A,$A70,'Cage Tally'!$C:$C,'Cage tracking'!N$4,'Cage Tally'!$E:$E, "Light"))</f>
        <v/>
      </c>
      <c r="O70" s="132" t="str">
        <f>IF((COUNTIFS('Cage Tally'!$A:$A,$A70,'Cage Tally'!$C:$C,'Cage tracking'!O$4,'Cage Tally'!$E:$E, "Light")=0),"",COUNTIFS('Cage Tally'!$A:$A,$A70,'Cage Tally'!$C:$C,'Cage tracking'!O$4,'Cage Tally'!$E:$E, "Light"))</f>
        <v/>
      </c>
      <c r="P70" s="132" t="str">
        <f>IF((COUNTIFS('Cage Tally'!$A:$A,$A70,'Cage Tally'!$C:$C,'Cage tracking'!P$4,'Cage Tally'!$E:$E, "Light")=0),"",COUNTIFS('Cage Tally'!$A:$A,$A70,'Cage Tally'!$C:$C,'Cage tracking'!P$4,'Cage Tally'!$E:$E, "Light"))</f>
        <v/>
      </c>
      <c r="Q70" s="135"/>
      <c r="R70" s="205"/>
      <c r="S70" s="132" t="str">
        <f>IF((COUNTIFS('Cage Tally'!$A:$A,$A70,'Cage Tally'!$C:$C,'Cage tracking'!S$4,'Cage Tally'!$E:$E, "decomm")=0),"",COUNTIFS('Cage Tally'!$A:$A,$A70,'Cage Tally'!$C:$C,'Cage tracking'!S$4,'Cage Tally'!$E:$E, "decomm"))</f>
        <v/>
      </c>
      <c r="T70" s="132" t="str">
        <f>IF((COUNTIFS('Cage Tally'!$A:$A,$A70,'Cage Tally'!$C:$C,'Cage tracking'!T$4,'Cage Tally'!$E:$E, "decomm")=0),"",COUNTIFS('Cage Tally'!$A:$A,$A70,'Cage Tally'!$C:$C,'Cage tracking'!T$4,'Cage Tally'!$E:$E, "decomm"))</f>
        <v/>
      </c>
      <c r="U70" s="132" t="str">
        <f>IF((COUNTIFS('Cage Tally'!$A:$A,$A70,'Cage Tally'!$C:$C,'Cage tracking'!U$4,'Cage Tally'!$E:$E, "decomm")=0),"",COUNTIFS('Cage Tally'!$A:$A,$A70,'Cage Tally'!$C:$C,'Cage tracking'!U$4,'Cage Tally'!$E:$E, "decomm"))</f>
        <v/>
      </c>
      <c r="V70" s="132">
        <f>IF((COUNTIFS('Cage Tally'!$A:$A,$A70,'Cage Tally'!$C:$C,'Cage tracking'!V$4,'Cage Tally'!$E:$E, "decomm")=0),"",COUNTIFS('Cage Tally'!$A:$A,$A70,'Cage Tally'!$C:$C,'Cage tracking'!V$4,'Cage Tally'!$E:$E, "decomm"))</f>
        <v>1</v>
      </c>
      <c r="W70" s="132" t="str">
        <f>IF((COUNTIFS('Cage Tally'!$A:$A,$A70,'Cage Tally'!$C:$C,'Cage tracking'!W$4,'Cage Tally'!$E:$E, "decomm")=0),"",COUNTIFS('Cage Tally'!$A:$A,$A70,'Cage Tally'!$C:$C,'Cage tracking'!W$4,'Cage Tally'!$E:$E, "decomm"))</f>
        <v/>
      </c>
      <c r="X70" s="142" t="str">
        <f>IF((COUNTIFS('Cage Tally'!$A:$A,$A70,'Cage Tally'!$C:$C,'Cage tracking'!X$4,'Cage Tally'!$E:$E, "decomm")=0),"",COUNTIFS('Cage Tally'!$A:$A,$A70,'Cage Tally'!$C:$C,'Cage tracking'!X$4,'Cage Tally'!$E:$E, "decomm"))</f>
        <v/>
      </c>
      <c r="Y70" s="273"/>
      <c r="Z70" s="273"/>
      <c r="AA70" s="273"/>
      <c r="AB70" s="273"/>
      <c r="AC70" s="273"/>
      <c r="AD70" s="273"/>
      <c r="AE70" s="273"/>
      <c r="AF70" s="273"/>
      <c r="AG70" s="273"/>
      <c r="AH70" s="273"/>
      <c r="AI70" s="273"/>
      <c r="AJ70" s="273"/>
      <c r="AK70" s="273"/>
      <c r="AL70" s="273"/>
      <c r="AM70" s="273"/>
      <c r="AN70" s="273"/>
      <c r="AO70" s="273"/>
      <c r="AP70" s="273"/>
      <c r="AQ70" s="273"/>
      <c r="AR70" s="273"/>
      <c r="AS70" s="273"/>
      <c r="AT70" s="273"/>
      <c r="AU70" s="273"/>
      <c r="AV70" s="273"/>
    </row>
    <row r="71" spans="1:48" ht="12.75">
      <c r="A71" s="131">
        <v>44121</v>
      </c>
      <c r="B71" s="206" t="str">
        <f>IF((COUNTIFS('Cage Tally'!$A:$A,$A71,'Cage Tally'!$C:$C,'Cage tracking'!B$4,'Cage Tally'!$E:$E, "Dark")=0),"",COUNTIFS('Cage Tally'!$A:$A,$A71,'Cage Tally'!$C:$C,'Cage tracking'!B$4,'Cage Tally'!$E:$E, "Dark"))</f>
        <v/>
      </c>
      <c r="C71" s="206" t="str">
        <f>IF((COUNTIFS('Cage Tally'!$A:$A,$A71,'Cage Tally'!$C:$C,'Cage tracking'!C$4,'Cage Tally'!$E:$E, "Dark")=0),"",COUNTIFS('Cage Tally'!$A:$A,$A71,'Cage Tally'!$C:$C,'Cage tracking'!C$4,'Cage Tally'!$E:$E, "Dark"))</f>
        <v/>
      </c>
      <c r="D71" s="206" t="str">
        <f>IF((COUNTIFS('Cage Tally'!$A:$A,$A71,'Cage Tally'!$C:$C,'Cage tracking'!D$4,'Cage Tally'!$E:$E, "Dark")=0),"",COUNTIFS('Cage Tally'!$A:$A,$A71,'Cage Tally'!$C:$C,'Cage tracking'!D$4,'Cage Tally'!$E:$E, "Dark"))</f>
        <v/>
      </c>
      <c r="E71" s="206" t="str">
        <f>IF((COUNTIFS('Cage Tally'!$A:$A,$A71,'Cage Tally'!$C:$C,'Cage tracking'!E$4,'Cage Tally'!$E:$E, "Dark")=0),"",COUNTIFS('Cage Tally'!$A:$A,$A71,'Cage Tally'!$C:$C,'Cage tracking'!E$4,'Cage Tally'!$E:$E, "Dark"))</f>
        <v/>
      </c>
      <c r="F71" s="206" t="str">
        <f>IF((COUNTIFS('Cage Tally'!$A:$A,$A71,'Cage Tally'!$C:$C,'Cage tracking'!F$4,'Cage Tally'!$E:$E, "Dark")=0),"",COUNTIFS('Cage Tally'!$A:$A,$A71,'Cage Tally'!$C:$C,'Cage tracking'!F$4,'Cage Tally'!$E:$E, "Dark"))</f>
        <v/>
      </c>
      <c r="G71" s="206" t="str">
        <f>IF((COUNTIFS('Cage Tally'!$A:$A,$A71,'Cage Tally'!$C:$C,'Cage tracking'!G$4,'Cage Tally'!$E:$E, "Dark")=0),"",COUNTIFS('Cage Tally'!$A:$A,$A71,'Cage Tally'!$C:$C,'Cage tracking'!G$4,'Cage Tally'!$E:$E, "Dark"))</f>
        <v/>
      </c>
      <c r="H71" s="129"/>
      <c r="I71" s="128"/>
      <c r="J71" s="31"/>
      <c r="K71" s="206" t="str">
        <f>IF((COUNTIFS('Cage Tally'!$A:$A,$A71,'Cage Tally'!$C:$C,'Cage tracking'!K$4,'Cage Tally'!$E:$E, "Light")=0),"",COUNTIFS('Cage Tally'!$A:$A,$A71,'Cage Tally'!$C:$C,'Cage tracking'!K$4,'Cage Tally'!$E:$E, "Light"))</f>
        <v/>
      </c>
      <c r="L71" s="206" t="str">
        <f>IF((COUNTIFS('Cage Tally'!$A:$A,$A71,'Cage Tally'!$C:$C,'Cage tracking'!L$4,'Cage Tally'!$E:$E, "Light")=0),"",COUNTIFS('Cage Tally'!$A:$A,$A71,'Cage Tally'!$C:$C,'Cage tracking'!L$4,'Cage Tally'!$E:$E, "Light"))</f>
        <v/>
      </c>
      <c r="M71" s="206" t="str">
        <f>IF((COUNTIFS('Cage Tally'!$A:$A,$A71,'Cage Tally'!$C:$C,'Cage tracking'!M$4,'Cage Tally'!$E:$E, "Light")=0),"",COUNTIFS('Cage Tally'!$A:$A,$A71,'Cage Tally'!$C:$C,'Cage tracking'!M$4,'Cage Tally'!$E:$E, "Light"))</f>
        <v/>
      </c>
      <c r="N71" s="206" t="str">
        <f>IF((COUNTIFS('Cage Tally'!$A:$A,$A71,'Cage Tally'!$C:$C,'Cage tracking'!N$4,'Cage Tally'!$E:$E, "Light")=0),"",COUNTIFS('Cage Tally'!$A:$A,$A71,'Cage Tally'!$C:$C,'Cage tracking'!N$4,'Cage Tally'!$E:$E, "Light"))</f>
        <v/>
      </c>
      <c r="O71" s="206" t="str">
        <f>IF((COUNTIFS('Cage Tally'!$A:$A,$A71,'Cage Tally'!$C:$C,'Cage tracking'!O$4,'Cage Tally'!$E:$E, "Light")=0),"",COUNTIFS('Cage Tally'!$A:$A,$A71,'Cage Tally'!$C:$C,'Cage tracking'!O$4,'Cage Tally'!$E:$E, "Light"))</f>
        <v/>
      </c>
      <c r="P71" s="206" t="str">
        <f>IF((COUNTIFS('Cage Tally'!$A:$A,$A71,'Cage Tally'!$C:$C,'Cage tracking'!P$4,'Cage Tally'!$E:$E, "Light")=0),"",COUNTIFS('Cage Tally'!$A:$A,$A71,'Cage Tally'!$C:$C,'Cage tracking'!P$4,'Cage Tally'!$E:$E, "Light"))</f>
        <v/>
      </c>
      <c r="Q71" s="206"/>
      <c r="R71" s="130"/>
      <c r="S71" s="206" t="str">
        <f>IF((COUNTIFS('Cage Tally'!$A:$A,$A71,'Cage Tally'!$C:$C,'Cage tracking'!S$4,'Cage Tally'!$E:$E, "decomm")=0),"",COUNTIFS('Cage Tally'!$A:$A,$A71,'Cage Tally'!$C:$C,'Cage tracking'!S$4,'Cage Tally'!$E:$E, "decomm"))</f>
        <v/>
      </c>
      <c r="T71" s="206" t="str">
        <f>IF((COUNTIFS('Cage Tally'!$A:$A,$A71,'Cage Tally'!$C:$C,'Cage tracking'!T$4,'Cage Tally'!$E:$E, "decomm")=0),"",COUNTIFS('Cage Tally'!$A:$A,$A71,'Cage Tally'!$C:$C,'Cage tracking'!T$4,'Cage Tally'!$E:$E, "decomm"))</f>
        <v/>
      </c>
      <c r="U71" s="206" t="str">
        <f>IF((COUNTIFS('Cage Tally'!$A:$A,$A71,'Cage Tally'!$C:$C,'Cage tracking'!U$4,'Cage Tally'!$E:$E, "decomm")=0),"",COUNTIFS('Cage Tally'!$A:$A,$A71,'Cage Tally'!$C:$C,'Cage tracking'!U$4,'Cage Tally'!$E:$E, "decomm"))</f>
        <v/>
      </c>
      <c r="V71" s="206" t="str">
        <f>IF((COUNTIFS('Cage Tally'!$A:$A,$A71,'Cage Tally'!$C:$C,'Cage tracking'!V$4,'Cage Tally'!$E:$E, "decomm")=0),"",COUNTIFS('Cage Tally'!$A:$A,$A71,'Cage Tally'!$C:$C,'Cage tracking'!V$4,'Cage Tally'!$E:$E, "decomm"))</f>
        <v/>
      </c>
      <c r="W71" s="206" t="str">
        <f>IF((COUNTIFS('Cage Tally'!$A:$A,$A71,'Cage Tally'!$C:$C,'Cage tracking'!W$4,'Cage Tally'!$E:$E, "decomm")=0),"",COUNTIFS('Cage Tally'!$A:$A,$A71,'Cage Tally'!$C:$C,'Cage tracking'!W$4,'Cage Tally'!$E:$E, "decomm"))</f>
        <v/>
      </c>
      <c r="X71" s="207" t="str">
        <f>IF((COUNTIFS('Cage Tally'!$A:$A,$A71,'Cage Tally'!$C:$C,'Cage tracking'!X$4,'Cage Tally'!$E:$E, "decomm")=0),"",COUNTIFS('Cage Tally'!$A:$A,$A71,'Cage Tally'!$C:$C,'Cage tracking'!X$4,'Cage Tally'!$E:$E, "decomm"))</f>
        <v/>
      </c>
      <c r="Y71" s="273"/>
      <c r="Z71" s="273"/>
      <c r="AA71" s="273"/>
      <c r="AB71" s="273"/>
      <c r="AC71" s="273"/>
      <c r="AD71" s="273"/>
      <c r="AE71" s="273"/>
      <c r="AF71" s="273"/>
      <c r="AG71" s="273"/>
      <c r="AH71" s="273"/>
      <c r="AI71" s="273"/>
      <c r="AJ71" s="273"/>
      <c r="AK71" s="273"/>
      <c r="AL71" s="273"/>
      <c r="AM71" s="273"/>
      <c r="AN71" s="273"/>
      <c r="AO71" s="273"/>
      <c r="AP71" s="273"/>
      <c r="AQ71" s="273"/>
      <c r="AR71" s="273"/>
      <c r="AS71" s="273"/>
      <c r="AT71" s="273"/>
      <c r="AU71" s="273"/>
      <c r="AV71" s="273"/>
    </row>
    <row r="72" spans="1:48" ht="12.75">
      <c r="A72" s="131">
        <v>44122</v>
      </c>
      <c r="B72" s="132" t="str">
        <f>IF((COUNTIFS('Cage Tally'!$A:$A,$A72,'Cage Tally'!$C:$C,'Cage tracking'!B$4,'Cage Tally'!$E:$E, "Dark")=0),"",COUNTIFS('Cage Tally'!$A:$A,$A72,'Cage Tally'!$C:$C,'Cage tracking'!B$4,'Cage Tally'!$E:$E, "Dark"))</f>
        <v/>
      </c>
      <c r="C72" s="132" t="str">
        <f>IF((COUNTIFS('Cage Tally'!$A:$A,$A72,'Cage Tally'!$C:$C,'Cage tracking'!C$4,'Cage Tally'!$E:$E, "Dark")=0),"",COUNTIFS('Cage Tally'!$A:$A,$A72,'Cage Tally'!$C:$C,'Cage tracking'!C$4,'Cage Tally'!$E:$E, "Dark"))</f>
        <v/>
      </c>
      <c r="D72" s="132" t="str">
        <f>IF((COUNTIFS('Cage Tally'!$A:$A,$A72,'Cage Tally'!$C:$C,'Cage tracking'!D$4,'Cage Tally'!$E:$E, "Dark")=0),"",COUNTIFS('Cage Tally'!$A:$A,$A72,'Cage Tally'!$C:$C,'Cage tracking'!D$4,'Cage Tally'!$E:$E, "Dark"))</f>
        <v/>
      </c>
      <c r="E72" s="132" t="str">
        <f>IF((COUNTIFS('Cage Tally'!$A:$A,$A72,'Cage Tally'!$C:$C,'Cage tracking'!E$4,'Cage Tally'!$E:$E, "Dark")=0),"",COUNTIFS('Cage Tally'!$A:$A,$A72,'Cage Tally'!$C:$C,'Cage tracking'!E$4,'Cage Tally'!$E:$E, "Dark"))</f>
        <v/>
      </c>
      <c r="F72" s="132" t="str">
        <f>IF((COUNTIFS('Cage Tally'!$A:$A,$A72,'Cage Tally'!$C:$C,'Cage tracking'!F$4,'Cage Tally'!$E:$E, "Dark")=0),"",COUNTIFS('Cage Tally'!$A:$A,$A72,'Cage Tally'!$C:$C,'Cage tracking'!F$4,'Cage Tally'!$E:$E, "Dark"))</f>
        <v/>
      </c>
      <c r="G72" s="132" t="str">
        <f>IF((COUNTIFS('Cage Tally'!$A:$A,$A72,'Cage Tally'!$C:$C,'Cage tracking'!G$4,'Cage Tally'!$E:$E, "Dark")=0),"",COUNTIFS('Cage Tally'!$A:$A,$A72,'Cage Tally'!$C:$C,'Cage tracking'!G$4,'Cage Tally'!$E:$E, "Dark"))</f>
        <v/>
      </c>
      <c r="H72" s="204"/>
      <c r="I72" s="128"/>
      <c r="J72" s="204"/>
      <c r="K72" s="132" t="str">
        <f>IF((COUNTIFS('Cage Tally'!$A:$A,$A72,'Cage Tally'!$C:$C,'Cage tracking'!K$4,'Cage Tally'!$E:$E, "Light")=0),"",COUNTIFS('Cage Tally'!$A:$A,$A72,'Cage Tally'!$C:$C,'Cage tracking'!K$4,'Cage Tally'!$E:$E, "Light"))</f>
        <v/>
      </c>
      <c r="L72" s="132" t="str">
        <f>IF((COUNTIFS('Cage Tally'!$A:$A,$A72,'Cage Tally'!$C:$C,'Cage tracking'!L$4,'Cage Tally'!$E:$E, "Light")=0),"",COUNTIFS('Cage Tally'!$A:$A,$A72,'Cage Tally'!$C:$C,'Cage tracking'!L$4,'Cage Tally'!$E:$E, "Light"))</f>
        <v/>
      </c>
      <c r="M72" s="132" t="str">
        <f>IF((COUNTIFS('Cage Tally'!$A:$A,$A72,'Cage Tally'!$C:$C,'Cage tracking'!M$4,'Cage Tally'!$E:$E, "Light")=0),"",COUNTIFS('Cage Tally'!$A:$A,$A72,'Cage Tally'!$C:$C,'Cage tracking'!M$4,'Cage Tally'!$E:$E, "Light"))</f>
        <v/>
      </c>
      <c r="N72" s="132" t="str">
        <f>IF((COUNTIFS('Cage Tally'!$A:$A,$A72,'Cage Tally'!$C:$C,'Cage tracking'!N$4,'Cage Tally'!$E:$E, "Light")=0),"",COUNTIFS('Cage Tally'!$A:$A,$A72,'Cage Tally'!$C:$C,'Cage tracking'!N$4,'Cage Tally'!$E:$E, "Light"))</f>
        <v/>
      </c>
      <c r="O72" s="132" t="str">
        <f>IF((COUNTIFS('Cage Tally'!$A:$A,$A72,'Cage Tally'!$C:$C,'Cage tracking'!O$4,'Cage Tally'!$E:$E, "Light")=0),"",COUNTIFS('Cage Tally'!$A:$A,$A72,'Cage Tally'!$C:$C,'Cage tracking'!O$4,'Cage Tally'!$E:$E, "Light"))</f>
        <v/>
      </c>
      <c r="P72" s="132" t="str">
        <f>IF((COUNTIFS('Cage Tally'!$A:$A,$A72,'Cage Tally'!$C:$C,'Cage tracking'!P$4,'Cage Tally'!$E:$E, "Light")=0),"",COUNTIFS('Cage Tally'!$A:$A,$A72,'Cage Tally'!$C:$C,'Cage tracking'!P$4,'Cage Tally'!$E:$E, "Light"))</f>
        <v/>
      </c>
      <c r="Q72" s="135"/>
      <c r="R72" s="205"/>
      <c r="S72" s="132" t="str">
        <f>IF((COUNTIFS('Cage Tally'!$A:$A,$A72,'Cage Tally'!$C:$C,'Cage tracking'!S$4,'Cage Tally'!$E:$E, "decomm")=0),"",COUNTIFS('Cage Tally'!$A:$A,$A72,'Cage Tally'!$C:$C,'Cage tracking'!S$4,'Cage Tally'!$E:$E, "decomm"))</f>
        <v/>
      </c>
      <c r="T72" s="132" t="str">
        <f>IF((COUNTIFS('Cage Tally'!$A:$A,$A72,'Cage Tally'!$C:$C,'Cage tracking'!T$4,'Cage Tally'!$E:$E, "decomm")=0),"",COUNTIFS('Cage Tally'!$A:$A,$A72,'Cage Tally'!$C:$C,'Cage tracking'!T$4,'Cage Tally'!$E:$E, "decomm"))</f>
        <v/>
      </c>
      <c r="U72" s="132" t="str">
        <f>IF((COUNTIFS('Cage Tally'!$A:$A,$A72,'Cage Tally'!$C:$C,'Cage tracking'!U$4,'Cage Tally'!$E:$E, "decomm")=0),"",COUNTIFS('Cage Tally'!$A:$A,$A72,'Cage Tally'!$C:$C,'Cage tracking'!U$4,'Cage Tally'!$E:$E, "decomm"))</f>
        <v/>
      </c>
      <c r="V72" s="132" t="str">
        <f>IF((COUNTIFS('Cage Tally'!$A:$A,$A72,'Cage Tally'!$C:$C,'Cage tracking'!V$4,'Cage Tally'!$E:$E, "decomm")=0),"",COUNTIFS('Cage Tally'!$A:$A,$A72,'Cage Tally'!$C:$C,'Cage tracking'!V$4,'Cage Tally'!$E:$E, "decomm"))</f>
        <v/>
      </c>
      <c r="W72" s="132" t="str">
        <f>IF((COUNTIFS('Cage Tally'!$A:$A,$A72,'Cage Tally'!$C:$C,'Cage tracking'!W$4,'Cage Tally'!$E:$E, "decomm")=0),"",COUNTIFS('Cage Tally'!$A:$A,$A72,'Cage Tally'!$C:$C,'Cage tracking'!W$4,'Cage Tally'!$E:$E, "decomm"))</f>
        <v/>
      </c>
      <c r="X72" s="142" t="str">
        <f>IF((COUNTIFS('Cage Tally'!$A:$A,$A72,'Cage Tally'!$C:$C,'Cage tracking'!X$4,'Cage Tally'!$E:$E, "decomm")=0),"",COUNTIFS('Cage Tally'!$A:$A,$A72,'Cage Tally'!$C:$C,'Cage tracking'!X$4,'Cage Tally'!$E:$E, "decomm"))</f>
        <v/>
      </c>
      <c r="Y72" s="273"/>
      <c r="Z72" s="273"/>
      <c r="AA72" s="273"/>
      <c r="AB72" s="273"/>
      <c r="AC72" s="273"/>
      <c r="AD72" s="273"/>
      <c r="AE72" s="273"/>
      <c r="AF72" s="273"/>
      <c r="AG72" s="273"/>
      <c r="AH72" s="273"/>
      <c r="AI72" s="273"/>
      <c r="AJ72" s="273"/>
      <c r="AK72" s="273"/>
      <c r="AL72" s="273"/>
      <c r="AM72" s="273"/>
      <c r="AN72" s="273"/>
      <c r="AO72" s="273"/>
      <c r="AP72" s="273"/>
      <c r="AQ72" s="273"/>
      <c r="AR72" s="273"/>
      <c r="AS72" s="273"/>
      <c r="AT72" s="273"/>
      <c r="AU72" s="273"/>
      <c r="AV72" s="273"/>
    </row>
    <row r="73" spans="1:48" ht="12.75">
      <c r="A73" s="131">
        <v>44123</v>
      </c>
      <c r="B73" s="206">
        <f>IF((COUNTIFS('Cage Tally'!$A:$A,$A73,'Cage Tally'!$C:$C,'Cage tracking'!B$4,'Cage Tally'!$E:$E, "Dark")=0),"",COUNTIFS('Cage Tally'!$A:$A,$A73,'Cage Tally'!$C:$C,'Cage tracking'!B$4,'Cage Tally'!$E:$E, "Dark"))</f>
        <v>2</v>
      </c>
      <c r="C73" s="206" t="str">
        <f>IF((COUNTIFS('Cage Tally'!$A:$A,$A73,'Cage Tally'!$C:$C,'Cage tracking'!C$4,'Cage Tally'!$E:$E, "Dark")=0),"",COUNTIFS('Cage Tally'!$A:$A,$A73,'Cage Tally'!$C:$C,'Cage tracking'!C$4,'Cage Tally'!$E:$E, "Dark"))</f>
        <v/>
      </c>
      <c r="D73" s="206" t="str">
        <f>IF((COUNTIFS('Cage Tally'!$A:$A,$A73,'Cage Tally'!$C:$C,'Cage tracking'!D$4,'Cage Tally'!$E:$E, "Dark")=0),"",COUNTIFS('Cage Tally'!$A:$A,$A73,'Cage Tally'!$C:$C,'Cage tracking'!D$4,'Cage Tally'!$E:$E, "Dark"))</f>
        <v/>
      </c>
      <c r="E73" s="206">
        <f>IF((COUNTIFS('Cage Tally'!$A:$A,$A73,'Cage Tally'!$C:$C,'Cage tracking'!E$4,'Cage Tally'!$E:$E, "Dark")=0),"",COUNTIFS('Cage Tally'!$A:$A,$A73,'Cage Tally'!$C:$C,'Cage tracking'!E$4,'Cage Tally'!$E:$E, "Dark"))</f>
        <v>4</v>
      </c>
      <c r="F73" s="206">
        <f>IF((COUNTIFS('Cage Tally'!$A:$A,$A73,'Cage Tally'!$C:$C,'Cage tracking'!F$4,'Cage Tally'!$E:$E, "Dark")=0),"",COUNTIFS('Cage Tally'!$A:$A,$A73,'Cage Tally'!$C:$C,'Cage tracking'!F$4,'Cage Tally'!$E:$E, "Dark"))</f>
        <v>2</v>
      </c>
      <c r="G73" s="206" t="str">
        <f>IF((COUNTIFS('Cage Tally'!$A:$A,$A73,'Cage Tally'!$C:$C,'Cage tracking'!G$4,'Cage Tally'!$E:$E, "Dark")=0),"",COUNTIFS('Cage Tally'!$A:$A,$A73,'Cage Tally'!$C:$C,'Cage tracking'!G$4,'Cage Tally'!$E:$E, "Dark"))</f>
        <v/>
      </c>
      <c r="H73" s="129"/>
      <c r="I73" s="128"/>
      <c r="J73" s="31"/>
      <c r="K73" s="206" t="str">
        <f>IF((COUNTIFS('Cage Tally'!$A:$A,$A73,'Cage Tally'!$C:$C,'Cage tracking'!K$4,'Cage Tally'!$E:$E, "Light")=0),"",COUNTIFS('Cage Tally'!$A:$A,$A73,'Cage Tally'!$C:$C,'Cage tracking'!K$4,'Cage Tally'!$E:$E, "Light"))</f>
        <v/>
      </c>
      <c r="L73" s="206" t="str">
        <f>IF((COUNTIFS('Cage Tally'!$A:$A,$A73,'Cage Tally'!$C:$C,'Cage tracking'!L$4,'Cage Tally'!$E:$E, "Light")=0),"",COUNTIFS('Cage Tally'!$A:$A,$A73,'Cage Tally'!$C:$C,'Cage tracking'!L$4,'Cage Tally'!$E:$E, "Light"))</f>
        <v/>
      </c>
      <c r="M73" s="206">
        <f>IF((COUNTIFS('Cage Tally'!$A:$A,$A73,'Cage Tally'!$C:$C,'Cage tracking'!M$4,'Cage Tally'!$E:$E, "Light")=0),"",COUNTIFS('Cage Tally'!$A:$A,$A73,'Cage Tally'!$C:$C,'Cage tracking'!M$4,'Cage Tally'!$E:$E, "Light"))</f>
        <v>4</v>
      </c>
      <c r="N73" s="206">
        <f>IF((COUNTIFS('Cage Tally'!$A:$A,$A73,'Cage Tally'!$C:$C,'Cage tracking'!N$4,'Cage Tally'!$E:$E, "Light")=0),"",COUNTIFS('Cage Tally'!$A:$A,$A73,'Cage Tally'!$C:$C,'Cage tracking'!N$4,'Cage Tally'!$E:$E, "Light"))</f>
        <v>1</v>
      </c>
      <c r="O73" s="206" t="str">
        <f>IF((COUNTIFS('Cage Tally'!$A:$A,$A73,'Cage Tally'!$C:$C,'Cage tracking'!O$4,'Cage Tally'!$E:$E, "Light")=0),"",COUNTIFS('Cage Tally'!$A:$A,$A73,'Cage Tally'!$C:$C,'Cage tracking'!O$4,'Cage Tally'!$E:$E, "Light"))</f>
        <v/>
      </c>
      <c r="P73" s="206" t="str">
        <f>IF((COUNTIFS('Cage Tally'!$A:$A,$A73,'Cage Tally'!$C:$C,'Cage tracking'!P$4,'Cage Tally'!$E:$E, "Light")=0),"",COUNTIFS('Cage Tally'!$A:$A,$A73,'Cage Tally'!$C:$C,'Cage tracking'!P$4,'Cage Tally'!$E:$E, "Light"))</f>
        <v/>
      </c>
      <c r="Q73" s="206"/>
      <c r="R73" s="130"/>
      <c r="S73" s="206" t="str">
        <f>IF((COUNTIFS('Cage Tally'!$A:$A,$A73,'Cage Tally'!$C:$C,'Cage tracking'!S$4,'Cage Tally'!$E:$E, "decomm")=0),"",COUNTIFS('Cage Tally'!$A:$A,$A73,'Cage Tally'!$C:$C,'Cage tracking'!S$4,'Cage Tally'!$E:$E, "decomm"))</f>
        <v/>
      </c>
      <c r="T73" s="206">
        <f>IF((COUNTIFS('Cage Tally'!$A:$A,$A73,'Cage Tally'!$C:$C,'Cage tracking'!T$4,'Cage Tally'!$E:$E, "decomm")=0),"",COUNTIFS('Cage Tally'!$A:$A,$A73,'Cage Tally'!$C:$C,'Cage tracking'!T$4,'Cage Tally'!$E:$E, "decomm"))</f>
        <v>2</v>
      </c>
      <c r="U73" s="206">
        <f>IF((COUNTIFS('Cage Tally'!$A:$A,$A73,'Cage Tally'!$C:$C,'Cage tracking'!U$4,'Cage Tally'!$E:$E, "decomm")=0),"",COUNTIFS('Cage Tally'!$A:$A,$A73,'Cage Tally'!$C:$C,'Cage tracking'!U$4,'Cage Tally'!$E:$E, "decomm"))</f>
        <v>1</v>
      </c>
      <c r="V73" s="206">
        <f>IF((COUNTIFS('Cage Tally'!$A:$A,$A73,'Cage Tally'!$C:$C,'Cage tracking'!V$4,'Cage Tally'!$E:$E, "decomm")=0),"",COUNTIFS('Cage Tally'!$A:$A,$A73,'Cage Tally'!$C:$C,'Cage tracking'!V$4,'Cage Tally'!$E:$E, "decomm"))</f>
        <v>2</v>
      </c>
      <c r="W73" s="206" t="str">
        <f>IF((COUNTIFS('Cage Tally'!$A:$A,$A73,'Cage Tally'!$C:$C,'Cage tracking'!W$4,'Cage Tally'!$E:$E, "decomm")=0),"",COUNTIFS('Cage Tally'!$A:$A,$A73,'Cage Tally'!$C:$C,'Cage tracking'!W$4,'Cage Tally'!$E:$E, "decomm"))</f>
        <v/>
      </c>
      <c r="X73" s="207" t="str">
        <f>IF((COUNTIFS('Cage Tally'!$A:$A,$A73,'Cage Tally'!$C:$C,'Cage tracking'!X$4,'Cage Tally'!$E:$E, "decomm")=0),"",COUNTIFS('Cage Tally'!$A:$A,$A73,'Cage Tally'!$C:$C,'Cage tracking'!X$4,'Cage Tally'!$E:$E, "decomm"))</f>
        <v/>
      </c>
      <c r="Y73" s="273"/>
      <c r="Z73" s="273"/>
      <c r="AA73" s="273"/>
      <c r="AB73" s="273"/>
      <c r="AC73" s="273"/>
      <c r="AD73" s="273"/>
      <c r="AE73" s="273"/>
      <c r="AF73" s="273"/>
      <c r="AG73" s="273"/>
      <c r="AH73" s="273"/>
      <c r="AI73" s="273"/>
      <c r="AJ73" s="273"/>
      <c r="AK73" s="273"/>
      <c r="AL73" s="273"/>
      <c r="AM73" s="273"/>
      <c r="AN73" s="273"/>
      <c r="AO73" s="273"/>
      <c r="AP73" s="273"/>
      <c r="AQ73" s="273"/>
      <c r="AR73" s="273"/>
      <c r="AS73" s="273"/>
      <c r="AT73" s="273"/>
      <c r="AU73" s="273"/>
      <c r="AV73" s="273"/>
    </row>
    <row r="74" spans="1:48" ht="12.75">
      <c r="A74" s="131">
        <v>44124</v>
      </c>
      <c r="B74" s="132" t="str">
        <f>IF((COUNTIFS('Cage Tally'!$A:$A,$A74,'Cage Tally'!$C:$C,'Cage tracking'!B$4,'Cage Tally'!$E:$E, "Dark")=0),"",COUNTIFS('Cage Tally'!$A:$A,$A74,'Cage Tally'!$C:$C,'Cage tracking'!B$4,'Cage Tally'!$E:$E, "Dark"))</f>
        <v/>
      </c>
      <c r="C74" s="132" t="str">
        <f>IF((COUNTIFS('Cage Tally'!$A:$A,$A74,'Cage Tally'!$C:$C,'Cage tracking'!C$4,'Cage Tally'!$E:$E, "Dark")=0),"",COUNTIFS('Cage Tally'!$A:$A,$A74,'Cage Tally'!$C:$C,'Cage tracking'!C$4,'Cage Tally'!$E:$E, "Dark"))</f>
        <v/>
      </c>
      <c r="D74" s="132" t="str">
        <f>IF((COUNTIFS('Cage Tally'!$A:$A,$A74,'Cage Tally'!$C:$C,'Cage tracking'!D$4,'Cage Tally'!$E:$E, "Dark")=0),"",COUNTIFS('Cage Tally'!$A:$A,$A74,'Cage Tally'!$C:$C,'Cage tracking'!D$4,'Cage Tally'!$E:$E, "Dark"))</f>
        <v/>
      </c>
      <c r="E74" s="132" t="str">
        <f>IF((COUNTIFS('Cage Tally'!$A:$A,$A74,'Cage Tally'!$C:$C,'Cage tracking'!E$4,'Cage Tally'!$E:$E, "Dark")=0),"",COUNTIFS('Cage Tally'!$A:$A,$A74,'Cage Tally'!$C:$C,'Cage tracking'!E$4,'Cage Tally'!$E:$E, "Dark"))</f>
        <v/>
      </c>
      <c r="F74" s="132" t="str">
        <f>IF((COUNTIFS('Cage Tally'!$A:$A,$A74,'Cage Tally'!$C:$C,'Cage tracking'!F$4,'Cage Tally'!$E:$E, "Dark")=0),"",COUNTIFS('Cage Tally'!$A:$A,$A74,'Cage Tally'!$C:$C,'Cage tracking'!F$4,'Cage Tally'!$E:$E, "Dark"))</f>
        <v/>
      </c>
      <c r="G74" s="132" t="str">
        <f>IF((COUNTIFS('Cage Tally'!$A:$A,$A74,'Cage Tally'!$C:$C,'Cage tracking'!G$4,'Cage Tally'!$E:$E, "Dark")=0),"",COUNTIFS('Cage Tally'!$A:$A,$A74,'Cage Tally'!$C:$C,'Cage tracking'!G$4,'Cage Tally'!$E:$E, "Dark"))</f>
        <v/>
      </c>
      <c r="H74" s="204"/>
      <c r="I74" s="128"/>
      <c r="J74" s="204"/>
      <c r="K74" s="132" t="str">
        <f>IF((COUNTIFS('Cage Tally'!$A:$A,$A74,'Cage Tally'!$C:$C,'Cage tracking'!K$4,'Cage Tally'!$E:$E, "Light")=0),"",COUNTIFS('Cage Tally'!$A:$A,$A74,'Cage Tally'!$C:$C,'Cage tracking'!K$4,'Cage Tally'!$E:$E, "Light"))</f>
        <v/>
      </c>
      <c r="L74" s="132" t="str">
        <f>IF((COUNTIFS('Cage Tally'!$A:$A,$A74,'Cage Tally'!$C:$C,'Cage tracking'!L$4,'Cage Tally'!$E:$E, "Light")=0),"",COUNTIFS('Cage Tally'!$A:$A,$A74,'Cage Tally'!$C:$C,'Cage tracking'!L$4,'Cage Tally'!$E:$E, "Light"))</f>
        <v/>
      </c>
      <c r="M74" s="132" t="str">
        <f>IF((COUNTIFS('Cage Tally'!$A:$A,$A74,'Cage Tally'!$C:$C,'Cage tracking'!M$4,'Cage Tally'!$E:$E, "Light")=0),"",COUNTIFS('Cage Tally'!$A:$A,$A74,'Cage Tally'!$C:$C,'Cage tracking'!M$4,'Cage Tally'!$E:$E, "Light"))</f>
        <v/>
      </c>
      <c r="N74" s="132" t="str">
        <f>IF((COUNTIFS('Cage Tally'!$A:$A,$A74,'Cage Tally'!$C:$C,'Cage tracking'!N$4,'Cage Tally'!$E:$E, "Light")=0),"",COUNTIFS('Cage Tally'!$A:$A,$A74,'Cage Tally'!$C:$C,'Cage tracking'!N$4,'Cage Tally'!$E:$E, "Light"))</f>
        <v/>
      </c>
      <c r="O74" s="132" t="str">
        <f>IF((COUNTIFS('Cage Tally'!$A:$A,$A74,'Cage Tally'!$C:$C,'Cage tracking'!O$4,'Cage Tally'!$E:$E, "Light")=0),"",COUNTIFS('Cage Tally'!$A:$A,$A74,'Cage Tally'!$C:$C,'Cage tracking'!O$4,'Cage Tally'!$E:$E, "Light"))</f>
        <v/>
      </c>
      <c r="P74" s="132" t="str">
        <f>IF((COUNTIFS('Cage Tally'!$A:$A,$A74,'Cage Tally'!$C:$C,'Cage tracking'!P$4,'Cage Tally'!$E:$E, "Light")=0),"",COUNTIFS('Cage Tally'!$A:$A,$A74,'Cage Tally'!$C:$C,'Cage tracking'!P$4,'Cage Tally'!$E:$E, "Light"))</f>
        <v/>
      </c>
      <c r="Q74" s="135"/>
      <c r="R74" s="205"/>
      <c r="S74" s="132" t="str">
        <f>IF((COUNTIFS('Cage Tally'!$A:$A,$A74,'Cage Tally'!$C:$C,'Cage tracking'!S$4,'Cage Tally'!$E:$E, "decomm")=0),"",COUNTIFS('Cage Tally'!$A:$A,$A74,'Cage Tally'!$C:$C,'Cage tracking'!S$4,'Cage Tally'!$E:$E, "decomm"))</f>
        <v/>
      </c>
      <c r="T74" s="132" t="str">
        <f>IF((COUNTIFS('Cage Tally'!$A:$A,$A74,'Cage Tally'!$C:$C,'Cage tracking'!T$4,'Cage Tally'!$E:$E, "decomm")=0),"",COUNTIFS('Cage Tally'!$A:$A,$A74,'Cage Tally'!$C:$C,'Cage tracking'!T$4,'Cage Tally'!$E:$E, "decomm"))</f>
        <v/>
      </c>
      <c r="U74" s="132" t="str">
        <f>IF((COUNTIFS('Cage Tally'!$A:$A,$A74,'Cage Tally'!$C:$C,'Cage tracking'!U$4,'Cage Tally'!$E:$E, "decomm")=0),"",COUNTIFS('Cage Tally'!$A:$A,$A74,'Cage Tally'!$C:$C,'Cage tracking'!U$4,'Cage Tally'!$E:$E, "decomm"))</f>
        <v/>
      </c>
      <c r="V74" s="132" t="str">
        <f>IF((COUNTIFS('Cage Tally'!$A:$A,$A74,'Cage Tally'!$C:$C,'Cage tracking'!V$4,'Cage Tally'!$E:$E, "decomm")=0),"",COUNTIFS('Cage Tally'!$A:$A,$A74,'Cage Tally'!$C:$C,'Cage tracking'!V$4,'Cage Tally'!$E:$E, "decomm"))</f>
        <v/>
      </c>
      <c r="W74" s="132" t="str">
        <f>IF((COUNTIFS('Cage Tally'!$A:$A,$A74,'Cage Tally'!$C:$C,'Cage tracking'!W$4,'Cage Tally'!$E:$E, "decomm")=0),"",COUNTIFS('Cage Tally'!$A:$A,$A74,'Cage Tally'!$C:$C,'Cage tracking'!W$4,'Cage Tally'!$E:$E, "decomm"))</f>
        <v/>
      </c>
      <c r="X74" s="142" t="str">
        <f>IF((COUNTIFS('Cage Tally'!$A:$A,$A74,'Cage Tally'!$C:$C,'Cage tracking'!X$4,'Cage Tally'!$E:$E, "decomm")=0),"",COUNTIFS('Cage Tally'!$A:$A,$A74,'Cage Tally'!$C:$C,'Cage tracking'!X$4,'Cage Tally'!$E:$E, "decomm"))</f>
        <v/>
      </c>
      <c r="Y74" s="273"/>
      <c r="Z74" s="273"/>
      <c r="AA74" s="273"/>
      <c r="AB74" s="273"/>
      <c r="AC74" s="273"/>
      <c r="AD74" s="273"/>
      <c r="AE74" s="273"/>
      <c r="AF74" s="273"/>
      <c r="AG74" s="273"/>
      <c r="AH74" s="273"/>
      <c r="AI74" s="273"/>
      <c r="AJ74" s="273"/>
      <c r="AK74" s="273"/>
      <c r="AL74" s="273"/>
      <c r="AM74" s="273"/>
      <c r="AN74" s="273"/>
      <c r="AO74" s="273"/>
      <c r="AP74" s="273"/>
      <c r="AQ74" s="273"/>
      <c r="AR74" s="273"/>
      <c r="AS74" s="273"/>
      <c r="AT74" s="273"/>
      <c r="AU74" s="273"/>
      <c r="AV74" s="273"/>
    </row>
    <row r="75" spans="1:48" ht="12.75">
      <c r="A75" s="131">
        <v>44125</v>
      </c>
      <c r="B75" s="206" t="str">
        <f>IF((COUNTIFS('Cage Tally'!$A:$A,$A75,'Cage Tally'!$C:$C,'Cage tracking'!B$4,'Cage Tally'!$E:$E, "Dark")=0),"",COUNTIFS('Cage Tally'!$A:$A,$A75,'Cage Tally'!$C:$C,'Cage tracking'!B$4,'Cage Tally'!$E:$E, "Dark"))</f>
        <v/>
      </c>
      <c r="C75" s="206" t="str">
        <f>IF((COUNTIFS('Cage Tally'!$A:$A,$A75,'Cage Tally'!$C:$C,'Cage tracking'!C$4,'Cage Tally'!$E:$E, "Dark")=0),"",COUNTIFS('Cage Tally'!$A:$A,$A75,'Cage Tally'!$C:$C,'Cage tracking'!C$4,'Cage Tally'!$E:$E, "Dark"))</f>
        <v/>
      </c>
      <c r="D75" s="206" t="str">
        <f>IF((COUNTIFS('Cage Tally'!$A:$A,$A75,'Cage Tally'!$C:$C,'Cage tracking'!D$4,'Cage Tally'!$E:$E, "Dark")=0),"",COUNTIFS('Cage Tally'!$A:$A,$A75,'Cage Tally'!$C:$C,'Cage tracking'!D$4,'Cage Tally'!$E:$E, "Dark"))</f>
        <v/>
      </c>
      <c r="E75" s="206" t="str">
        <f>IF((COUNTIFS('Cage Tally'!$A:$A,$A75,'Cage Tally'!$C:$C,'Cage tracking'!E$4,'Cage Tally'!$E:$E, "Dark")=0),"",COUNTIFS('Cage Tally'!$A:$A,$A75,'Cage Tally'!$C:$C,'Cage tracking'!E$4,'Cage Tally'!$E:$E, "Dark"))</f>
        <v/>
      </c>
      <c r="F75" s="206" t="str">
        <f>IF((COUNTIFS('Cage Tally'!$A:$A,$A75,'Cage Tally'!$C:$C,'Cage tracking'!F$4,'Cage Tally'!$E:$E, "Dark")=0),"",COUNTIFS('Cage Tally'!$A:$A,$A75,'Cage Tally'!$C:$C,'Cage tracking'!F$4,'Cage Tally'!$E:$E, "Dark"))</f>
        <v/>
      </c>
      <c r="G75" s="206" t="str">
        <f>IF((COUNTIFS('Cage Tally'!$A:$A,$A75,'Cage Tally'!$C:$C,'Cage tracking'!G$4,'Cage Tally'!$E:$E, "Dark")=0),"",COUNTIFS('Cage Tally'!$A:$A,$A75,'Cage Tally'!$C:$C,'Cage tracking'!G$4,'Cage Tally'!$E:$E, "Dark"))</f>
        <v/>
      </c>
      <c r="H75" s="129"/>
      <c r="I75" s="128"/>
      <c r="J75" s="31"/>
      <c r="K75" s="206" t="str">
        <f>IF((COUNTIFS('Cage Tally'!$A:$A,$A75,'Cage Tally'!$C:$C,'Cage tracking'!K$4,'Cage Tally'!$E:$E, "Light")=0),"",COUNTIFS('Cage Tally'!$A:$A,$A75,'Cage Tally'!$C:$C,'Cage tracking'!K$4,'Cage Tally'!$E:$E, "Light"))</f>
        <v/>
      </c>
      <c r="L75" s="206" t="str">
        <f>IF((COUNTIFS('Cage Tally'!$A:$A,$A75,'Cage Tally'!$C:$C,'Cage tracking'!L$4,'Cage Tally'!$E:$E, "Light")=0),"",COUNTIFS('Cage Tally'!$A:$A,$A75,'Cage Tally'!$C:$C,'Cage tracking'!L$4,'Cage Tally'!$E:$E, "Light"))</f>
        <v/>
      </c>
      <c r="M75" s="206" t="str">
        <f>IF((COUNTIFS('Cage Tally'!$A:$A,$A75,'Cage Tally'!$C:$C,'Cage tracking'!M$4,'Cage Tally'!$E:$E, "Light")=0),"",COUNTIFS('Cage Tally'!$A:$A,$A75,'Cage Tally'!$C:$C,'Cage tracking'!M$4,'Cage Tally'!$E:$E, "Light"))</f>
        <v/>
      </c>
      <c r="N75" s="206" t="str">
        <f>IF((COUNTIFS('Cage Tally'!$A:$A,$A75,'Cage Tally'!$C:$C,'Cage tracking'!N$4,'Cage Tally'!$E:$E, "Light")=0),"",COUNTIFS('Cage Tally'!$A:$A,$A75,'Cage Tally'!$C:$C,'Cage tracking'!N$4,'Cage Tally'!$E:$E, "Light"))</f>
        <v/>
      </c>
      <c r="O75" s="206" t="str">
        <f>IF((COUNTIFS('Cage Tally'!$A:$A,$A75,'Cage Tally'!$C:$C,'Cage tracking'!O$4,'Cage Tally'!$E:$E, "Light")=0),"",COUNTIFS('Cage Tally'!$A:$A,$A75,'Cage Tally'!$C:$C,'Cage tracking'!O$4,'Cage Tally'!$E:$E, "Light"))</f>
        <v/>
      </c>
      <c r="P75" s="206" t="str">
        <f>IF((COUNTIFS('Cage Tally'!$A:$A,$A75,'Cage Tally'!$C:$C,'Cage tracking'!P$4,'Cage Tally'!$E:$E, "Light")=0),"",COUNTIFS('Cage Tally'!$A:$A,$A75,'Cage Tally'!$C:$C,'Cage tracking'!P$4,'Cage Tally'!$E:$E, "Light"))</f>
        <v/>
      </c>
      <c r="Q75" s="206"/>
      <c r="R75" s="130"/>
      <c r="S75" s="206" t="str">
        <f>IF((COUNTIFS('Cage Tally'!$A:$A,$A75,'Cage Tally'!$C:$C,'Cage tracking'!S$4,'Cage Tally'!$E:$E, "decomm")=0),"",COUNTIFS('Cage Tally'!$A:$A,$A75,'Cage Tally'!$C:$C,'Cage tracking'!S$4,'Cage Tally'!$E:$E, "decomm"))</f>
        <v/>
      </c>
      <c r="T75" s="206">
        <f>IF((COUNTIFS('Cage Tally'!$A:$A,$A75,'Cage Tally'!$C:$C,'Cage tracking'!T$4,'Cage Tally'!$E:$E, "decomm")=0),"",COUNTIFS('Cage Tally'!$A:$A,$A75,'Cage Tally'!$C:$C,'Cage tracking'!T$4,'Cage Tally'!$E:$E, "decomm"))</f>
        <v>3</v>
      </c>
      <c r="U75" s="206">
        <f>IF((COUNTIFS('Cage Tally'!$A:$A,$A75,'Cage Tally'!$C:$C,'Cage tracking'!U$4,'Cage Tally'!$E:$E, "decomm")=0),"",COUNTIFS('Cage Tally'!$A:$A,$A75,'Cage Tally'!$C:$C,'Cage tracking'!U$4,'Cage Tally'!$E:$E, "decomm"))</f>
        <v>2</v>
      </c>
      <c r="V75" s="206">
        <f>IF((COUNTIFS('Cage Tally'!$A:$A,$A75,'Cage Tally'!$C:$C,'Cage tracking'!V$4,'Cage Tally'!$E:$E, "decomm")=0),"",COUNTIFS('Cage Tally'!$A:$A,$A75,'Cage Tally'!$C:$C,'Cage tracking'!V$4,'Cage Tally'!$E:$E, "decomm"))</f>
        <v>9</v>
      </c>
      <c r="W75" s="206" t="str">
        <f>IF((COUNTIFS('Cage Tally'!$A:$A,$A75,'Cage Tally'!$C:$C,'Cage tracking'!W$4,'Cage Tally'!$E:$E, "decomm")=0),"",COUNTIFS('Cage Tally'!$A:$A,$A75,'Cage Tally'!$C:$C,'Cage tracking'!W$4,'Cage Tally'!$E:$E, "decomm"))</f>
        <v/>
      </c>
      <c r="X75" s="207" t="str">
        <f>IF((COUNTIFS('Cage Tally'!$A:$A,$A75,'Cage Tally'!$C:$C,'Cage tracking'!X$4,'Cage Tally'!$E:$E, "decomm")=0),"",COUNTIFS('Cage Tally'!$A:$A,$A75,'Cage Tally'!$C:$C,'Cage tracking'!X$4,'Cage Tally'!$E:$E, "decomm"))</f>
        <v/>
      </c>
      <c r="Y75" s="273"/>
      <c r="Z75" s="273"/>
      <c r="AA75" s="273"/>
      <c r="AB75" s="273"/>
      <c r="AC75" s="273"/>
      <c r="AD75" s="273"/>
      <c r="AE75" s="273"/>
      <c r="AF75" s="273"/>
      <c r="AG75" s="273"/>
      <c r="AH75" s="273"/>
      <c r="AI75" s="273"/>
      <c r="AJ75" s="273"/>
      <c r="AK75" s="273"/>
      <c r="AL75" s="273"/>
      <c r="AM75" s="273"/>
      <c r="AN75" s="273"/>
      <c r="AO75" s="273"/>
      <c r="AP75" s="273"/>
      <c r="AQ75" s="273"/>
      <c r="AR75" s="273"/>
      <c r="AS75" s="273"/>
      <c r="AT75" s="273"/>
      <c r="AU75" s="273"/>
      <c r="AV75" s="273"/>
    </row>
    <row r="76" spans="1:48" ht="12.75">
      <c r="A76" s="131">
        <v>44126</v>
      </c>
      <c r="B76" s="132" t="str">
        <f>IF((COUNTIFS('Cage Tally'!$A:$A,$A76,'Cage Tally'!$C:$C,'Cage tracking'!B$4,'Cage Tally'!$E:$E, "Dark")=0),"",COUNTIFS('Cage Tally'!$A:$A,$A76,'Cage Tally'!$C:$C,'Cage tracking'!B$4,'Cage Tally'!$E:$E, "Dark"))</f>
        <v/>
      </c>
      <c r="C76" s="132" t="str">
        <f>IF((COUNTIFS('Cage Tally'!$A:$A,$A76,'Cage Tally'!$C:$C,'Cage tracking'!C$4,'Cage Tally'!$E:$E, "Dark")=0),"",COUNTIFS('Cage Tally'!$A:$A,$A76,'Cage Tally'!$C:$C,'Cage tracking'!C$4,'Cage Tally'!$E:$E, "Dark"))</f>
        <v/>
      </c>
      <c r="D76" s="132" t="str">
        <f>IF((COUNTIFS('Cage Tally'!$A:$A,$A76,'Cage Tally'!$C:$C,'Cage tracking'!D$4,'Cage Tally'!$E:$E, "Dark")=0),"",COUNTIFS('Cage Tally'!$A:$A,$A76,'Cage Tally'!$C:$C,'Cage tracking'!D$4,'Cage Tally'!$E:$E, "Dark"))</f>
        <v/>
      </c>
      <c r="E76" s="132" t="str">
        <f>IF((COUNTIFS('Cage Tally'!$A:$A,$A76,'Cage Tally'!$C:$C,'Cage tracking'!E$4,'Cage Tally'!$E:$E, "Dark")=0),"",COUNTIFS('Cage Tally'!$A:$A,$A76,'Cage Tally'!$C:$C,'Cage tracking'!E$4,'Cage Tally'!$E:$E, "Dark"))</f>
        <v/>
      </c>
      <c r="F76" s="132" t="str">
        <f>IF((COUNTIFS('Cage Tally'!$A:$A,$A76,'Cage Tally'!$C:$C,'Cage tracking'!F$4,'Cage Tally'!$E:$E, "Dark")=0),"",COUNTIFS('Cage Tally'!$A:$A,$A76,'Cage Tally'!$C:$C,'Cage tracking'!F$4,'Cage Tally'!$E:$E, "Dark"))</f>
        <v/>
      </c>
      <c r="G76" s="132" t="str">
        <f>IF((COUNTIFS('Cage Tally'!$A:$A,$A76,'Cage Tally'!$C:$C,'Cage tracking'!G$4,'Cage Tally'!$E:$E, "Dark")=0),"",COUNTIFS('Cage Tally'!$A:$A,$A76,'Cage Tally'!$C:$C,'Cage tracking'!G$4,'Cage Tally'!$E:$E, "Dark"))</f>
        <v/>
      </c>
      <c r="H76" s="204"/>
      <c r="I76" s="128"/>
      <c r="J76" s="204"/>
      <c r="K76" s="132" t="str">
        <f>IF((COUNTIFS('Cage Tally'!$A:$A,$A76,'Cage Tally'!$C:$C,'Cage tracking'!K$4,'Cage Tally'!$E:$E, "Light")=0),"",COUNTIFS('Cage Tally'!$A:$A,$A76,'Cage Tally'!$C:$C,'Cage tracking'!K$4,'Cage Tally'!$E:$E, "Light"))</f>
        <v/>
      </c>
      <c r="L76" s="132" t="str">
        <f>IF((COUNTIFS('Cage Tally'!$A:$A,$A76,'Cage Tally'!$C:$C,'Cage tracking'!L$4,'Cage Tally'!$E:$E, "Light")=0),"",COUNTIFS('Cage Tally'!$A:$A,$A76,'Cage Tally'!$C:$C,'Cage tracking'!L$4,'Cage Tally'!$E:$E, "Light"))</f>
        <v/>
      </c>
      <c r="M76" s="132" t="str">
        <f>IF((COUNTIFS('Cage Tally'!$A:$A,$A76,'Cage Tally'!$C:$C,'Cage tracking'!M$4,'Cage Tally'!$E:$E, "Light")=0),"",COUNTIFS('Cage Tally'!$A:$A,$A76,'Cage Tally'!$C:$C,'Cage tracking'!M$4,'Cage Tally'!$E:$E, "Light"))</f>
        <v/>
      </c>
      <c r="N76" s="132" t="str">
        <f>IF((COUNTIFS('Cage Tally'!$A:$A,$A76,'Cage Tally'!$C:$C,'Cage tracking'!N$4,'Cage Tally'!$E:$E, "Light")=0),"",COUNTIFS('Cage Tally'!$A:$A,$A76,'Cage Tally'!$C:$C,'Cage tracking'!N$4,'Cage Tally'!$E:$E, "Light"))</f>
        <v/>
      </c>
      <c r="O76" s="132" t="str">
        <f>IF((COUNTIFS('Cage Tally'!$A:$A,$A76,'Cage Tally'!$C:$C,'Cage tracking'!O$4,'Cage Tally'!$E:$E, "Light")=0),"",COUNTIFS('Cage Tally'!$A:$A,$A76,'Cage Tally'!$C:$C,'Cage tracking'!O$4,'Cage Tally'!$E:$E, "Light"))</f>
        <v/>
      </c>
      <c r="P76" s="132" t="str">
        <f>IF((COUNTIFS('Cage Tally'!$A:$A,$A76,'Cage Tally'!$C:$C,'Cage tracking'!P$4,'Cage Tally'!$E:$E, "Light")=0),"",COUNTIFS('Cage Tally'!$A:$A,$A76,'Cage Tally'!$C:$C,'Cage tracking'!P$4,'Cage Tally'!$E:$E, "Light"))</f>
        <v/>
      </c>
      <c r="Q76" s="135"/>
      <c r="R76" s="205"/>
      <c r="S76" s="132" t="str">
        <f>IF((COUNTIFS('Cage Tally'!$A:$A,$A76,'Cage Tally'!$C:$C,'Cage tracking'!S$4,'Cage Tally'!$E:$E, "decomm")=0),"",COUNTIFS('Cage Tally'!$A:$A,$A76,'Cage Tally'!$C:$C,'Cage tracking'!S$4,'Cage Tally'!$E:$E, "decomm"))</f>
        <v/>
      </c>
      <c r="T76" s="132" t="str">
        <f>IF((COUNTIFS('Cage Tally'!$A:$A,$A76,'Cage Tally'!$C:$C,'Cage tracking'!T$4,'Cage Tally'!$E:$E, "decomm")=0),"",COUNTIFS('Cage Tally'!$A:$A,$A76,'Cage Tally'!$C:$C,'Cage tracking'!T$4,'Cage Tally'!$E:$E, "decomm"))</f>
        <v/>
      </c>
      <c r="U76" s="132" t="str">
        <f>IF((COUNTIFS('Cage Tally'!$A:$A,$A76,'Cage Tally'!$C:$C,'Cage tracking'!U$4,'Cage Tally'!$E:$E, "decomm")=0),"",COUNTIFS('Cage Tally'!$A:$A,$A76,'Cage Tally'!$C:$C,'Cage tracking'!U$4,'Cage Tally'!$E:$E, "decomm"))</f>
        <v/>
      </c>
      <c r="V76" s="132" t="str">
        <f>IF((COUNTIFS('Cage Tally'!$A:$A,$A76,'Cage Tally'!$C:$C,'Cage tracking'!V$4,'Cage Tally'!$E:$E, "decomm")=0),"",COUNTIFS('Cage Tally'!$A:$A,$A76,'Cage Tally'!$C:$C,'Cage tracking'!V$4,'Cage Tally'!$E:$E, "decomm"))</f>
        <v/>
      </c>
      <c r="W76" s="132" t="str">
        <f>IF((COUNTIFS('Cage Tally'!$A:$A,$A76,'Cage Tally'!$C:$C,'Cage tracking'!W$4,'Cage Tally'!$E:$E, "decomm")=0),"",COUNTIFS('Cage Tally'!$A:$A,$A76,'Cage Tally'!$C:$C,'Cage tracking'!W$4,'Cage Tally'!$E:$E, "decomm"))</f>
        <v/>
      </c>
      <c r="X76" s="142" t="str">
        <f>IF((COUNTIFS('Cage Tally'!$A:$A,$A76,'Cage Tally'!$C:$C,'Cage tracking'!X$4,'Cage Tally'!$E:$E, "decomm")=0),"",COUNTIFS('Cage Tally'!$A:$A,$A76,'Cage Tally'!$C:$C,'Cage tracking'!X$4,'Cage Tally'!$E:$E, "decomm"))</f>
        <v/>
      </c>
      <c r="Y76" s="273"/>
      <c r="Z76" s="273"/>
      <c r="AA76" s="273"/>
      <c r="AB76" s="273"/>
      <c r="AC76" s="273"/>
      <c r="AD76" s="273"/>
      <c r="AE76" s="273"/>
      <c r="AF76" s="273"/>
      <c r="AG76" s="273"/>
      <c r="AH76" s="273"/>
      <c r="AI76" s="273"/>
      <c r="AJ76" s="273"/>
      <c r="AK76" s="273"/>
      <c r="AL76" s="273"/>
      <c r="AM76" s="273"/>
      <c r="AN76" s="273"/>
      <c r="AO76" s="273"/>
      <c r="AP76" s="273"/>
      <c r="AQ76" s="273"/>
      <c r="AR76" s="273"/>
      <c r="AS76" s="273"/>
      <c r="AT76" s="273"/>
      <c r="AU76" s="273"/>
      <c r="AV76" s="273"/>
    </row>
    <row r="77" spans="1:48" ht="12.75">
      <c r="A77" s="131">
        <v>44127</v>
      </c>
      <c r="B77" s="206" t="str">
        <f>IF((COUNTIFS('Cage Tally'!$A:$A,$A77,'Cage Tally'!$C:$C,'Cage tracking'!B$4,'Cage Tally'!$E:$E, "Dark")=0),"",COUNTIFS('Cage Tally'!$A:$A,$A77,'Cage Tally'!$C:$C,'Cage tracking'!B$4,'Cage Tally'!$E:$E, "Dark"))</f>
        <v/>
      </c>
      <c r="C77" s="206" t="str">
        <f>IF((COUNTIFS('Cage Tally'!$A:$A,$A77,'Cage Tally'!$C:$C,'Cage tracking'!C$4,'Cage Tally'!$E:$E, "Dark")=0),"",COUNTIFS('Cage Tally'!$A:$A,$A77,'Cage Tally'!$C:$C,'Cage tracking'!C$4,'Cage Tally'!$E:$E, "Dark"))</f>
        <v/>
      </c>
      <c r="D77" s="206" t="str">
        <f>IF((COUNTIFS('Cage Tally'!$A:$A,$A77,'Cage Tally'!$C:$C,'Cage tracking'!D$4,'Cage Tally'!$E:$E, "Dark")=0),"",COUNTIFS('Cage Tally'!$A:$A,$A77,'Cage Tally'!$C:$C,'Cage tracking'!D$4,'Cage Tally'!$E:$E, "Dark"))</f>
        <v/>
      </c>
      <c r="E77" s="206" t="str">
        <f>IF((COUNTIFS('Cage Tally'!$A:$A,$A77,'Cage Tally'!$C:$C,'Cage tracking'!E$4,'Cage Tally'!$E:$E, "Dark")=0),"",COUNTIFS('Cage Tally'!$A:$A,$A77,'Cage Tally'!$C:$C,'Cage tracking'!E$4,'Cage Tally'!$E:$E, "Dark"))</f>
        <v/>
      </c>
      <c r="F77" s="206" t="str">
        <f>IF((COUNTIFS('Cage Tally'!$A:$A,$A77,'Cage Tally'!$C:$C,'Cage tracking'!F$4,'Cage Tally'!$E:$E, "Dark")=0),"",COUNTIFS('Cage Tally'!$A:$A,$A77,'Cage Tally'!$C:$C,'Cage tracking'!F$4,'Cage Tally'!$E:$E, "Dark"))</f>
        <v/>
      </c>
      <c r="G77" s="206" t="str">
        <f>IF((COUNTIFS('Cage Tally'!$A:$A,$A77,'Cage Tally'!$C:$C,'Cage tracking'!G$4,'Cage Tally'!$E:$E, "Dark")=0),"",COUNTIFS('Cage Tally'!$A:$A,$A77,'Cage Tally'!$C:$C,'Cage tracking'!G$4,'Cage Tally'!$E:$E, "Dark"))</f>
        <v/>
      </c>
      <c r="H77" s="129"/>
      <c r="I77" s="128"/>
      <c r="J77" s="31"/>
      <c r="K77" s="206" t="str">
        <f>IF((COUNTIFS('Cage Tally'!$A:$A,$A77,'Cage Tally'!$C:$C,'Cage tracking'!K$4,'Cage Tally'!$E:$E, "Light")=0),"",COUNTIFS('Cage Tally'!$A:$A,$A77,'Cage Tally'!$C:$C,'Cage tracking'!K$4,'Cage Tally'!$E:$E, "Light"))</f>
        <v/>
      </c>
      <c r="L77" s="206" t="str">
        <f>IF((COUNTIFS('Cage Tally'!$A:$A,$A77,'Cage Tally'!$C:$C,'Cage tracking'!L$4,'Cage Tally'!$E:$E, "Light")=0),"",COUNTIFS('Cage Tally'!$A:$A,$A77,'Cage Tally'!$C:$C,'Cage tracking'!L$4,'Cage Tally'!$E:$E, "Light"))</f>
        <v/>
      </c>
      <c r="M77" s="206" t="str">
        <f>IF((COUNTIFS('Cage Tally'!$A:$A,$A77,'Cage Tally'!$C:$C,'Cage tracking'!M$4,'Cage Tally'!$E:$E, "Light")=0),"",COUNTIFS('Cage Tally'!$A:$A,$A77,'Cage Tally'!$C:$C,'Cage tracking'!M$4,'Cage Tally'!$E:$E, "Light"))</f>
        <v/>
      </c>
      <c r="N77" s="206" t="str">
        <f>IF((COUNTIFS('Cage Tally'!$A:$A,$A77,'Cage Tally'!$C:$C,'Cage tracking'!N$4,'Cage Tally'!$E:$E, "Light")=0),"",COUNTIFS('Cage Tally'!$A:$A,$A77,'Cage Tally'!$C:$C,'Cage tracking'!N$4,'Cage Tally'!$E:$E, "Light"))</f>
        <v/>
      </c>
      <c r="O77" s="206" t="str">
        <f>IF((COUNTIFS('Cage Tally'!$A:$A,$A77,'Cage Tally'!$C:$C,'Cage tracking'!O$4,'Cage Tally'!$E:$E, "Light")=0),"",COUNTIFS('Cage Tally'!$A:$A,$A77,'Cage Tally'!$C:$C,'Cage tracking'!O$4,'Cage Tally'!$E:$E, "Light"))</f>
        <v/>
      </c>
      <c r="P77" s="206" t="str">
        <f>IF((COUNTIFS('Cage Tally'!$A:$A,$A77,'Cage Tally'!$C:$C,'Cage tracking'!P$4,'Cage Tally'!$E:$E, "Light")=0),"",COUNTIFS('Cage Tally'!$A:$A,$A77,'Cage Tally'!$C:$C,'Cage tracking'!P$4,'Cage Tally'!$E:$E, "Light"))</f>
        <v/>
      </c>
      <c r="Q77" s="206"/>
      <c r="R77" s="130"/>
      <c r="S77" s="206" t="str">
        <f>IF((COUNTIFS('Cage Tally'!$A:$A,$A77,'Cage Tally'!$C:$C,'Cage tracking'!S$4,'Cage Tally'!$E:$E, "decomm")=0),"",COUNTIFS('Cage Tally'!$A:$A,$A77,'Cage Tally'!$C:$C,'Cage tracking'!S$4,'Cage Tally'!$E:$E, "decomm"))</f>
        <v/>
      </c>
      <c r="T77" s="206" t="str">
        <f>IF((COUNTIFS('Cage Tally'!$A:$A,$A77,'Cage Tally'!$C:$C,'Cage tracking'!T$4,'Cage Tally'!$E:$E, "decomm")=0),"",COUNTIFS('Cage Tally'!$A:$A,$A77,'Cage Tally'!$C:$C,'Cage tracking'!T$4,'Cage Tally'!$E:$E, "decomm"))</f>
        <v/>
      </c>
      <c r="U77" s="206" t="str">
        <f>IF((COUNTIFS('Cage Tally'!$A:$A,$A77,'Cage Tally'!$C:$C,'Cage tracking'!U$4,'Cage Tally'!$E:$E, "decomm")=0),"",COUNTIFS('Cage Tally'!$A:$A,$A77,'Cage Tally'!$C:$C,'Cage tracking'!U$4,'Cage Tally'!$E:$E, "decomm"))</f>
        <v/>
      </c>
      <c r="V77" s="206" t="str">
        <f>IF((COUNTIFS('Cage Tally'!$A:$A,$A77,'Cage Tally'!$C:$C,'Cage tracking'!V$4,'Cage Tally'!$E:$E, "decomm")=0),"",COUNTIFS('Cage Tally'!$A:$A,$A77,'Cage Tally'!$C:$C,'Cage tracking'!V$4,'Cage Tally'!$E:$E, "decomm"))</f>
        <v/>
      </c>
      <c r="W77" s="206" t="str">
        <f>IF((COUNTIFS('Cage Tally'!$A:$A,$A77,'Cage Tally'!$C:$C,'Cage tracking'!W$4,'Cage Tally'!$E:$E, "decomm")=0),"",COUNTIFS('Cage Tally'!$A:$A,$A77,'Cage Tally'!$C:$C,'Cage tracking'!W$4,'Cage Tally'!$E:$E, "decomm"))</f>
        <v/>
      </c>
      <c r="X77" s="207" t="str">
        <f>IF((COUNTIFS('Cage Tally'!$A:$A,$A77,'Cage Tally'!$C:$C,'Cage tracking'!X$4,'Cage Tally'!$E:$E, "decomm")=0),"",COUNTIFS('Cage Tally'!$A:$A,$A77,'Cage Tally'!$C:$C,'Cage tracking'!X$4,'Cage Tally'!$E:$E, "decomm"))</f>
        <v/>
      </c>
      <c r="Y77" s="273"/>
      <c r="Z77" s="273"/>
      <c r="AA77" s="273"/>
      <c r="AB77" s="273"/>
      <c r="AC77" s="273"/>
      <c r="AD77" s="273"/>
      <c r="AE77" s="273"/>
      <c r="AF77" s="273"/>
      <c r="AG77" s="273"/>
      <c r="AH77" s="273"/>
      <c r="AI77" s="273"/>
      <c r="AJ77" s="273"/>
      <c r="AK77" s="273"/>
      <c r="AL77" s="273"/>
      <c r="AM77" s="273"/>
      <c r="AN77" s="273"/>
      <c r="AO77" s="273"/>
      <c r="AP77" s="273"/>
      <c r="AQ77" s="273"/>
      <c r="AR77" s="273"/>
      <c r="AS77" s="273"/>
      <c r="AT77" s="273"/>
      <c r="AU77" s="273"/>
      <c r="AV77" s="273"/>
    </row>
    <row r="78" spans="1:48" ht="12.75">
      <c r="A78" s="131">
        <v>44128</v>
      </c>
      <c r="B78" s="132" t="str">
        <f>IF((COUNTIFS('Cage Tally'!$A:$A,$A78,'Cage Tally'!$C:$C,'Cage tracking'!B$4,'Cage Tally'!$E:$E, "Dark")=0),"",COUNTIFS('Cage Tally'!$A:$A,$A78,'Cage Tally'!$C:$C,'Cage tracking'!B$4,'Cage Tally'!$E:$E, "Dark"))</f>
        <v/>
      </c>
      <c r="C78" s="132" t="str">
        <f>IF((COUNTIFS('Cage Tally'!$A:$A,$A78,'Cage Tally'!$C:$C,'Cage tracking'!C$4,'Cage Tally'!$E:$E, "Dark")=0),"",COUNTIFS('Cage Tally'!$A:$A,$A78,'Cage Tally'!$C:$C,'Cage tracking'!C$4,'Cage Tally'!$E:$E, "Dark"))</f>
        <v/>
      </c>
      <c r="D78" s="132" t="str">
        <f>IF((COUNTIFS('Cage Tally'!$A:$A,$A78,'Cage Tally'!$C:$C,'Cage tracking'!D$4,'Cage Tally'!$E:$E, "Dark")=0),"",COUNTIFS('Cage Tally'!$A:$A,$A78,'Cage Tally'!$C:$C,'Cage tracking'!D$4,'Cage Tally'!$E:$E, "Dark"))</f>
        <v/>
      </c>
      <c r="E78" s="132" t="str">
        <f>IF((COUNTIFS('Cage Tally'!$A:$A,$A78,'Cage Tally'!$C:$C,'Cage tracking'!E$4,'Cage Tally'!$E:$E, "Dark")=0),"",COUNTIFS('Cage Tally'!$A:$A,$A78,'Cage Tally'!$C:$C,'Cage tracking'!E$4,'Cage Tally'!$E:$E, "Dark"))</f>
        <v/>
      </c>
      <c r="F78" s="132" t="str">
        <f>IF((COUNTIFS('Cage Tally'!$A:$A,$A78,'Cage Tally'!$C:$C,'Cage tracking'!F$4,'Cage Tally'!$E:$E, "Dark")=0),"",COUNTIFS('Cage Tally'!$A:$A,$A78,'Cage Tally'!$C:$C,'Cage tracking'!F$4,'Cage Tally'!$E:$E, "Dark"))</f>
        <v/>
      </c>
      <c r="G78" s="132" t="str">
        <f>IF((COUNTIFS('Cage Tally'!$A:$A,$A78,'Cage Tally'!$C:$C,'Cage tracking'!G$4,'Cage Tally'!$E:$E, "Dark")=0),"",COUNTIFS('Cage Tally'!$A:$A,$A78,'Cage Tally'!$C:$C,'Cage tracking'!G$4,'Cage Tally'!$E:$E, "Dark"))</f>
        <v/>
      </c>
      <c r="H78" s="204"/>
      <c r="I78" s="128"/>
      <c r="J78" s="204"/>
      <c r="K78" s="132" t="str">
        <f>IF((COUNTIFS('Cage Tally'!$A:$A,$A78,'Cage Tally'!$C:$C,'Cage tracking'!K$4,'Cage Tally'!$E:$E, "Light")=0),"",COUNTIFS('Cage Tally'!$A:$A,$A78,'Cage Tally'!$C:$C,'Cage tracking'!K$4,'Cage Tally'!$E:$E, "Light"))</f>
        <v/>
      </c>
      <c r="L78" s="132" t="str">
        <f>IF((COUNTIFS('Cage Tally'!$A:$A,$A78,'Cage Tally'!$C:$C,'Cage tracking'!L$4,'Cage Tally'!$E:$E, "Light")=0),"",COUNTIFS('Cage Tally'!$A:$A,$A78,'Cage Tally'!$C:$C,'Cage tracking'!L$4,'Cage Tally'!$E:$E, "Light"))</f>
        <v/>
      </c>
      <c r="M78" s="132" t="str">
        <f>IF((COUNTIFS('Cage Tally'!$A:$A,$A78,'Cage Tally'!$C:$C,'Cage tracking'!M$4,'Cage Tally'!$E:$E, "Light")=0),"",COUNTIFS('Cage Tally'!$A:$A,$A78,'Cage Tally'!$C:$C,'Cage tracking'!M$4,'Cage Tally'!$E:$E, "Light"))</f>
        <v/>
      </c>
      <c r="N78" s="132" t="str">
        <f>IF((COUNTIFS('Cage Tally'!$A:$A,$A78,'Cage Tally'!$C:$C,'Cage tracking'!N$4,'Cage Tally'!$E:$E, "Light")=0),"",COUNTIFS('Cage Tally'!$A:$A,$A78,'Cage Tally'!$C:$C,'Cage tracking'!N$4,'Cage Tally'!$E:$E, "Light"))</f>
        <v/>
      </c>
      <c r="O78" s="132" t="str">
        <f>IF((COUNTIFS('Cage Tally'!$A:$A,$A78,'Cage Tally'!$C:$C,'Cage tracking'!O$4,'Cage Tally'!$E:$E, "Light")=0),"",COUNTIFS('Cage Tally'!$A:$A,$A78,'Cage Tally'!$C:$C,'Cage tracking'!O$4,'Cage Tally'!$E:$E, "Light"))</f>
        <v/>
      </c>
      <c r="P78" s="132" t="str">
        <f>IF((COUNTIFS('Cage Tally'!$A:$A,$A78,'Cage Tally'!$C:$C,'Cage tracking'!P$4,'Cage Tally'!$E:$E, "Light")=0),"",COUNTIFS('Cage Tally'!$A:$A,$A78,'Cage Tally'!$C:$C,'Cage tracking'!P$4,'Cage Tally'!$E:$E, "Light"))</f>
        <v/>
      </c>
      <c r="Q78" s="135"/>
      <c r="R78" s="205"/>
      <c r="S78" s="132" t="str">
        <f>IF((COUNTIFS('Cage Tally'!$A:$A,$A78,'Cage Tally'!$C:$C,'Cage tracking'!S$4,'Cage Tally'!$E:$E, "decomm")=0),"",COUNTIFS('Cage Tally'!$A:$A,$A78,'Cage Tally'!$C:$C,'Cage tracking'!S$4,'Cage Tally'!$E:$E, "decomm"))</f>
        <v/>
      </c>
      <c r="T78" s="132" t="str">
        <f>IF((COUNTIFS('Cage Tally'!$A:$A,$A78,'Cage Tally'!$C:$C,'Cage tracking'!T$4,'Cage Tally'!$E:$E, "decomm")=0),"",COUNTIFS('Cage Tally'!$A:$A,$A78,'Cage Tally'!$C:$C,'Cage tracking'!T$4,'Cage Tally'!$E:$E, "decomm"))</f>
        <v/>
      </c>
      <c r="U78" s="132" t="str">
        <f>IF((COUNTIFS('Cage Tally'!$A:$A,$A78,'Cage Tally'!$C:$C,'Cage tracking'!U$4,'Cage Tally'!$E:$E, "decomm")=0),"",COUNTIFS('Cage Tally'!$A:$A,$A78,'Cage Tally'!$C:$C,'Cage tracking'!U$4,'Cage Tally'!$E:$E, "decomm"))</f>
        <v/>
      </c>
      <c r="V78" s="132" t="str">
        <f>IF((COUNTIFS('Cage Tally'!$A:$A,$A78,'Cage Tally'!$C:$C,'Cage tracking'!V$4,'Cage Tally'!$E:$E, "decomm")=0),"",COUNTIFS('Cage Tally'!$A:$A,$A78,'Cage Tally'!$C:$C,'Cage tracking'!V$4,'Cage Tally'!$E:$E, "decomm"))</f>
        <v/>
      </c>
      <c r="W78" s="132" t="str">
        <f>IF((COUNTIFS('Cage Tally'!$A:$A,$A78,'Cage Tally'!$C:$C,'Cage tracking'!W$4,'Cage Tally'!$E:$E, "decomm")=0),"",COUNTIFS('Cage Tally'!$A:$A,$A78,'Cage Tally'!$C:$C,'Cage tracking'!W$4,'Cage Tally'!$E:$E, "decomm"))</f>
        <v/>
      </c>
      <c r="X78" s="142" t="str">
        <f>IF((COUNTIFS('Cage Tally'!$A:$A,$A78,'Cage Tally'!$C:$C,'Cage tracking'!X$4,'Cage Tally'!$E:$E, "decomm")=0),"",COUNTIFS('Cage Tally'!$A:$A,$A78,'Cage Tally'!$C:$C,'Cage tracking'!X$4,'Cage Tally'!$E:$E, "decomm"))</f>
        <v/>
      </c>
      <c r="Y78" s="273"/>
      <c r="Z78" s="273"/>
      <c r="AA78" s="273"/>
      <c r="AB78" s="273"/>
      <c r="AC78" s="273"/>
      <c r="AD78" s="273"/>
      <c r="AE78" s="273"/>
      <c r="AF78" s="273"/>
      <c r="AG78" s="273"/>
      <c r="AH78" s="273"/>
      <c r="AI78" s="273"/>
      <c r="AJ78" s="273"/>
      <c r="AK78" s="273"/>
      <c r="AL78" s="273"/>
      <c r="AM78" s="273"/>
      <c r="AN78" s="273"/>
      <c r="AO78" s="273"/>
      <c r="AP78" s="273"/>
      <c r="AQ78" s="273"/>
      <c r="AR78" s="273"/>
      <c r="AS78" s="273"/>
      <c r="AT78" s="273"/>
      <c r="AU78" s="273"/>
      <c r="AV78" s="273"/>
    </row>
    <row r="79" spans="1:48" ht="12.75">
      <c r="A79" s="131">
        <v>44129</v>
      </c>
      <c r="B79" s="206" t="str">
        <f>IF((COUNTIFS('Cage Tally'!$A:$A,$A79,'Cage Tally'!$C:$C,'Cage tracking'!B$4,'Cage Tally'!$E:$E, "Dark")=0),"",COUNTIFS('Cage Tally'!$A:$A,$A79,'Cage Tally'!$C:$C,'Cage tracking'!B$4,'Cage Tally'!$E:$E, "Dark"))</f>
        <v/>
      </c>
      <c r="C79" s="206" t="str">
        <f>IF((COUNTIFS('Cage Tally'!$A:$A,$A79,'Cage Tally'!$C:$C,'Cage tracking'!C$4,'Cage Tally'!$E:$E, "Dark")=0),"",COUNTIFS('Cage Tally'!$A:$A,$A79,'Cage Tally'!$C:$C,'Cage tracking'!C$4,'Cage Tally'!$E:$E, "Dark"))</f>
        <v/>
      </c>
      <c r="D79" s="206" t="str">
        <f>IF((COUNTIFS('Cage Tally'!$A:$A,$A79,'Cage Tally'!$C:$C,'Cage tracking'!D$4,'Cage Tally'!$E:$E, "Dark")=0),"",COUNTIFS('Cage Tally'!$A:$A,$A79,'Cage Tally'!$C:$C,'Cage tracking'!D$4,'Cage Tally'!$E:$E, "Dark"))</f>
        <v/>
      </c>
      <c r="E79" s="206" t="str">
        <f>IF((COUNTIFS('Cage Tally'!$A:$A,$A79,'Cage Tally'!$C:$C,'Cage tracking'!E$4,'Cage Tally'!$E:$E, "Dark")=0),"",COUNTIFS('Cage Tally'!$A:$A,$A79,'Cage Tally'!$C:$C,'Cage tracking'!E$4,'Cage Tally'!$E:$E, "Dark"))</f>
        <v/>
      </c>
      <c r="F79" s="206" t="str">
        <f>IF((COUNTIFS('Cage Tally'!$A:$A,$A79,'Cage Tally'!$C:$C,'Cage tracking'!F$4,'Cage Tally'!$E:$E, "Dark")=0),"",COUNTIFS('Cage Tally'!$A:$A,$A79,'Cage Tally'!$C:$C,'Cage tracking'!F$4,'Cage Tally'!$E:$E, "Dark"))</f>
        <v/>
      </c>
      <c r="G79" s="206" t="str">
        <f>IF((COUNTIFS('Cage Tally'!$A:$A,$A79,'Cage Tally'!$C:$C,'Cage tracking'!G$4,'Cage Tally'!$E:$E, "Dark")=0),"",COUNTIFS('Cage Tally'!$A:$A,$A79,'Cage Tally'!$C:$C,'Cage tracking'!G$4,'Cage Tally'!$E:$E, "Dark"))</f>
        <v/>
      </c>
      <c r="H79" s="129"/>
      <c r="I79" s="128"/>
      <c r="J79" s="31"/>
      <c r="K79" s="206" t="str">
        <f>IF((COUNTIFS('Cage Tally'!$A:$A,$A79,'Cage Tally'!$C:$C,'Cage tracking'!K$4,'Cage Tally'!$E:$E, "Light")=0),"",COUNTIFS('Cage Tally'!$A:$A,$A79,'Cage Tally'!$C:$C,'Cage tracking'!K$4,'Cage Tally'!$E:$E, "Light"))</f>
        <v/>
      </c>
      <c r="L79" s="206" t="str">
        <f>IF((COUNTIFS('Cage Tally'!$A:$A,$A79,'Cage Tally'!$C:$C,'Cage tracking'!L$4,'Cage Tally'!$E:$E, "Light")=0),"",COUNTIFS('Cage Tally'!$A:$A,$A79,'Cage Tally'!$C:$C,'Cage tracking'!L$4,'Cage Tally'!$E:$E, "Light"))</f>
        <v/>
      </c>
      <c r="M79" s="206" t="str">
        <f>IF((COUNTIFS('Cage Tally'!$A:$A,$A79,'Cage Tally'!$C:$C,'Cage tracking'!M$4,'Cage Tally'!$E:$E, "Light")=0),"",COUNTIFS('Cage Tally'!$A:$A,$A79,'Cage Tally'!$C:$C,'Cage tracking'!M$4,'Cage Tally'!$E:$E, "Light"))</f>
        <v/>
      </c>
      <c r="N79" s="206" t="str">
        <f>IF((COUNTIFS('Cage Tally'!$A:$A,$A79,'Cage Tally'!$C:$C,'Cage tracking'!N$4,'Cage Tally'!$E:$E, "Light")=0),"",COUNTIFS('Cage Tally'!$A:$A,$A79,'Cage Tally'!$C:$C,'Cage tracking'!N$4,'Cage Tally'!$E:$E, "Light"))</f>
        <v/>
      </c>
      <c r="O79" s="206" t="str">
        <f>IF((COUNTIFS('Cage Tally'!$A:$A,$A79,'Cage Tally'!$C:$C,'Cage tracking'!O$4,'Cage Tally'!$E:$E, "Light")=0),"",COUNTIFS('Cage Tally'!$A:$A,$A79,'Cage Tally'!$C:$C,'Cage tracking'!O$4,'Cage Tally'!$E:$E, "Light"))</f>
        <v/>
      </c>
      <c r="P79" s="206" t="str">
        <f>IF((COUNTIFS('Cage Tally'!$A:$A,$A79,'Cage Tally'!$C:$C,'Cage tracking'!P$4,'Cage Tally'!$E:$E, "Light")=0),"",COUNTIFS('Cage Tally'!$A:$A,$A79,'Cage Tally'!$C:$C,'Cage tracking'!P$4,'Cage Tally'!$E:$E, "Light"))</f>
        <v/>
      </c>
      <c r="Q79" s="206"/>
      <c r="R79" s="130"/>
      <c r="S79" s="206" t="str">
        <f>IF((COUNTIFS('Cage Tally'!$A:$A,$A79,'Cage Tally'!$C:$C,'Cage tracking'!S$4,'Cage Tally'!$E:$E, "decomm")=0),"",COUNTIFS('Cage Tally'!$A:$A,$A79,'Cage Tally'!$C:$C,'Cage tracking'!S$4,'Cage Tally'!$E:$E, "decomm"))</f>
        <v/>
      </c>
      <c r="T79" s="206" t="str">
        <f>IF((COUNTIFS('Cage Tally'!$A:$A,$A79,'Cage Tally'!$C:$C,'Cage tracking'!T$4,'Cage Tally'!$E:$E, "decomm")=0),"",COUNTIFS('Cage Tally'!$A:$A,$A79,'Cage Tally'!$C:$C,'Cage tracking'!T$4,'Cage Tally'!$E:$E, "decomm"))</f>
        <v/>
      </c>
      <c r="U79" s="206" t="str">
        <f>IF((COUNTIFS('Cage Tally'!$A:$A,$A79,'Cage Tally'!$C:$C,'Cage tracking'!U$4,'Cage Tally'!$E:$E, "decomm")=0),"",COUNTIFS('Cage Tally'!$A:$A,$A79,'Cage Tally'!$C:$C,'Cage tracking'!U$4,'Cage Tally'!$E:$E, "decomm"))</f>
        <v/>
      </c>
      <c r="V79" s="206" t="str">
        <f>IF((COUNTIFS('Cage Tally'!$A:$A,$A79,'Cage Tally'!$C:$C,'Cage tracking'!V$4,'Cage Tally'!$E:$E, "decomm")=0),"",COUNTIFS('Cage Tally'!$A:$A,$A79,'Cage Tally'!$C:$C,'Cage tracking'!V$4,'Cage Tally'!$E:$E, "decomm"))</f>
        <v/>
      </c>
      <c r="W79" s="206" t="str">
        <f>IF((COUNTIFS('Cage Tally'!$A:$A,$A79,'Cage Tally'!$C:$C,'Cage tracking'!W$4,'Cage Tally'!$E:$E, "decomm")=0),"",COUNTIFS('Cage Tally'!$A:$A,$A79,'Cage Tally'!$C:$C,'Cage tracking'!W$4,'Cage Tally'!$E:$E, "decomm"))</f>
        <v/>
      </c>
      <c r="X79" s="207" t="str">
        <f>IF((COUNTIFS('Cage Tally'!$A:$A,$A79,'Cage Tally'!$C:$C,'Cage tracking'!X$4,'Cage Tally'!$E:$E, "decomm")=0),"",COUNTIFS('Cage Tally'!$A:$A,$A79,'Cage Tally'!$C:$C,'Cage tracking'!X$4,'Cage Tally'!$E:$E, "decomm"))</f>
        <v/>
      </c>
      <c r="Y79" s="273"/>
      <c r="Z79" s="273"/>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row>
    <row r="80" spans="1:48" ht="12.75">
      <c r="A80" s="131">
        <v>44130</v>
      </c>
      <c r="B80" s="132" t="str">
        <f>IF((COUNTIFS('Cage Tally'!$A:$A,$A80,'Cage Tally'!$C:$C,'Cage tracking'!B$4,'Cage Tally'!$E:$E, "Dark")=0),"",COUNTIFS('Cage Tally'!$A:$A,$A80,'Cage Tally'!$C:$C,'Cage tracking'!B$4,'Cage Tally'!$E:$E, "Dark"))</f>
        <v/>
      </c>
      <c r="C80" s="132" t="str">
        <f>IF((COUNTIFS('Cage Tally'!$A:$A,$A80,'Cage Tally'!$C:$C,'Cage tracking'!C$4,'Cage Tally'!$E:$E, "Dark")=0),"",COUNTIFS('Cage Tally'!$A:$A,$A80,'Cage Tally'!$C:$C,'Cage tracking'!C$4,'Cage Tally'!$E:$E, "Dark"))</f>
        <v/>
      </c>
      <c r="D80" s="132" t="str">
        <f>IF((COUNTIFS('Cage Tally'!$A:$A,$A80,'Cage Tally'!$C:$C,'Cage tracking'!D$4,'Cage Tally'!$E:$E, "Dark")=0),"",COUNTIFS('Cage Tally'!$A:$A,$A80,'Cage Tally'!$C:$C,'Cage tracking'!D$4,'Cage Tally'!$E:$E, "Dark"))</f>
        <v/>
      </c>
      <c r="E80" s="132" t="str">
        <f>IF((COUNTIFS('Cage Tally'!$A:$A,$A80,'Cage Tally'!$C:$C,'Cage tracking'!E$4,'Cage Tally'!$E:$E, "Dark")=0),"",COUNTIFS('Cage Tally'!$A:$A,$A80,'Cage Tally'!$C:$C,'Cage tracking'!E$4,'Cage Tally'!$E:$E, "Dark"))</f>
        <v/>
      </c>
      <c r="F80" s="132" t="str">
        <f>IF((COUNTIFS('Cage Tally'!$A:$A,$A80,'Cage Tally'!$C:$C,'Cage tracking'!F$4,'Cage Tally'!$E:$E, "Dark")=0),"",COUNTIFS('Cage Tally'!$A:$A,$A80,'Cage Tally'!$C:$C,'Cage tracking'!F$4,'Cage Tally'!$E:$E, "Dark"))</f>
        <v/>
      </c>
      <c r="G80" s="132" t="str">
        <f>IF((COUNTIFS('Cage Tally'!$A:$A,$A80,'Cage Tally'!$C:$C,'Cage tracking'!G$4,'Cage Tally'!$E:$E, "Dark")=0),"",COUNTIFS('Cage Tally'!$A:$A,$A80,'Cage Tally'!$C:$C,'Cage tracking'!G$4,'Cage Tally'!$E:$E, "Dark"))</f>
        <v/>
      </c>
      <c r="H80" s="204"/>
      <c r="I80" s="128"/>
      <c r="J80" s="204"/>
      <c r="K80" s="132" t="str">
        <f>IF((COUNTIFS('Cage Tally'!$A:$A,$A80,'Cage Tally'!$C:$C,'Cage tracking'!K$4,'Cage Tally'!$E:$E, "Light")=0),"",COUNTIFS('Cage Tally'!$A:$A,$A80,'Cage Tally'!$C:$C,'Cage tracking'!K$4,'Cage Tally'!$E:$E, "Light"))</f>
        <v/>
      </c>
      <c r="L80" s="132" t="str">
        <f>IF((COUNTIFS('Cage Tally'!$A:$A,$A80,'Cage Tally'!$C:$C,'Cage tracking'!L$4,'Cage Tally'!$E:$E, "Light")=0),"",COUNTIFS('Cage Tally'!$A:$A,$A80,'Cage Tally'!$C:$C,'Cage tracking'!L$4,'Cage Tally'!$E:$E, "Light"))</f>
        <v/>
      </c>
      <c r="M80" s="132" t="str">
        <f>IF((COUNTIFS('Cage Tally'!$A:$A,$A80,'Cage Tally'!$C:$C,'Cage tracking'!M$4,'Cage Tally'!$E:$E, "Light")=0),"",COUNTIFS('Cage Tally'!$A:$A,$A80,'Cage Tally'!$C:$C,'Cage tracking'!M$4,'Cage Tally'!$E:$E, "Light"))</f>
        <v/>
      </c>
      <c r="N80" s="132" t="str">
        <f>IF((COUNTIFS('Cage Tally'!$A:$A,$A80,'Cage Tally'!$C:$C,'Cage tracking'!N$4,'Cage Tally'!$E:$E, "Light")=0),"",COUNTIFS('Cage Tally'!$A:$A,$A80,'Cage Tally'!$C:$C,'Cage tracking'!N$4,'Cage Tally'!$E:$E, "Light"))</f>
        <v/>
      </c>
      <c r="O80" s="132" t="str">
        <f>IF((COUNTIFS('Cage Tally'!$A:$A,$A80,'Cage Tally'!$C:$C,'Cage tracking'!O$4,'Cage Tally'!$E:$E, "Light")=0),"",COUNTIFS('Cage Tally'!$A:$A,$A80,'Cage Tally'!$C:$C,'Cage tracking'!O$4,'Cage Tally'!$E:$E, "Light"))</f>
        <v/>
      </c>
      <c r="P80" s="132" t="str">
        <f>IF((COUNTIFS('Cage Tally'!$A:$A,$A80,'Cage Tally'!$C:$C,'Cage tracking'!P$4,'Cage Tally'!$E:$E, "Light")=0),"",COUNTIFS('Cage Tally'!$A:$A,$A80,'Cage Tally'!$C:$C,'Cage tracking'!P$4,'Cage Tally'!$E:$E, "Light"))</f>
        <v/>
      </c>
      <c r="Q80" s="135"/>
      <c r="R80" s="205"/>
      <c r="S80" s="132" t="str">
        <f>IF((COUNTIFS('Cage Tally'!$A:$A,$A80,'Cage Tally'!$C:$C,'Cage tracking'!S$4,'Cage Tally'!$E:$E, "decomm")=0),"",COUNTIFS('Cage Tally'!$A:$A,$A80,'Cage Tally'!$C:$C,'Cage tracking'!S$4,'Cage Tally'!$E:$E, "decomm"))</f>
        <v/>
      </c>
      <c r="T80" s="132" t="str">
        <f>IF((COUNTIFS('Cage Tally'!$A:$A,$A80,'Cage Tally'!$C:$C,'Cage tracking'!T$4,'Cage Tally'!$E:$E, "decomm")=0),"",COUNTIFS('Cage Tally'!$A:$A,$A80,'Cage Tally'!$C:$C,'Cage tracking'!T$4,'Cage Tally'!$E:$E, "decomm"))</f>
        <v/>
      </c>
      <c r="U80" s="132" t="str">
        <f>IF((COUNTIFS('Cage Tally'!$A:$A,$A80,'Cage Tally'!$C:$C,'Cage tracking'!U$4,'Cage Tally'!$E:$E, "decomm")=0),"",COUNTIFS('Cage Tally'!$A:$A,$A80,'Cage Tally'!$C:$C,'Cage tracking'!U$4,'Cage Tally'!$E:$E, "decomm"))</f>
        <v/>
      </c>
      <c r="V80" s="132" t="str">
        <f>IF((COUNTIFS('Cage Tally'!$A:$A,$A80,'Cage Tally'!$C:$C,'Cage tracking'!V$4,'Cage Tally'!$E:$E, "decomm")=0),"",COUNTIFS('Cage Tally'!$A:$A,$A80,'Cage Tally'!$C:$C,'Cage tracking'!V$4,'Cage Tally'!$E:$E, "decomm"))</f>
        <v/>
      </c>
      <c r="W80" s="132" t="str">
        <f>IF((COUNTIFS('Cage Tally'!$A:$A,$A80,'Cage Tally'!$C:$C,'Cage tracking'!W$4,'Cage Tally'!$E:$E, "decomm")=0),"",COUNTIFS('Cage Tally'!$A:$A,$A80,'Cage Tally'!$C:$C,'Cage tracking'!W$4,'Cage Tally'!$E:$E, "decomm"))</f>
        <v/>
      </c>
      <c r="X80" s="142" t="str">
        <f>IF((COUNTIFS('Cage Tally'!$A:$A,$A80,'Cage Tally'!$C:$C,'Cage tracking'!X$4,'Cage Tally'!$E:$E, "decomm")=0),"",COUNTIFS('Cage Tally'!$A:$A,$A80,'Cage Tally'!$C:$C,'Cage tracking'!X$4,'Cage Tally'!$E:$E, "decomm"))</f>
        <v/>
      </c>
      <c r="Y80" s="273"/>
      <c r="Z80" s="273"/>
      <c r="AA80" s="273"/>
      <c r="AB80" s="273"/>
      <c r="AC80" s="273"/>
      <c r="AD80" s="273"/>
      <c r="AE80" s="273"/>
      <c r="AF80" s="273"/>
      <c r="AG80" s="273"/>
      <c r="AH80" s="273"/>
      <c r="AI80" s="273"/>
      <c r="AJ80" s="273"/>
      <c r="AK80" s="273"/>
      <c r="AL80" s="273"/>
      <c r="AM80" s="273"/>
      <c r="AN80" s="273"/>
      <c r="AO80" s="273"/>
      <c r="AP80" s="273"/>
      <c r="AQ80" s="273"/>
      <c r="AR80" s="273"/>
      <c r="AS80" s="273"/>
      <c r="AT80" s="273"/>
      <c r="AU80" s="273"/>
      <c r="AV80" s="273"/>
    </row>
    <row r="81" spans="1:48" ht="12.75">
      <c r="A81" s="131">
        <v>44131</v>
      </c>
      <c r="B81" s="206" t="str">
        <f>IF((COUNTIFS('Cage Tally'!$A:$A,$A81,'Cage Tally'!$C:$C,'Cage tracking'!B$4,'Cage Tally'!$E:$E, "Dark")=0),"",COUNTIFS('Cage Tally'!$A:$A,$A81,'Cage Tally'!$C:$C,'Cage tracking'!B$4,'Cage Tally'!$E:$E, "Dark"))</f>
        <v/>
      </c>
      <c r="C81" s="206" t="str">
        <f>IF((COUNTIFS('Cage Tally'!$A:$A,$A81,'Cage Tally'!$C:$C,'Cage tracking'!C$4,'Cage Tally'!$E:$E, "Dark")=0),"",COUNTIFS('Cage Tally'!$A:$A,$A81,'Cage Tally'!$C:$C,'Cage tracking'!C$4,'Cage Tally'!$E:$E, "Dark"))</f>
        <v/>
      </c>
      <c r="D81" s="206" t="str">
        <f>IF((COUNTIFS('Cage Tally'!$A:$A,$A81,'Cage Tally'!$C:$C,'Cage tracking'!D$4,'Cage Tally'!$E:$E, "Dark")=0),"",COUNTIFS('Cage Tally'!$A:$A,$A81,'Cage Tally'!$C:$C,'Cage tracking'!D$4,'Cage Tally'!$E:$E, "Dark"))</f>
        <v/>
      </c>
      <c r="E81" s="206" t="str">
        <f>IF((COUNTIFS('Cage Tally'!$A:$A,$A81,'Cage Tally'!$C:$C,'Cage tracking'!E$4,'Cage Tally'!$E:$E, "Dark")=0),"",COUNTIFS('Cage Tally'!$A:$A,$A81,'Cage Tally'!$C:$C,'Cage tracking'!E$4,'Cage Tally'!$E:$E, "Dark"))</f>
        <v/>
      </c>
      <c r="F81" s="206" t="str">
        <f>IF((COUNTIFS('Cage Tally'!$A:$A,$A81,'Cage Tally'!$C:$C,'Cage tracking'!F$4,'Cage Tally'!$E:$E, "Dark")=0),"",COUNTIFS('Cage Tally'!$A:$A,$A81,'Cage Tally'!$C:$C,'Cage tracking'!F$4,'Cage Tally'!$E:$E, "Dark"))</f>
        <v/>
      </c>
      <c r="G81" s="206" t="str">
        <f>IF((COUNTIFS('Cage Tally'!$A:$A,$A81,'Cage Tally'!$C:$C,'Cage tracking'!G$4,'Cage Tally'!$E:$E, "Dark")=0),"",COUNTIFS('Cage Tally'!$A:$A,$A81,'Cage Tally'!$C:$C,'Cage tracking'!G$4,'Cage Tally'!$E:$E, "Dark"))</f>
        <v/>
      </c>
      <c r="H81" s="129"/>
      <c r="I81" s="128"/>
      <c r="J81" s="31"/>
      <c r="K81" s="206" t="str">
        <f>IF((COUNTIFS('Cage Tally'!$A:$A,$A81,'Cage Tally'!$C:$C,'Cage tracking'!K$4,'Cage Tally'!$E:$E, "Light")=0),"",COUNTIFS('Cage Tally'!$A:$A,$A81,'Cage Tally'!$C:$C,'Cage tracking'!K$4,'Cage Tally'!$E:$E, "Light"))</f>
        <v/>
      </c>
      <c r="L81" s="206" t="str">
        <f>IF((COUNTIFS('Cage Tally'!$A:$A,$A81,'Cage Tally'!$C:$C,'Cage tracking'!L$4,'Cage Tally'!$E:$E, "Light")=0),"",COUNTIFS('Cage Tally'!$A:$A,$A81,'Cage Tally'!$C:$C,'Cage tracking'!L$4,'Cage Tally'!$E:$E, "Light"))</f>
        <v/>
      </c>
      <c r="M81" s="206" t="str">
        <f>IF((COUNTIFS('Cage Tally'!$A:$A,$A81,'Cage Tally'!$C:$C,'Cage tracking'!M$4,'Cage Tally'!$E:$E, "Light")=0),"",COUNTIFS('Cage Tally'!$A:$A,$A81,'Cage Tally'!$C:$C,'Cage tracking'!M$4,'Cage Tally'!$E:$E, "Light"))</f>
        <v/>
      </c>
      <c r="N81" s="206" t="str">
        <f>IF((COUNTIFS('Cage Tally'!$A:$A,$A81,'Cage Tally'!$C:$C,'Cage tracking'!N$4,'Cage Tally'!$E:$E, "Light")=0),"",COUNTIFS('Cage Tally'!$A:$A,$A81,'Cage Tally'!$C:$C,'Cage tracking'!N$4,'Cage Tally'!$E:$E, "Light"))</f>
        <v/>
      </c>
      <c r="O81" s="206" t="str">
        <f>IF((COUNTIFS('Cage Tally'!$A:$A,$A81,'Cage Tally'!$C:$C,'Cage tracking'!O$4,'Cage Tally'!$E:$E, "Light")=0),"",COUNTIFS('Cage Tally'!$A:$A,$A81,'Cage Tally'!$C:$C,'Cage tracking'!O$4,'Cage Tally'!$E:$E, "Light"))</f>
        <v/>
      </c>
      <c r="P81" s="206" t="str">
        <f>IF((COUNTIFS('Cage Tally'!$A:$A,$A81,'Cage Tally'!$C:$C,'Cage tracking'!P$4,'Cage Tally'!$E:$E, "Light")=0),"",COUNTIFS('Cage Tally'!$A:$A,$A81,'Cage Tally'!$C:$C,'Cage tracking'!P$4,'Cage Tally'!$E:$E, "Light"))</f>
        <v/>
      </c>
      <c r="Q81" s="206"/>
      <c r="R81" s="130"/>
      <c r="S81" s="206" t="str">
        <f>IF((COUNTIFS('Cage Tally'!$A:$A,$A81,'Cage Tally'!$C:$C,'Cage tracking'!S$4,'Cage Tally'!$E:$E, "decomm")=0),"",COUNTIFS('Cage Tally'!$A:$A,$A81,'Cage Tally'!$C:$C,'Cage tracking'!S$4,'Cage Tally'!$E:$E, "decomm"))</f>
        <v/>
      </c>
      <c r="T81" s="206" t="str">
        <f>IF((COUNTIFS('Cage Tally'!$A:$A,$A81,'Cage Tally'!$C:$C,'Cage tracking'!T$4,'Cage Tally'!$E:$E, "decomm")=0),"",COUNTIFS('Cage Tally'!$A:$A,$A81,'Cage Tally'!$C:$C,'Cage tracking'!T$4,'Cage Tally'!$E:$E, "decomm"))</f>
        <v/>
      </c>
      <c r="U81" s="206" t="str">
        <f>IF((COUNTIFS('Cage Tally'!$A:$A,$A81,'Cage Tally'!$C:$C,'Cage tracking'!U$4,'Cage Tally'!$E:$E, "decomm")=0),"",COUNTIFS('Cage Tally'!$A:$A,$A81,'Cage Tally'!$C:$C,'Cage tracking'!U$4,'Cage Tally'!$E:$E, "decomm"))</f>
        <v/>
      </c>
      <c r="V81" s="206" t="str">
        <f>IF((COUNTIFS('Cage Tally'!$A:$A,$A81,'Cage Tally'!$C:$C,'Cage tracking'!V$4,'Cage Tally'!$E:$E, "decomm")=0),"",COUNTIFS('Cage Tally'!$A:$A,$A81,'Cage Tally'!$C:$C,'Cage tracking'!V$4,'Cage Tally'!$E:$E, "decomm"))</f>
        <v/>
      </c>
      <c r="W81" s="206" t="str">
        <f>IF((COUNTIFS('Cage Tally'!$A:$A,$A81,'Cage Tally'!$C:$C,'Cage tracking'!W$4,'Cage Tally'!$E:$E, "decomm")=0),"",COUNTIFS('Cage Tally'!$A:$A,$A81,'Cage Tally'!$C:$C,'Cage tracking'!W$4,'Cage Tally'!$E:$E, "decomm"))</f>
        <v/>
      </c>
      <c r="X81" s="207" t="str">
        <f>IF((COUNTIFS('Cage Tally'!$A:$A,$A81,'Cage Tally'!$C:$C,'Cage tracking'!X$4,'Cage Tally'!$E:$E, "decomm")=0),"",COUNTIFS('Cage Tally'!$A:$A,$A81,'Cage Tally'!$C:$C,'Cage tracking'!X$4,'Cage Tally'!$E:$E, "decomm"))</f>
        <v/>
      </c>
      <c r="Y81" s="273"/>
      <c r="Z81" s="273"/>
      <c r="AA81" s="273"/>
      <c r="AB81" s="273"/>
      <c r="AC81" s="273"/>
      <c r="AD81" s="273"/>
      <c r="AE81" s="273"/>
      <c r="AF81" s="273"/>
      <c r="AG81" s="273"/>
      <c r="AH81" s="273"/>
      <c r="AI81" s="273"/>
      <c r="AJ81" s="273"/>
      <c r="AK81" s="273"/>
      <c r="AL81" s="273"/>
      <c r="AM81" s="273"/>
      <c r="AN81" s="273"/>
      <c r="AO81" s="273"/>
      <c r="AP81" s="273"/>
      <c r="AQ81" s="273"/>
      <c r="AR81" s="273"/>
      <c r="AS81" s="273"/>
      <c r="AT81" s="273"/>
      <c r="AU81" s="273"/>
      <c r="AV81" s="273"/>
    </row>
    <row r="82" spans="1:48" ht="12.75">
      <c r="A82" s="131">
        <v>44132</v>
      </c>
      <c r="B82" s="132" t="str">
        <f>IF((COUNTIFS('Cage Tally'!$A:$A,$A82,'Cage Tally'!$C:$C,'Cage tracking'!B$4,'Cage Tally'!$E:$E, "Dark")=0),"",COUNTIFS('Cage Tally'!$A:$A,$A82,'Cage Tally'!$C:$C,'Cage tracking'!B$4,'Cage Tally'!$E:$E, "Dark"))</f>
        <v/>
      </c>
      <c r="C82" s="132" t="str">
        <f>IF((COUNTIFS('Cage Tally'!$A:$A,$A82,'Cage Tally'!$C:$C,'Cage tracking'!C$4,'Cage Tally'!$E:$E, "Dark")=0),"",COUNTIFS('Cage Tally'!$A:$A,$A82,'Cage Tally'!$C:$C,'Cage tracking'!C$4,'Cage Tally'!$E:$E, "Dark"))</f>
        <v/>
      </c>
      <c r="D82" s="132" t="str">
        <f>IF((COUNTIFS('Cage Tally'!$A:$A,$A82,'Cage Tally'!$C:$C,'Cage tracking'!D$4,'Cage Tally'!$E:$E, "Dark")=0),"",COUNTIFS('Cage Tally'!$A:$A,$A82,'Cage Tally'!$C:$C,'Cage tracking'!D$4,'Cage Tally'!$E:$E, "Dark"))</f>
        <v/>
      </c>
      <c r="E82" s="132" t="str">
        <f>IF((COUNTIFS('Cage Tally'!$A:$A,$A82,'Cage Tally'!$C:$C,'Cage tracking'!E$4,'Cage Tally'!$E:$E, "Dark")=0),"",COUNTIFS('Cage Tally'!$A:$A,$A82,'Cage Tally'!$C:$C,'Cage tracking'!E$4,'Cage Tally'!$E:$E, "Dark"))</f>
        <v/>
      </c>
      <c r="F82" s="132" t="str">
        <f>IF((COUNTIFS('Cage Tally'!$A:$A,$A82,'Cage Tally'!$C:$C,'Cage tracking'!F$4,'Cage Tally'!$E:$E, "Dark")=0),"",COUNTIFS('Cage Tally'!$A:$A,$A82,'Cage Tally'!$C:$C,'Cage tracking'!F$4,'Cage Tally'!$E:$E, "Dark"))</f>
        <v/>
      </c>
      <c r="G82" s="132" t="str">
        <f>IF((COUNTIFS('Cage Tally'!$A:$A,$A82,'Cage Tally'!$C:$C,'Cage tracking'!G$4,'Cage Tally'!$E:$E, "Dark")=0),"",COUNTIFS('Cage Tally'!$A:$A,$A82,'Cage Tally'!$C:$C,'Cage tracking'!G$4,'Cage Tally'!$E:$E, "Dark"))</f>
        <v/>
      </c>
      <c r="H82" s="204"/>
      <c r="I82" s="128"/>
      <c r="J82" s="204"/>
      <c r="K82" s="132" t="str">
        <f>IF((COUNTIFS('Cage Tally'!$A:$A,$A82,'Cage Tally'!$C:$C,'Cage tracking'!K$4,'Cage Tally'!$E:$E, "Light")=0),"",COUNTIFS('Cage Tally'!$A:$A,$A82,'Cage Tally'!$C:$C,'Cage tracking'!K$4,'Cage Tally'!$E:$E, "Light"))</f>
        <v/>
      </c>
      <c r="L82" s="132" t="str">
        <f>IF((COUNTIFS('Cage Tally'!$A:$A,$A82,'Cage Tally'!$C:$C,'Cage tracking'!L$4,'Cage Tally'!$E:$E, "Light")=0),"",COUNTIFS('Cage Tally'!$A:$A,$A82,'Cage Tally'!$C:$C,'Cage tracking'!L$4,'Cage Tally'!$E:$E, "Light"))</f>
        <v/>
      </c>
      <c r="M82" s="132" t="str">
        <f>IF((COUNTIFS('Cage Tally'!$A:$A,$A82,'Cage Tally'!$C:$C,'Cage tracking'!M$4,'Cage Tally'!$E:$E, "Light")=0),"",COUNTIFS('Cage Tally'!$A:$A,$A82,'Cage Tally'!$C:$C,'Cage tracking'!M$4,'Cage Tally'!$E:$E, "Light"))</f>
        <v/>
      </c>
      <c r="N82" s="132" t="str">
        <f>IF((COUNTIFS('Cage Tally'!$A:$A,$A82,'Cage Tally'!$C:$C,'Cage tracking'!N$4,'Cage Tally'!$E:$E, "Light")=0),"",COUNTIFS('Cage Tally'!$A:$A,$A82,'Cage Tally'!$C:$C,'Cage tracking'!N$4,'Cage Tally'!$E:$E, "Light"))</f>
        <v/>
      </c>
      <c r="O82" s="132" t="str">
        <f>IF((COUNTIFS('Cage Tally'!$A:$A,$A82,'Cage Tally'!$C:$C,'Cage tracking'!O$4,'Cage Tally'!$E:$E, "Light")=0),"",COUNTIFS('Cage Tally'!$A:$A,$A82,'Cage Tally'!$C:$C,'Cage tracking'!O$4,'Cage Tally'!$E:$E, "Light"))</f>
        <v/>
      </c>
      <c r="P82" s="132" t="str">
        <f>IF((COUNTIFS('Cage Tally'!$A:$A,$A82,'Cage Tally'!$C:$C,'Cage tracking'!P$4,'Cage Tally'!$E:$E, "Light")=0),"",COUNTIFS('Cage Tally'!$A:$A,$A82,'Cage Tally'!$C:$C,'Cage tracking'!P$4,'Cage Tally'!$E:$E, "Light"))</f>
        <v/>
      </c>
      <c r="Q82" s="135"/>
      <c r="R82" s="205"/>
      <c r="S82" s="132" t="str">
        <f>IF((COUNTIFS('Cage Tally'!$A:$A,$A82,'Cage Tally'!$C:$C,'Cage tracking'!S$4,'Cage Tally'!$E:$E, "decomm")=0),"",COUNTIFS('Cage Tally'!$A:$A,$A82,'Cage Tally'!$C:$C,'Cage tracking'!S$4,'Cage Tally'!$E:$E, "decomm"))</f>
        <v/>
      </c>
      <c r="T82" s="132" t="str">
        <f>IF((COUNTIFS('Cage Tally'!$A:$A,$A82,'Cage Tally'!$C:$C,'Cage tracking'!T$4,'Cage Tally'!$E:$E, "decomm")=0),"",COUNTIFS('Cage Tally'!$A:$A,$A82,'Cage Tally'!$C:$C,'Cage tracking'!T$4,'Cage Tally'!$E:$E, "decomm"))</f>
        <v/>
      </c>
      <c r="U82" s="132" t="str">
        <f>IF((COUNTIFS('Cage Tally'!$A:$A,$A82,'Cage Tally'!$C:$C,'Cage tracking'!U$4,'Cage Tally'!$E:$E, "decomm")=0),"",COUNTIFS('Cage Tally'!$A:$A,$A82,'Cage Tally'!$C:$C,'Cage tracking'!U$4,'Cage Tally'!$E:$E, "decomm"))</f>
        <v/>
      </c>
      <c r="V82" s="132" t="str">
        <f>IF((COUNTIFS('Cage Tally'!$A:$A,$A82,'Cage Tally'!$C:$C,'Cage tracking'!V$4,'Cage Tally'!$E:$E, "decomm")=0),"",COUNTIFS('Cage Tally'!$A:$A,$A82,'Cage Tally'!$C:$C,'Cage tracking'!V$4,'Cage Tally'!$E:$E, "decomm"))</f>
        <v/>
      </c>
      <c r="W82" s="132" t="str">
        <f>IF((COUNTIFS('Cage Tally'!$A:$A,$A82,'Cage Tally'!$C:$C,'Cage tracking'!W$4,'Cage Tally'!$E:$E, "decomm")=0),"",COUNTIFS('Cage Tally'!$A:$A,$A82,'Cage Tally'!$C:$C,'Cage tracking'!W$4,'Cage Tally'!$E:$E, "decomm"))</f>
        <v/>
      </c>
      <c r="X82" s="142" t="str">
        <f>IF((COUNTIFS('Cage Tally'!$A:$A,$A82,'Cage Tally'!$C:$C,'Cage tracking'!X$4,'Cage Tally'!$E:$E, "decomm")=0),"",COUNTIFS('Cage Tally'!$A:$A,$A82,'Cage Tally'!$C:$C,'Cage tracking'!X$4,'Cage Tally'!$E:$E, "decomm"))</f>
        <v/>
      </c>
      <c r="Y82" s="273"/>
      <c r="Z82" s="273"/>
      <c r="AA82" s="273"/>
      <c r="AB82" s="273"/>
      <c r="AC82" s="273"/>
      <c r="AD82" s="273"/>
      <c r="AE82" s="273"/>
      <c r="AF82" s="273"/>
      <c r="AG82" s="273"/>
      <c r="AH82" s="273"/>
      <c r="AI82" s="273"/>
      <c r="AJ82" s="273"/>
      <c r="AK82" s="273"/>
      <c r="AL82" s="273"/>
      <c r="AM82" s="273"/>
      <c r="AN82" s="273"/>
      <c r="AO82" s="273"/>
      <c r="AP82" s="273"/>
      <c r="AQ82" s="273"/>
      <c r="AR82" s="273"/>
      <c r="AS82" s="273"/>
      <c r="AT82" s="273"/>
      <c r="AU82" s="273"/>
      <c r="AV82" s="273"/>
    </row>
    <row r="83" spans="1:48" ht="12.75">
      <c r="A83" s="131">
        <v>44133</v>
      </c>
      <c r="B83" s="206" t="str">
        <f>IF((COUNTIFS('Cage Tally'!$A:$A,$A83,'Cage Tally'!$C:$C,'Cage tracking'!B$4,'Cage Tally'!$E:$E, "Dark")=0),"",COUNTIFS('Cage Tally'!$A:$A,$A83,'Cage Tally'!$C:$C,'Cage tracking'!B$4,'Cage Tally'!$E:$E, "Dark"))</f>
        <v/>
      </c>
      <c r="C83" s="206" t="str">
        <f>IF((COUNTIFS('Cage Tally'!$A:$A,$A83,'Cage Tally'!$C:$C,'Cage tracking'!C$4,'Cage Tally'!$E:$E, "Dark")=0),"",COUNTIFS('Cage Tally'!$A:$A,$A83,'Cage Tally'!$C:$C,'Cage tracking'!C$4,'Cage Tally'!$E:$E, "Dark"))</f>
        <v/>
      </c>
      <c r="D83" s="206" t="str">
        <f>IF((COUNTIFS('Cage Tally'!$A:$A,$A83,'Cage Tally'!$C:$C,'Cage tracking'!D$4,'Cage Tally'!$E:$E, "Dark")=0),"",COUNTIFS('Cage Tally'!$A:$A,$A83,'Cage Tally'!$C:$C,'Cage tracking'!D$4,'Cage Tally'!$E:$E, "Dark"))</f>
        <v/>
      </c>
      <c r="E83" s="206" t="str">
        <f>IF((COUNTIFS('Cage Tally'!$A:$A,$A83,'Cage Tally'!$C:$C,'Cage tracking'!E$4,'Cage Tally'!$E:$E, "Dark")=0),"",COUNTIFS('Cage Tally'!$A:$A,$A83,'Cage Tally'!$C:$C,'Cage tracking'!E$4,'Cage Tally'!$E:$E, "Dark"))</f>
        <v/>
      </c>
      <c r="F83" s="206" t="str">
        <f>IF((COUNTIFS('Cage Tally'!$A:$A,$A83,'Cage Tally'!$C:$C,'Cage tracking'!F$4,'Cage Tally'!$E:$E, "Dark")=0),"",COUNTIFS('Cage Tally'!$A:$A,$A83,'Cage Tally'!$C:$C,'Cage tracking'!F$4,'Cage Tally'!$E:$E, "Dark"))</f>
        <v/>
      </c>
      <c r="G83" s="206" t="str">
        <f>IF((COUNTIFS('Cage Tally'!$A:$A,$A83,'Cage Tally'!$C:$C,'Cage tracking'!G$4,'Cage Tally'!$E:$E, "Dark")=0),"",COUNTIFS('Cage Tally'!$A:$A,$A83,'Cage Tally'!$C:$C,'Cage tracking'!G$4,'Cage Tally'!$E:$E, "Dark"))</f>
        <v/>
      </c>
      <c r="H83" s="129"/>
      <c r="I83" s="128"/>
      <c r="J83" s="31"/>
      <c r="K83" s="206" t="str">
        <f>IF((COUNTIFS('Cage Tally'!$A:$A,$A83,'Cage Tally'!$C:$C,'Cage tracking'!K$4,'Cage Tally'!$E:$E, "Light")=0),"",COUNTIFS('Cage Tally'!$A:$A,$A83,'Cage Tally'!$C:$C,'Cage tracking'!K$4,'Cage Tally'!$E:$E, "Light"))</f>
        <v/>
      </c>
      <c r="L83" s="206" t="str">
        <f>IF((COUNTIFS('Cage Tally'!$A:$A,$A83,'Cage Tally'!$C:$C,'Cage tracking'!L$4,'Cage Tally'!$E:$E, "Light")=0),"",COUNTIFS('Cage Tally'!$A:$A,$A83,'Cage Tally'!$C:$C,'Cage tracking'!L$4,'Cage Tally'!$E:$E, "Light"))</f>
        <v/>
      </c>
      <c r="M83" s="206" t="str">
        <f>IF((COUNTIFS('Cage Tally'!$A:$A,$A83,'Cage Tally'!$C:$C,'Cage tracking'!M$4,'Cage Tally'!$E:$E, "Light")=0),"",COUNTIFS('Cage Tally'!$A:$A,$A83,'Cage Tally'!$C:$C,'Cage tracking'!M$4,'Cage Tally'!$E:$E, "Light"))</f>
        <v/>
      </c>
      <c r="N83" s="206" t="str">
        <f>IF((COUNTIFS('Cage Tally'!$A:$A,$A83,'Cage Tally'!$C:$C,'Cage tracking'!N$4,'Cage Tally'!$E:$E, "Light")=0),"",COUNTIFS('Cage Tally'!$A:$A,$A83,'Cage Tally'!$C:$C,'Cage tracking'!N$4,'Cage Tally'!$E:$E, "Light"))</f>
        <v/>
      </c>
      <c r="O83" s="206" t="str">
        <f>IF((COUNTIFS('Cage Tally'!$A:$A,$A83,'Cage Tally'!$C:$C,'Cage tracking'!O$4,'Cage Tally'!$E:$E, "Light")=0),"",COUNTIFS('Cage Tally'!$A:$A,$A83,'Cage Tally'!$C:$C,'Cage tracking'!O$4,'Cage Tally'!$E:$E, "Light"))</f>
        <v/>
      </c>
      <c r="P83" s="206" t="str">
        <f>IF((COUNTIFS('Cage Tally'!$A:$A,$A83,'Cage Tally'!$C:$C,'Cage tracking'!P$4,'Cage Tally'!$E:$E, "Light")=0),"",COUNTIFS('Cage Tally'!$A:$A,$A83,'Cage Tally'!$C:$C,'Cage tracking'!P$4,'Cage Tally'!$E:$E, "Light"))</f>
        <v/>
      </c>
      <c r="Q83" s="206"/>
      <c r="R83" s="130"/>
      <c r="S83" s="206" t="str">
        <f>IF((COUNTIFS('Cage Tally'!$A:$A,$A83,'Cage Tally'!$C:$C,'Cage tracking'!S$4,'Cage Tally'!$E:$E, "decomm")=0),"",COUNTIFS('Cage Tally'!$A:$A,$A83,'Cage Tally'!$C:$C,'Cage tracking'!S$4,'Cage Tally'!$E:$E, "decomm"))</f>
        <v/>
      </c>
      <c r="T83" s="206" t="str">
        <f>IF((COUNTIFS('Cage Tally'!$A:$A,$A83,'Cage Tally'!$C:$C,'Cage tracking'!T$4,'Cage Tally'!$E:$E, "decomm")=0),"",COUNTIFS('Cage Tally'!$A:$A,$A83,'Cage Tally'!$C:$C,'Cage tracking'!T$4,'Cage Tally'!$E:$E, "decomm"))</f>
        <v/>
      </c>
      <c r="U83" s="206" t="str">
        <f>IF((COUNTIFS('Cage Tally'!$A:$A,$A83,'Cage Tally'!$C:$C,'Cage tracking'!U$4,'Cage Tally'!$E:$E, "decomm")=0),"",COUNTIFS('Cage Tally'!$A:$A,$A83,'Cage Tally'!$C:$C,'Cage tracking'!U$4,'Cage Tally'!$E:$E, "decomm"))</f>
        <v/>
      </c>
      <c r="V83" s="206" t="str">
        <f>IF((COUNTIFS('Cage Tally'!$A:$A,$A83,'Cage Tally'!$C:$C,'Cage tracking'!V$4,'Cage Tally'!$E:$E, "decomm")=0),"",COUNTIFS('Cage Tally'!$A:$A,$A83,'Cage Tally'!$C:$C,'Cage tracking'!V$4,'Cage Tally'!$E:$E, "decomm"))</f>
        <v/>
      </c>
      <c r="W83" s="206" t="str">
        <f>IF((COUNTIFS('Cage Tally'!$A:$A,$A83,'Cage Tally'!$C:$C,'Cage tracking'!W$4,'Cage Tally'!$E:$E, "decomm")=0),"",COUNTIFS('Cage Tally'!$A:$A,$A83,'Cage Tally'!$C:$C,'Cage tracking'!W$4,'Cage Tally'!$E:$E, "decomm"))</f>
        <v/>
      </c>
      <c r="X83" s="207" t="str">
        <f>IF((COUNTIFS('Cage Tally'!$A:$A,$A83,'Cage Tally'!$C:$C,'Cage tracking'!X$4,'Cage Tally'!$E:$E, "decomm")=0),"",COUNTIFS('Cage Tally'!$A:$A,$A83,'Cage Tally'!$C:$C,'Cage tracking'!X$4,'Cage Tally'!$E:$E, "decomm"))</f>
        <v/>
      </c>
      <c r="Y83" s="273"/>
      <c r="Z83" s="273"/>
      <c r="AA83" s="273"/>
      <c r="AB83" s="273"/>
      <c r="AC83" s="273"/>
      <c r="AD83" s="273"/>
      <c r="AE83" s="273"/>
      <c r="AF83" s="273"/>
      <c r="AG83" s="273"/>
      <c r="AH83" s="273"/>
      <c r="AI83" s="273"/>
      <c r="AJ83" s="273"/>
      <c r="AK83" s="273"/>
      <c r="AL83" s="273"/>
      <c r="AM83" s="273"/>
      <c r="AN83" s="273"/>
      <c r="AO83" s="273"/>
      <c r="AP83" s="273"/>
      <c r="AQ83" s="273"/>
      <c r="AR83" s="273"/>
      <c r="AS83" s="273"/>
      <c r="AT83" s="273"/>
      <c r="AU83" s="273"/>
      <c r="AV83" s="273"/>
    </row>
    <row r="84" spans="1:48" ht="12.75">
      <c r="A84" s="131">
        <v>44134</v>
      </c>
      <c r="B84" s="132" t="str">
        <f>IF((COUNTIFS('Cage Tally'!$A:$A,$A84,'Cage Tally'!$C:$C,'Cage tracking'!B$4,'Cage Tally'!$E:$E, "Dark")=0),"",COUNTIFS('Cage Tally'!$A:$A,$A84,'Cage Tally'!$C:$C,'Cage tracking'!B$4,'Cage Tally'!$E:$E, "Dark"))</f>
        <v/>
      </c>
      <c r="C84" s="132" t="str">
        <f>IF((COUNTIFS('Cage Tally'!$A:$A,$A84,'Cage Tally'!$C:$C,'Cage tracking'!C$4,'Cage Tally'!$E:$E, "Dark")=0),"",COUNTIFS('Cage Tally'!$A:$A,$A84,'Cage Tally'!$C:$C,'Cage tracking'!C$4,'Cage Tally'!$E:$E, "Dark"))</f>
        <v/>
      </c>
      <c r="D84" s="132" t="str">
        <f>IF((COUNTIFS('Cage Tally'!$A:$A,$A84,'Cage Tally'!$C:$C,'Cage tracking'!D$4,'Cage Tally'!$E:$E, "Dark")=0),"",COUNTIFS('Cage Tally'!$A:$A,$A84,'Cage Tally'!$C:$C,'Cage tracking'!D$4,'Cage Tally'!$E:$E, "Dark"))</f>
        <v/>
      </c>
      <c r="E84" s="132" t="str">
        <f>IF((COUNTIFS('Cage Tally'!$A:$A,$A84,'Cage Tally'!$C:$C,'Cage tracking'!E$4,'Cage Tally'!$E:$E, "Dark")=0),"",COUNTIFS('Cage Tally'!$A:$A,$A84,'Cage Tally'!$C:$C,'Cage tracking'!E$4,'Cage Tally'!$E:$E, "Dark"))</f>
        <v/>
      </c>
      <c r="F84" s="132" t="str">
        <f>IF((COUNTIFS('Cage Tally'!$A:$A,$A84,'Cage Tally'!$C:$C,'Cage tracking'!F$4,'Cage Tally'!$E:$E, "Dark")=0),"",COUNTIFS('Cage Tally'!$A:$A,$A84,'Cage Tally'!$C:$C,'Cage tracking'!F$4,'Cage Tally'!$E:$E, "Dark"))</f>
        <v/>
      </c>
      <c r="G84" s="132" t="str">
        <f>IF((COUNTIFS('Cage Tally'!$A:$A,$A84,'Cage Tally'!$C:$C,'Cage tracking'!G$4,'Cage Tally'!$E:$E, "Dark")=0),"",COUNTIFS('Cage Tally'!$A:$A,$A84,'Cage Tally'!$C:$C,'Cage tracking'!G$4,'Cage Tally'!$E:$E, "Dark"))</f>
        <v/>
      </c>
      <c r="H84" s="204"/>
      <c r="I84" s="128"/>
      <c r="J84" s="204"/>
      <c r="K84" s="132" t="str">
        <f>IF((COUNTIFS('Cage Tally'!$A:$A,$A84,'Cage Tally'!$C:$C,'Cage tracking'!K$4,'Cage Tally'!$E:$E, "Light")=0),"",COUNTIFS('Cage Tally'!$A:$A,$A84,'Cage Tally'!$C:$C,'Cage tracking'!K$4,'Cage Tally'!$E:$E, "Light"))</f>
        <v/>
      </c>
      <c r="L84" s="132" t="str">
        <f>IF((COUNTIFS('Cage Tally'!$A:$A,$A84,'Cage Tally'!$C:$C,'Cage tracking'!L$4,'Cage Tally'!$E:$E, "Light")=0),"",COUNTIFS('Cage Tally'!$A:$A,$A84,'Cage Tally'!$C:$C,'Cage tracking'!L$4,'Cage Tally'!$E:$E, "Light"))</f>
        <v/>
      </c>
      <c r="M84" s="132" t="str">
        <f>IF((COUNTIFS('Cage Tally'!$A:$A,$A84,'Cage Tally'!$C:$C,'Cage tracking'!M$4,'Cage Tally'!$E:$E, "Light")=0),"",COUNTIFS('Cage Tally'!$A:$A,$A84,'Cage Tally'!$C:$C,'Cage tracking'!M$4,'Cage Tally'!$E:$E, "Light"))</f>
        <v/>
      </c>
      <c r="N84" s="132" t="str">
        <f>IF((COUNTIFS('Cage Tally'!$A:$A,$A84,'Cage Tally'!$C:$C,'Cage tracking'!N$4,'Cage Tally'!$E:$E, "Light")=0),"",COUNTIFS('Cage Tally'!$A:$A,$A84,'Cage Tally'!$C:$C,'Cage tracking'!N$4,'Cage Tally'!$E:$E, "Light"))</f>
        <v/>
      </c>
      <c r="O84" s="132" t="str">
        <f>IF((COUNTIFS('Cage Tally'!$A:$A,$A84,'Cage Tally'!$C:$C,'Cage tracking'!O$4,'Cage Tally'!$E:$E, "Light")=0),"",COUNTIFS('Cage Tally'!$A:$A,$A84,'Cage Tally'!$C:$C,'Cage tracking'!O$4,'Cage Tally'!$E:$E, "Light"))</f>
        <v/>
      </c>
      <c r="P84" s="132" t="str">
        <f>IF((COUNTIFS('Cage Tally'!$A:$A,$A84,'Cage Tally'!$C:$C,'Cage tracking'!P$4,'Cage Tally'!$E:$E, "Light")=0),"",COUNTIFS('Cage Tally'!$A:$A,$A84,'Cage Tally'!$C:$C,'Cage tracking'!P$4,'Cage Tally'!$E:$E, "Light"))</f>
        <v/>
      </c>
      <c r="Q84" s="135"/>
      <c r="R84" s="205"/>
      <c r="S84" s="132" t="str">
        <f>IF((COUNTIFS('Cage Tally'!$A:$A,$A84,'Cage Tally'!$C:$C,'Cage tracking'!S$4,'Cage Tally'!$E:$E, "decomm")=0),"",COUNTIFS('Cage Tally'!$A:$A,$A84,'Cage Tally'!$C:$C,'Cage tracking'!S$4,'Cage Tally'!$E:$E, "decomm"))</f>
        <v/>
      </c>
      <c r="T84" s="132" t="str">
        <f>IF((COUNTIFS('Cage Tally'!$A:$A,$A84,'Cage Tally'!$C:$C,'Cage tracking'!T$4,'Cage Tally'!$E:$E, "decomm")=0),"",COUNTIFS('Cage Tally'!$A:$A,$A84,'Cage Tally'!$C:$C,'Cage tracking'!T$4,'Cage Tally'!$E:$E, "decomm"))</f>
        <v/>
      </c>
      <c r="U84" s="132" t="str">
        <f>IF((COUNTIFS('Cage Tally'!$A:$A,$A84,'Cage Tally'!$C:$C,'Cage tracking'!U$4,'Cage Tally'!$E:$E, "decomm")=0),"",COUNTIFS('Cage Tally'!$A:$A,$A84,'Cage Tally'!$C:$C,'Cage tracking'!U$4,'Cage Tally'!$E:$E, "decomm"))</f>
        <v/>
      </c>
      <c r="V84" s="132" t="str">
        <f>IF((COUNTIFS('Cage Tally'!$A:$A,$A84,'Cage Tally'!$C:$C,'Cage tracking'!V$4,'Cage Tally'!$E:$E, "decomm")=0),"",COUNTIFS('Cage Tally'!$A:$A,$A84,'Cage Tally'!$C:$C,'Cage tracking'!V$4,'Cage Tally'!$E:$E, "decomm"))</f>
        <v/>
      </c>
      <c r="W84" s="132" t="str">
        <f>IF((COUNTIFS('Cage Tally'!$A:$A,$A84,'Cage Tally'!$C:$C,'Cage tracking'!W$4,'Cage Tally'!$E:$E, "decomm")=0),"",COUNTIFS('Cage Tally'!$A:$A,$A84,'Cage Tally'!$C:$C,'Cage tracking'!W$4,'Cage Tally'!$E:$E, "decomm"))</f>
        <v/>
      </c>
      <c r="X84" s="142" t="str">
        <f>IF((COUNTIFS('Cage Tally'!$A:$A,$A84,'Cage Tally'!$C:$C,'Cage tracking'!X$4,'Cage Tally'!$E:$E, "decomm")=0),"",COUNTIFS('Cage Tally'!$A:$A,$A84,'Cage Tally'!$C:$C,'Cage tracking'!X$4,'Cage Tally'!$E:$E, "decomm"))</f>
        <v/>
      </c>
      <c r="Y84" s="273"/>
      <c r="Z84" s="273"/>
      <c r="AA84" s="273"/>
      <c r="AB84" s="273"/>
      <c r="AC84" s="273"/>
      <c r="AD84" s="273"/>
      <c r="AE84" s="273"/>
      <c r="AF84" s="273"/>
      <c r="AG84" s="273"/>
      <c r="AH84" s="273"/>
      <c r="AI84" s="273"/>
      <c r="AJ84" s="273"/>
      <c r="AK84" s="273"/>
      <c r="AL84" s="273"/>
      <c r="AM84" s="273"/>
      <c r="AN84" s="273"/>
      <c r="AO84" s="273"/>
      <c r="AP84" s="273"/>
      <c r="AQ84" s="273"/>
      <c r="AR84" s="273"/>
      <c r="AS84" s="273"/>
      <c r="AT84" s="273"/>
      <c r="AU84" s="273"/>
      <c r="AV84" s="273"/>
    </row>
    <row r="85" spans="1:48" ht="12.75">
      <c r="A85" s="131">
        <v>44135</v>
      </c>
      <c r="B85" s="206" t="str">
        <f>IF((COUNTIFS('Cage Tally'!$A:$A,$A85,'Cage Tally'!$C:$C,'Cage tracking'!B$4,'Cage Tally'!$E:$E, "Dark")=0),"",COUNTIFS('Cage Tally'!$A:$A,$A85,'Cage Tally'!$C:$C,'Cage tracking'!B$4,'Cage Tally'!$E:$E, "Dark"))</f>
        <v/>
      </c>
      <c r="C85" s="206" t="str">
        <f>IF((COUNTIFS('Cage Tally'!$A:$A,$A85,'Cage Tally'!$C:$C,'Cage tracking'!C$4,'Cage Tally'!$E:$E, "Dark")=0),"",COUNTIFS('Cage Tally'!$A:$A,$A85,'Cage Tally'!$C:$C,'Cage tracking'!C$4,'Cage Tally'!$E:$E, "Dark"))</f>
        <v/>
      </c>
      <c r="D85" s="206" t="str">
        <f>IF((COUNTIFS('Cage Tally'!$A:$A,$A85,'Cage Tally'!$C:$C,'Cage tracking'!D$4,'Cage Tally'!$E:$E, "Dark")=0),"",COUNTIFS('Cage Tally'!$A:$A,$A85,'Cage Tally'!$C:$C,'Cage tracking'!D$4,'Cage Tally'!$E:$E, "Dark"))</f>
        <v/>
      </c>
      <c r="E85" s="206" t="str">
        <f>IF((COUNTIFS('Cage Tally'!$A:$A,$A85,'Cage Tally'!$C:$C,'Cage tracking'!E$4,'Cage Tally'!$E:$E, "Dark")=0),"",COUNTIFS('Cage Tally'!$A:$A,$A85,'Cage Tally'!$C:$C,'Cage tracking'!E$4,'Cage Tally'!$E:$E, "Dark"))</f>
        <v/>
      </c>
      <c r="F85" s="206" t="str">
        <f>IF((COUNTIFS('Cage Tally'!$A:$A,$A85,'Cage Tally'!$C:$C,'Cage tracking'!F$4,'Cage Tally'!$E:$E, "Dark")=0),"",COUNTIFS('Cage Tally'!$A:$A,$A85,'Cage Tally'!$C:$C,'Cage tracking'!F$4,'Cage Tally'!$E:$E, "Dark"))</f>
        <v/>
      </c>
      <c r="G85" s="206" t="str">
        <f>IF((COUNTIFS('Cage Tally'!$A:$A,$A85,'Cage Tally'!$C:$C,'Cage tracking'!G$4,'Cage Tally'!$E:$E, "Dark")=0),"",COUNTIFS('Cage Tally'!$A:$A,$A85,'Cage Tally'!$C:$C,'Cage tracking'!G$4,'Cage Tally'!$E:$E, "Dark"))</f>
        <v/>
      </c>
      <c r="H85" s="129"/>
      <c r="I85" s="128"/>
      <c r="J85" s="31"/>
      <c r="K85" s="206" t="str">
        <f>IF((COUNTIFS('Cage Tally'!$A:$A,$A85,'Cage Tally'!$C:$C,'Cage tracking'!K$4,'Cage Tally'!$E:$E, "Light")=0),"",COUNTIFS('Cage Tally'!$A:$A,$A85,'Cage Tally'!$C:$C,'Cage tracking'!K$4,'Cage Tally'!$E:$E, "Light"))</f>
        <v/>
      </c>
      <c r="L85" s="206" t="str">
        <f>IF((COUNTIFS('Cage Tally'!$A:$A,$A85,'Cage Tally'!$C:$C,'Cage tracking'!L$4,'Cage Tally'!$E:$E, "Light")=0),"",COUNTIFS('Cage Tally'!$A:$A,$A85,'Cage Tally'!$C:$C,'Cage tracking'!L$4,'Cage Tally'!$E:$E, "Light"))</f>
        <v/>
      </c>
      <c r="M85" s="206" t="str">
        <f>IF((COUNTIFS('Cage Tally'!$A:$A,$A85,'Cage Tally'!$C:$C,'Cage tracking'!M$4,'Cage Tally'!$E:$E, "Light")=0),"",COUNTIFS('Cage Tally'!$A:$A,$A85,'Cage Tally'!$C:$C,'Cage tracking'!M$4,'Cage Tally'!$E:$E, "Light"))</f>
        <v/>
      </c>
      <c r="N85" s="206" t="str">
        <f>IF((COUNTIFS('Cage Tally'!$A:$A,$A85,'Cage Tally'!$C:$C,'Cage tracking'!N$4,'Cage Tally'!$E:$E, "Light")=0),"",COUNTIFS('Cage Tally'!$A:$A,$A85,'Cage Tally'!$C:$C,'Cage tracking'!N$4,'Cage Tally'!$E:$E, "Light"))</f>
        <v/>
      </c>
      <c r="O85" s="206" t="str">
        <f>IF((COUNTIFS('Cage Tally'!$A:$A,$A85,'Cage Tally'!$C:$C,'Cage tracking'!O$4,'Cage Tally'!$E:$E, "Light")=0),"",COUNTIFS('Cage Tally'!$A:$A,$A85,'Cage Tally'!$C:$C,'Cage tracking'!O$4,'Cage Tally'!$E:$E, "Light"))</f>
        <v/>
      </c>
      <c r="P85" s="206" t="str">
        <f>IF((COUNTIFS('Cage Tally'!$A:$A,$A85,'Cage Tally'!$C:$C,'Cage tracking'!P$4,'Cage Tally'!$E:$E, "Light")=0),"",COUNTIFS('Cage Tally'!$A:$A,$A85,'Cage Tally'!$C:$C,'Cage tracking'!P$4,'Cage Tally'!$E:$E, "Light"))</f>
        <v/>
      </c>
      <c r="Q85" s="206"/>
      <c r="R85" s="130"/>
      <c r="S85" s="206" t="str">
        <f>IF((COUNTIFS('Cage Tally'!$A:$A,$A85,'Cage Tally'!$C:$C,'Cage tracking'!S$4,'Cage Tally'!$E:$E, "decomm")=0),"",COUNTIFS('Cage Tally'!$A:$A,$A85,'Cage Tally'!$C:$C,'Cage tracking'!S$4,'Cage Tally'!$E:$E, "decomm"))</f>
        <v/>
      </c>
      <c r="T85" s="206" t="str">
        <f>IF((COUNTIFS('Cage Tally'!$A:$A,$A85,'Cage Tally'!$C:$C,'Cage tracking'!T$4,'Cage Tally'!$E:$E, "decomm")=0),"",COUNTIFS('Cage Tally'!$A:$A,$A85,'Cage Tally'!$C:$C,'Cage tracking'!T$4,'Cage Tally'!$E:$E, "decomm"))</f>
        <v/>
      </c>
      <c r="U85" s="206" t="str">
        <f>IF((COUNTIFS('Cage Tally'!$A:$A,$A85,'Cage Tally'!$C:$C,'Cage tracking'!U$4,'Cage Tally'!$E:$E, "decomm")=0),"",COUNTIFS('Cage Tally'!$A:$A,$A85,'Cage Tally'!$C:$C,'Cage tracking'!U$4,'Cage Tally'!$E:$E, "decomm"))</f>
        <v/>
      </c>
      <c r="V85" s="206" t="str">
        <f>IF((COUNTIFS('Cage Tally'!$A:$A,$A85,'Cage Tally'!$C:$C,'Cage tracking'!V$4,'Cage Tally'!$E:$E, "decomm")=0),"",COUNTIFS('Cage Tally'!$A:$A,$A85,'Cage Tally'!$C:$C,'Cage tracking'!V$4,'Cage Tally'!$E:$E, "decomm"))</f>
        <v/>
      </c>
      <c r="W85" s="206" t="str">
        <f>IF((COUNTIFS('Cage Tally'!$A:$A,$A85,'Cage Tally'!$C:$C,'Cage tracking'!W$4,'Cage Tally'!$E:$E, "decomm")=0),"",COUNTIFS('Cage Tally'!$A:$A,$A85,'Cage Tally'!$C:$C,'Cage tracking'!W$4,'Cage Tally'!$E:$E, "decomm"))</f>
        <v/>
      </c>
      <c r="X85" s="207" t="str">
        <f>IF((COUNTIFS('Cage Tally'!$A:$A,$A85,'Cage Tally'!$C:$C,'Cage tracking'!X$4,'Cage Tally'!$E:$E, "decomm")=0),"",COUNTIFS('Cage Tally'!$A:$A,$A85,'Cage Tally'!$C:$C,'Cage tracking'!X$4,'Cage Tally'!$E:$E, "decomm"))</f>
        <v/>
      </c>
      <c r="Y85" s="273"/>
      <c r="Z85" s="273"/>
      <c r="AA85" s="273"/>
      <c r="AB85" s="273"/>
      <c r="AC85" s="273"/>
      <c r="AD85" s="273"/>
      <c r="AE85" s="273"/>
      <c r="AF85" s="273"/>
      <c r="AG85" s="273"/>
      <c r="AH85" s="273"/>
      <c r="AI85" s="273"/>
      <c r="AJ85" s="273"/>
      <c r="AK85" s="273"/>
      <c r="AL85" s="273"/>
      <c r="AM85" s="273"/>
      <c r="AN85" s="273"/>
      <c r="AO85" s="273"/>
      <c r="AP85" s="273"/>
      <c r="AQ85" s="273"/>
      <c r="AR85" s="273"/>
      <c r="AS85" s="273"/>
      <c r="AT85" s="273"/>
      <c r="AU85" s="273"/>
      <c r="AV85" s="273"/>
    </row>
    <row r="86" spans="1:48" ht="12.75">
      <c r="A86" s="131">
        <v>44136</v>
      </c>
      <c r="B86" s="132" t="str">
        <f>IF((COUNTIFS('Cage Tally'!$A:$A,$A86,'Cage Tally'!$C:$C,'Cage tracking'!B$4,'Cage Tally'!$E:$E, "Dark")=0),"",COUNTIFS('Cage Tally'!$A:$A,$A86,'Cage Tally'!$C:$C,'Cage tracking'!B$4,'Cage Tally'!$E:$E, "Dark"))</f>
        <v/>
      </c>
      <c r="C86" s="132" t="str">
        <f>IF((COUNTIFS('Cage Tally'!$A:$A,$A86,'Cage Tally'!$C:$C,'Cage tracking'!C$4,'Cage Tally'!$E:$E, "Dark")=0),"",COUNTIFS('Cage Tally'!$A:$A,$A86,'Cage Tally'!$C:$C,'Cage tracking'!C$4,'Cage Tally'!$E:$E, "Dark"))</f>
        <v/>
      </c>
      <c r="D86" s="132" t="str">
        <f>IF((COUNTIFS('Cage Tally'!$A:$A,$A86,'Cage Tally'!$C:$C,'Cage tracking'!D$4,'Cage Tally'!$E:$E, "Dark")=0),"",COUNTIFS('Cage Tally'!$A:$A,$A86,'Cage Tally'!$C:$C,'Cage tracking'!D$4,'Cage Tally'!$E:$E, "Dark"))</f>
        <v/>
      </c>
      <c r="E86" s="132" t="str">
        <f>IF((COUNTIFS('Cage Tally'!$A:$A,$A86,'Cage Tally'!$C:$C,'Cage tracking'!E$4,'Cage Tally'!$E:$E, "Dark")=0),"",COUNTIFS('Cage Tally'!$A:$A,$A86,'Cage Tally'!$C:$C,'Cage tracking'!E$4,'Cage Tally'!$E:$E, "Dark"))</f>
        <v/>
      </c>
      <c r="F86" s="132" t="str">
        <f>IF((COUNTIFS('Cage Tally'!$A:$A,$A86,'Cage Tally'!$C:$C,'Cage tracking'!F$4,'Cage Tally'!$E:$E, "Dark")=0),"",COUNTIFS('Cage Tally'!$A:$A,$A86,'Cage Tally'!$C:$C,'Cage tracking'!F$4,'Cage Tally'!$E:$E, "Dark"))</f>
        <v/>
      </c>
      <c r="G86" s="132" t="str">
        <f>IF((COUNTIFS('Cage Tally'!$A:$A,$A86,'Cage Tally'!$C:$C,'Cage tracking'!G$4,'Cage Tally'!$E:$E, "Dark")=0),"",COUNTIFS('Cage Tally'!$A:$A,$A86,'Cage Tally'!$C:$C,'Cage tracking'!G$4,'Cage Tally'!$E:$E, "Dark"))</f>
        <v/>
      </c>
      <c r="H86" s="204"/>
      <c r="I86" s="128"/>
      <c r="J86" s="204"/>
      <c r="K86" s="132" t="str">
        <f>IF((COUNTIFS('Cage Tally'!$A:$A,$A86,'Cage Tally'!$C:$C,'Cage tracking'!K$4,'Cage Tally'!$E:$E, "Light")=0),"",COUNTIFS('Cage Tally'!$A:$A,$A86,'Cage Tally'!$C:$C,'Cage tracking'!K$4,'Cage Tally'!$E:$E, "Light"))</f>
        <v/>
      </c>
      <c r="L86" s="132" t="str">
        <f>IF((COUNTIFS('Cage Tally'!$A:$A,$A86,'Cage Tally'!$C:$C,'Cage tracking'!L$4,'Cage Tally'!$E:$E, "Light")=0),"",COUNTIFS('Cage Tally'!$A:$A,$A86,'Cage Tally'!$C:$C,'Cage tracking'!L$4,'Cage Tally'!$E:$E, "Light"))</f>
        <v/>
      </c>
      <c r="M86" s="132" t="str">
        <f>IF((COUNTIFS('Cage Tally'!$A:$A,$A86,'Cage Tally'!$C:$C,'Cage tracking'!M$4,'Cage Tally'!$E:$E, "Light")=0),"",COUNTIFS('Cage Tally'!$A:$A,$A86,'Cage Tally'!$C:$C,'Cage tracking'!M$4,'Cage Tally'!$E:$E, "Light"))</f>
        <v/>
      </c>
      <c r="N86" s="132" t="str">
        <f>IF((COUNTIFS('Cage Tally'!$A:$A,$A86,'Cage Tally'!$C:$C,'Cage tracking'!N$4,'Cage Tally'!$E:$E, "Light")=0),"",COUNTIFS('Cage Tally'!$A:$A,$A86,'Cage Tally'!$C:$C,'Cage tracking'!N$4,'Cage Tally'!$E:$E, "Light"))</f>
        <v/>
      </c>
      <c r="O86" s="132" t="str">
        <f>IF((COUNTIFS('Cage Tally'!$A:$A,$A86,'Cage Tally'!$C:$C,'Cage tracking'!O$4,'Cage Tally'!$E:$E, "Light")=0),"",COUNTIFS('Cage Tally'!$A:$A,$A86,'Cage Tally'!$C:$C,'Cage tracking'!O$4,'Cage Tally'!$E:$E, "Light"))</f>
        <v/>
      </c>
      <c r="P86" s="132" t="str">
        <f>IF((COUNTIFS('Cage Tally'!$A:$A,$A86,'Cage Tally'!$C:$C,'Cage tracking'!P$4,'Cage Tally'!$E:$E, "Light")=0),"",COUNTIFS('Cage Tally'!$A:$A,$A86,'Cage Tally'!$C:$C,'Cage tracking'!P$4,'Cage Tally'!$E:$E, "Light"))</f>
        <v/>
      </c>
      <c r="Q86" s="135"/>
      <c r="R86" s="205"/>
      <c r="S86" s="132" t="str">
        <f>IF((COUNTIFS('Cage Tally'!$A:$A,$A86,'Cage Tally'!$C:$C,'Cage tracking'!S$4,'Cage Tally'!$E:$E, "decomm")=0),"",COUNTIFS('Cage Tally'!$A:$A,$A86,'Cage Tally'!$C:$C,'Cage tracking'!S$4,'Cage Tally'!$E:$E, "decomm"))</f>
        <v/>
      </c>
      <c r="T86" s="132" t="str">
        <f>IF((COUNTIFS('Cage Tally'!$A:$A,$A86,'Cage Tally'!$C:$C,'Cage tracking'!T$4,'Cage Tally'!$E:$E, "decomm")=0),"",COUNTIFS('Cage Tally'!$A:$A,$A86,'Cage Tally'!$C:$C,'Cage tracking'!T$4,'Cage Tally'!$E:$E, "decomm"))</f>
        <v/>
      </c>
      <c r="U86" s="132" t="str">
        <f>IF((COUNTIFS('Cage Tally'!$A:$A,$A86,'Cage Tally'!$C:$C,'Cage tracking'!U$4,'Cage Tally'!$E:$E, "decomm")=0),"",COUNTIFS('Cage Tally'!$A:$A,$A86,'Cage Tally'!$C:$C,'Cage tracking'!U$4,'Cage Tally'!$E:$E, "decomm"))</f>
        <v/>
      </c>
      <c r="V86" s="132" t="str">
        <f>IF((COUNTIFS('Cage Tally'!$A:$A,$A86,'Cage Tally'!$C:$C,'Cage tracking'!V$4,'Cage Tally'!$E:$E, "decomm")=0),"",COUNTIFS('Cage Tally'!$A:$A,$A86,'Cage Tally'!$C:$C,'Cage tracking'!V$4,'Cage Tally'!$E:$E, "decomm"))</f>
        <v/>
      </c>
      <c r="W86" s="132" t="str">
        <f>IF((COUNTIFS('Cage Tally'!$A:$A,$A86,'Cage Tally'!$C:$C,'Cage tracking'!W$4,'Cage Tally'!$E:$E, "decomm")=0),"",COUNTIFS('Cage Tally'!$A:$A,$A86,'Cage Tally'!$C:$C,'Cage tracking'!W$4,'Cage Tally'!$E:$E, "decomm"))</f>
        <v/>
      </c>
      <c r="X86" s="142" t="str">
        <f>IF((COUNTIFS('Cage Tally'!$A:$A,$A86,'Cage Tally'!$C:$C,'Cage tracking'!X$4,'Cage Tally'!$E:$E, "decomm")=0),"",COUNTIFS('Cage Tally'!$A:$A,$A86,'Cage Tally'!$C:$C,'Cage tracking'!X$4,'Cage Tally'!$E:$E, "decomm"))</f>
        <v/>
      </c>
      <c r="Y86" s="273"/>
      <c r="Z86" s="273"/>
      <c r="AA86" s="273"/>
      <c r="AB86" s="273"/>
      <c r="AC86" s="273"/>
      <c r="AD86" s="273"/>
      <c r="AE86" s="273"/>
      <c r="AF86" s="273"/>
      <c r="AG86" s="273"/>
      <c r="AH86" s="273"/>
      <c r="AI86" s="273"/>
      <c r="AJ86" s="273"/>
      <c r="AK86" s="273"/>
      <c r="AL86" s="273"/>
      <c r="AM86" s="273"/>
      <c r="AN86" s="273"/>
      <c r="AO86" s="273"/>
      <c r="AP86" s="273"/>
      <c r="AQ86" s="273"/>
      <c r="AR86" s="273"/>
      <c r="AS86" s="273"/>
      <c r="AT86" s="273"/>
      <c r="AU86" s="273"/>
      <c r="AV86" s="273"/>
    </row>
    <row r="87" spans="1:48" ht="12.75">
      <c r="A87" s="131">
        <v>44137</v>
      </c>
      <c r="B87" s="206" t="str">
        <f>IF((COUNTIFS('Cage Tally'!$A:$A,$A87,'Cage Tally'!$C:$C,'Cage tracking'!B$4,'Cage Tally'!$E:$E, "Dark")=0),"",COUNTIFS('Cage Tally'!$A:$A,$A87,'Cage Tally'!$C:$C,'Cage tracking'!B$4,'Cage Tally'!$E:$E, "Dark"))</f>
        <v/>
      </c>
      <c r="C87" s="206" t="str">
        <f>IF((COUNTIFS('Cage Tally'!$A:$A,$A87,'Cage Tally'!$C:$C,'Cage tracking'!C$4,'Cage Tally'!$E:$E, "Dark")=0),"",COUNTIFS('Cage Tally'!$A:$A,$A87,'Cage Tally'!$C:$C,'Cage tracking'!C$4,'Cage Tally'!$E:$E, "Dark"))</f>
        <v/>
      </c>
      <c r="D87" s="206" t="str">
        <f>IF((COUNTIFS('Cage Tally'!$A:$A,$A87,'Cage Tally'!$C:$C,'Cage tracking'!D$4,'Cage Tally'!$E:$E, "Dark")=0),"",COUNTIFS('Cage Tally'!$A:$A,$A87,'Cage Tally'!$C:$C,'Cage tracking'!D$4,'Cage Tally'!$E:$E, "Dark"))</f>
        <v/>
      </c>
      <c r="E87" s="206" t="str">
        <f>IF((COUNTIFS('Cage Tally'!$A:$A,$A87,'Cage Tally'!$C:$C,'Cage tracking'!E$4,'Cage Tally'!$E:$E, "Dark")=0),"",COUNTIFS('Cage Tally'!$A:$A,$A87,'Cage Tally'!$C:$C,'Cage tracking'!E$4,'Cage Tally'!$E:$E, "Dark"))</f>
        <v/>
      </c>
      <c r="F87" s="206" t="str">
        <f>IF((COUNTIFS('Cage Tally'!$A:$A,$A87,'Cage Tally'!$C:$C,'Cage tracking'!F$4,'Cage Tally'!$E:$E, "Dark")=0),"",COUNTIFS('Cage Tally'!$A:$A,$A87,'Cage Tally'!$C:$C,'Cage tracking'!F$4,'Cage Tally'!$E:$E, "Dark"))</f>
        <v/>
      </c>
      <c r="G87" s="206" t="str">
        <f>IF((COUNTIFS('Cage Tally'!$A:$A,$A87,'Cage Tally'!$C:$C,'Cage tracking'!G$4,'Cage Tally'!$E:$E, "Dark")=0),"",COUNTIFS('Cage Tally'!$A:$A,$A87,'Cage Tally'!$C:$C,'Cage tracking'!G$4,'Cage Tally'!$E:$E, "Dark"))</f>
        <v/>
      </c>
      <c r="H87" s="129"/>
      <c r="I87" s="128"/>
      <c r="J87" s="31"/>
      <c r="K87" s="206" t="str">
        <f>IF((COUNTIFS('Cage Tally'!$A:$A,$A87,'Cage Tally'!$C:$C,'Cage tracking'!K$4,'Cage Tally'!$E:$E, "Light")=0),"",COUNTIFS('Cage Tally'!$A:$A,$A87,'Cage Tally'!$C:$C,'Cage tracking'!K$4,'Cage Tally'!$E:$E, "Light"))</f>
        <v/>
      </c>
      <c r="L87" s="206" t="str">
        <f>IF((COUNTIFS('Cage Tally'!$A:$A,$A87,'Cage Tally'!$C:$C,'Cage tracking'!L$4,'Cage Tally'!$E:$E, "Light")=0),"",COUNTIFS('Cage Tally'!$A:$A,$A87,'Cage Tally'!$C:$C,'Cage tracking'!L$4,'Cage Tally'!$E:$E, "Light"))</f>
        <v/>
      </c>
      <c r="M87" s="206" t="str">
        <f>IF((COUNTIFS('Cage Tally'!$A:$A,$A87,'Cage Tally'!$C:$C,'Cage tracking'!M$4,'Cage Tally'!$E:$E, "Light")=0),"",COUNTIFS('Cage Tally'!$A:$A,$A87,'Cage Tally'!$C:$C,'Cage tracking'!M$4,'Cage Tally'!$E:$E, "Light"))</f>
        <v/>
      </c>
      <c r="N87" s="206" t="str">
        <f>IF((COUNTIFS('Cage Tally'!$A:$A,$A87,'Cage Tally'!$C:$C,'Cage tracking'!N$4,'Cage Tally'!$E:$E, "Light")=0),"",COUNTIFS('Cage Tally'!$A:$A,$A87,'Cage Tally'!$C:$C,'Cage tracking'!N$4,'Cage Tally'!$E:$E, "Light"))</f>
        <v/>
      </c>
      <c r="O87" s="206" t="str">
        <f>IF((COUNTIFS('Cage Tally'!$A:$A,$A87,'Cage Tally'!$C:$C,'Cage tracking'!O$4,'Cage Tally'!$E:$E, "Light")=0),"",COUNTIFS('Cage Tally'!$A:$A,$A87,'Cage Tally'!$C:$C,'Cage tracking'!O$4,'Cage Tally'!$E:$E, "Light"))</f>
        <v/>
      </c>
      <c r="P87" s="206" t="str">
        <f>IF((COUNTIFS('Cage Tally'!$A:$A,$A87,'Cage Tally'!$C:$C,'Cage tracking'!P$4,'Cage Tally'!$E:$E, "Light")=0),"",COUNTIFS('Cage Tally'!$A:$A,$A87,'Cage Tally'!$C:$C,'Cage tracking'!P$4,'Cage Tally'!$E:$E, "Light"))</f>
        <v/>
      </c>
      <c r="Q87" s="206"/>
      <c r="R87" s="130"/>
      <c r="S87" s="206" t="str">
        <f>IF((COUNTIFS('Cage Tally'!$A:$A,$A87,'Cage Tally'!$C:$C,'Cage tracking'!S$4,'Cage Tally'!$E:$E, "decomm")=0),"",COUNTIFS('Cage Tally'!$A:$A,$A87,'Cage Tally'!$C:$C,'Cage tracking'!S$4,'Cage Tally'!$E:$E, "decomm"))</f>
        <v/>
      </c>
      <c r="T87" s="206" t="str">
        <f>IF((COUNTIFS('Cage Tally'!$A:$A,$A87,'Cage Tally'!$C:$C,'Cage tracking'!T$4,'Cage Tally'!$E:$E, "decomm")=0),"",COUNTIFS('Cage Tally'!$A:$A,$A87,'Cage Tally'!$C:$C,'Cage tracking'!T$4,'Cage Tally'!$E:$E, "decomm"))</f>
        <v/>
      </c>
      <c r="U87" s="206" t="str">
        <f>IF((COUNTIFS('Cage Tally'!$A:$A,$A87,'Cage Tally'!$C:$C,'Cage tracking'!U$4,'Cage Tally'!$E:$E, "decomm")=0),"",COUNTIFS('Cage Tally'!$A:$A,$A87,'Cage Tally'!$C:$C,'Cage tracking'!U$4,'Cage Tally'!$E:$E, "decomm"))</f>
        <v/>
      </c>
      <c r="V87" s="206" t="str">
        <f>IF((COUNTIFS('Cage Tally'!$A:$A,$A87,'Cage Tally'!$C:$C,'Cage tracking'!V$4,'Cage Tally'!$E:$E, "decomm")=0),"",COUNTIFS('Cage Tally'!$A:$A,$A87,'Cage Tally'!$C:$C,'Cage tracking'!V$4,'Cage Tally'!$E:$E, "decomm"))</f>
        <v/>
      </c>
      <c r="W87" s="206" t="str">
        <f>IF((COUNTIFS('Cage Tally'!$A:$A,$A87,'Cage Tally'!$C:$C,'Cage tracking'!W$4,'Cage Tally'!$E:$E, "decomm")=0),"",COUNTIFS('Cage Tally'!$A:$A,$A87,'Cage Tally'!$C:$C,'Cage tracking'!W$4,'Cage Tally'!$E:$E, "decomm"))</f>
        <v/>
      </c>
      <c r="X87" s="207" t="str">
        <f>IF((COUNTIFS('Cage Tally'!$A:$A,$A87,'Cage Tally'!$C:$C,'Cage tracking'!X$4,'Cage Tally'!$E:$E, "decomm")=0),"",COUNTIFS('Cage Tally'!$A:$A,$A87,'Cage Tally'!$C:$C,'Cage tracking'!X$4,'Cage Tally'!$E:$E, "decomm"))</f>
        <v/>
      </c>
      <c r="Y87" s="273"/>
      <c r="Z87" s="273"/>
      <c r="AA87" s="273"/>
      <c r="AB87" s="273"/>
      <c r="AC87" s="273"/>
      <c r="AD87" s="273"/>
      <c r="AE87" s="273"/>
      <c r="AF87" s="273"/>
      <c r="AG87" s="273"/>
      <c r="AH87" s="273"/>
      <c r="AI87" s="273"/>
      <c r="AJ87" s="273"/>
      <c r="AK87" s="273"/>
      <c r="AL87" s="273"/>
      <c r="AM87" s="273"/>
      <c r="AN87" s="273"/>
      <c r="AO87" s="273"/>
      <c r="AP87" s="273"/>
      <c r="AQ87" s="273"/>
      <c r="AR87" s="273"/>
      <c r="AS87" s="273"/>
      <c r="AT87" s="273"/>
      <c r="AU87" s="273"/>
      <c r="AV87" s="273"/>
    </row>
    <row r="88" spans="1:48" ht="12.75">
      <c r="A88" s="131">
        <v>44138</v>
      </c>
      <c r="B88" s="132" t="str">
        <f>IF((COUNTIFS('Cage Tally'!$A:$A,$A88,'Cage Tally'!$C:$C,'Cage tracking'!B$4,'Cage Tally'!$E:$E, "Dark")=0),"",COUNTIFS('Cage Tally'!$A:$A,$A88,'Cage Tally'!$C:$C,'Cage tracking'!B$4,'Cage Tally'!$E:$E, "Dark"))</f>
        <v/>
      </c>
      <c r="C88" s="132" t="str">
        <f>IF((COUNTIFS('Cage Tally'!$A:$A,$A88,'Cage Tally'!$C:$C,'Cage tracking'!C$4,'Cage Tally'!$E:$E, "Dark")=0),"",COUNTIFS('Cage Tally'!$A:$A,$A88,'Cage Tally'!$C:$C,'Cage tracking'!C$4,'Cage Tally'!$E:$E, "Dark"))</f>
        <v/>
      </c>
      <c r="D88" s="132" t="str">
        <f>IF((COUNTIFS('Cage Tally'!$A:$A,$A88,'Cage Tally'!$C:$C,'Cage tracking'!D$4,'Cage Tally'!$E:$E, "Dark")=0),"",COUNTIFS('Cage Tally'!$A:$A,$A88,'Cage Tally'!$C:$C,'Cage tracking'!D$4,'Cage Tally'!$E:$E, "Dark"))</f>
        <v/>
      </c>
      <c r="E88" s="132" t="str">
        <f>IF((COUNTIFS('Cage Tally'!$A:$A,$A88,'Cage Tally'!$C:$C,'Cage tracking'!E$4,'Cage Tally'!$E:$E, "Dark")=0),"",COUNTIFS('Cage Tally'!$A:$A,$A88,'Cage Tally'!$C:$C,'Cage tracking'!E$4,'Cage Tally'!$E:$E, "Dark"))</f>
        <v/>
      </c>
      <c r="F88" s="132" t="str">
        <f>IF((COUNTIFS('Cage Tally'!$A:$A,$A88,'Cage Tally'!$C:$C,'Cage tracking'!F$4,'Cage Tally'!$E:$E, "Dark")=0),"",COUNTIFS('Cage Tally'!$A:$A,$A88,'Cage Tally'!$C:$C,'Cage tracking'!F$4,'Cage Tally'!$E:$E, "Dark"))</f>
        <v/>
      </c>
      <c r="G88" s="132" t="str">
        <f>IF((COUNTIFS('Cage Tally'!$A:$A,$A88,'Cage Tally'!$C:$C,'Cage tracking'!G$4,'Cage Tally'!$E:$E, "Dark")=0),"",COUNTIFS('Cage Tally'!$A:$A,$A88,'Cage Tally'!$C:$C,'Cage tracking'!G$4,'Cage Tally'!$E:$E, "Dark"))</f>
        <v/>
      </c>
      <c r="H88" s="204"/>
      <c r="I88" s="128"/>
      <c r="J88" s="204"/>
      <c r="K88" s="132" t="str">
        <f>IF((COUNTIFS('Cage Tally'!$A:$A,$A88,'Cage Tally'!$C:$C,'Cage tracking'!K$4,'Cage Tally'!$E:$E, "Light")=0),"",COUNTIFS('Cage Tally'!$A:$A,$A88,'Cage Tally'!$C:$C,'Cage tracking'!K$4,'Cage Tally'!$E:$E, "Light"))</f>
        <v/>
      </c>
      <c r="L88" s="132" t="str">
        <f>IF((COUNTIFS('Cage Tally'!$A:$A,$A88,'Cage Tally'!$C:$C,'Cage tracking'!L$4,'Cage Tally'!$E:$E, "Light")=0),"",COUNTIFS('Cage Tally'!$A:$A,$A88,'Cage Tally'!$C:$C,'Cage tracking'!L$4,'Cage Tally'!$E:$E, "Light"))</f>
        <v/>
      </c>
      <c r="M88" s="132" t="str">
        <f>IF((COUNTIFS('Cage Tally'!$A:$A,$A88,'Cage Tally'!$C:$C,'Cage tracking'!M$4,'Cage Tally'!$E:$E, "Light")=0),"",COUNTIFS('Cage Tally'!$A:$A,$A88,'Cage Tally'!$C:$C,'Cage tracking'!M$4,'Cage Tally'!$E:$E, "Light"))</f>
        <v/>
      </c>
      <c r="N88" s="132" t="str">
        <f>IF((COUNTIFS('Cage Tally'!$A:$A,$A88,'Cage Tally'!$C:$C,'Cage tracking'!N$4,'Cage Tally'!$E:$E, "Light")=0),"",COUNTIFS('Cage Tally'!$A:$A,$A88,'Cage Tally'!$C:$C,'Cage tracking'!N$4,'Cage Tally'!$E:$E, "Light"))</f>
        <v/>
      </c>
      <c r="O88" s="132" t="str">
        <f>IF((COUNTIFS('Cage Tally'!$A:$A,$A88,'Cage Tally'!$C:$C,'Cage tracking'!O$4,'Cage Tally'!$E:$E, "Light")=0),"",COUNTIFS('Cage Tally'!$A:$A,$A88,'Cage Tally'!$C:$C,'Cage tracking'!O$4,'Cage Tally'!$E:$E, "Light"))</f>
        <v/>
      </c>
      <c r="P88" s="132" t="str">
        <f>IF((COUNTIFS('Cage Tally'!$A:$A,$A88,'Cage Tally'!$C:$C,'Cage tracking'!P$4,'Cage Tally'!$E:$E, "Light")=0),"",COUNTIFS('Cage Tally'!$A:$A,$A88,'Cage Tally'!$C:$C,'Cage tracking'!P$4,'Cage Tally'!$E:$E, "Light"))</f>
        <v/>
      </c>
      <c r="Q88" s="135"/>
      <c r="R88" s="205"/>
      <c r="S88" s="132" t="str">
        <f>IF((COUNTIFS('Cage Tally'!$A:$A,$A88,'Cage Tally'!$C:$C,'Cage tracking'!S$4,'Cage Tally'!$E:$E, "decomm")=0),"",COUNTIFS('Cage Tally'!$A:$A,$A88,'Cage Tally'!$C:$C,'Cage tracking'!S$4,'Cage Tally'!$E:$E, "decomm"))</f>
        <v/>
      </c>
      <c r="T88" s="132" t="str">
        <f>IF((COUNTIFS('Cage Tally'!$A:$A,$A88,'Cage Tally'!$C:$C,'Cage tracking'!T$4,'Cage Tally'!$E:$E, "decomm")=0),"",COUNTIFS('Cage Tally'!$A:$A,$A88,'Cage Tally'!$C:$C,'Cage tracking'!T$4,'Cage Tally'!$E:$E, "decomm"))</f>
        <v/>
      </c>
      <c r="U88" s="132" t="str">
        <f>IF((COUNTIFS('Cage Tally'!$A:$A,$A88,'Cage Tally'!$C:$C,'Cage tracking'!U$4,'Cage Tally'!$E:$E, "decomm")=0),"",COUNTIFS('Cage Tally'!$A:$A,$A88,'Cage Tally'!$C:$C,'Cage tracking'!U$4,'Cage Tally'!$E:$E, "decomm"))</f>
        <v/>
      </c>
      <c r="V88" s="132" t="str">
        <f>IF((COUNTIFS('Cage Tally'!$A:$A,$A88,'Cage Tally'!$C:$C,'Cage tracking'!V$4,'Cage Tally'!$E:$E, "decomm")=0),"",COUNTIFS('Cage Tally'!$A:$A,$A88,'Cage Tally'!$C:$C,'Cage tracking'!V$4,'Cage Tally'!$E:$E, "decomm"))</f>
        <v/>
      </c>
      <c r="W88" s="132" t="str">
        <f>IF((COUNTIFS('Cage Tally'!$A:$A,$A88,'Cage Tally'!$C:$C,'Cage tracking'!W$4,'Cage Tally'!$E:$E, "decomm")=0),"",COUNTIFS('Cage Tally'!$A:$A,$A88,'Cage Tally'!$C:$C,'Cage tracking'!W$4,'Cage Tally'!$E:$E, "decomm"))</f>
        <v/>
      </c>
      <c r="X88" s="142" t="str">
        <f>IF((COUNTIFS('Cage Tally'!$A:$A,$A88,'Cage Tally'!$C:$C,'Cage tracking'!X$4,'Cage Tally'!$E:$E, "decomm")=0),"",COUNTIFS('Cage Tally'!$A:$A,$A88,'Cage Tally'!$C:$C,'Cage tracking'!X$4,'Cage Tally'!$E:$E, "decomm"))</f>
        <v/>
      </c>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row>
    <row r="89" spans="1:48" ht="12.75">
      <c r="A89" s="131">
        <v>44139</v>
      </c>
      <c r="B89" s="206" t="str">
        <f>IF((COUNTIFS('Cage Tally'!$A:$A,$A89,'Cage Tally'!$C:$C,'Cage tracking'!B$4,'Cage Tally'!$E:$E, "Dark")=0),"",COUNTIFS('Cage Tally'!$A:$A,$A89,'Cage Tally'!$C:$C,'Cage tracking'!B$4,'Cage Tally'!$E:$E, "Dark"))</f>
        <v/>
      </c>
      <c r="C89" s="206" t="str">
        <f>IF((COUNTIFS('Cage Tally'!$A:$A,$A89,'Cage Tally'!$C:$C,'Cage tracking'!C$4,'Cage Tally'!$E:$E, "Dark")=0),"",COUNTIFS('Cage Tally'!$A:$A,$A89,'Cage Tally'!$C:$C,'Cage tracking'!C$4,'Cage Tally'!$E:$E, "Dark"))</f>
        <v/>
      </c>
      <c r="D89" s="206" t="str">
        <f>IF((COUNTIFS('Cage Tally'!$A:$A,$A89,'Cage Tally'!$C:$C,'Cage tracking'!D$4,'Cage Tally'!$E:$E, "Dark")=0),"",COUNTIFS('Cage Tally'!$A:$A,$A89,'Cage Tally'!$C:$C,'Cage tracking'!D$4,'Cage Tally'!$E:$E, "Dark"))</f>
        <v/>
      </c>
      <c r="E89" s="206" t="str">
        <f>IF((COUNTIFS('Cage Tally'!$A:$A,$A89,'Cage Tally'!$C:$C,'Cage tracking'!E$4,'Cage Tally'!$E:$E, "Dark")=0),"",COUNTIFS('Cage Tally'!$A:$A,$A89,'Cage Tally'!$C:$C,'Cage tracking'!E$4,'Cage Tally'!$E:$E, "Dark"))</f>
        <v/>
      </c>
      <c r="F89" s="206" t="str">
        <f>IF((COUNTIFS('Cage Tally'!$A:$A,$A89,'Cage Tally'!$C:$C,'Cage tracking'!F$4,'Cage Tally'!$E:$E, "Dark")=0),"",COUNTIFS('Cage Tally'!$A:$A,$A89,'Cage Tally'!$C:$C,'Cage tracking'!F$4,'Cage Tally'!$E:$E, "Dark"))</f>
        <v/>
      </c>
      <c r="G89" s="206" t="str">
        <f>IF((COUNTIFS('Cage Tally'!$A:$A,$A89,'Cage Tally'!$C:$C,'Cage tracking'!G$4,'Cage Tally'!$E:$E, "Dark")=0),"",COUNTIFS('Cage Tally'!$A:$A,$A89,'Cage Tally'!$C:$C,'Cage tracking'!G$4,'Cage Tally'!$E:$E, "Dark"))</f>
        <v/>
      </c>
      <c r="H89" s="129"/>
      <c r="I89" s="128"/>
      <c r="J89" s="31"/>
      <c r="K89" s="206" t="str">
        <f>IF((COUNTIFS('Cage Tally'!$A:$A,$A89,'Cage Tally'!$C:$C,'Cage tracking'!K$4,'Cage Tally'!$E:$E, "Light")=0),"",COUNTIFS('Cage Tally'!$A:$A,$A89,'Cage Tally'!$C:$C,'Cage tracking'!K$4,'Cage Tally'!$E:$E, "Light"))</f>
        <v/>
      </c>
      <c r="L89" s="206" t="str">
        <f>IF((COUNTIFS('Cage Tally'!$A:$A,$A89,'Cage Tally'!$C:$C,'Cage tracking'!L$4,'Cage Tally'!$E:$E, "Light")=0),"",COUNTIFS('Cage Tally'!$A:$A,$A89,'Cage Tally'!$C:$C,'Cage tracking'!L$4,'Cage Tally'!$E:$E, "Light"))</f>
        <v/>
      </c>
      <c r="M89" s="206" t="str">
        <f>IF((COUNTIFS('Cage Tally'!$A:$A,$A89,'Cage Tally'!$C:$C,'Cage tracking'!M$4,'Cage Tally'!$E:$E, "Light")=0),"",COUNTIFS('Cage Tally'!$A:$A,$A89,'Cage Tally'!$C:$C,'Cage tracking'!M$4,'Cage Tally'!$E:$E, "Light"))</f>
        <v/>
      </c>
      <c r="N89" s="206" t="str">
        <f>IF((COUNTIFS('Cage Tally'!$A:$A,$A89,'Cage Tally'!$C:$C,'Cage tracking'!N$4,'Cage Tally'!$E:$E, "Light")=0),"",COUNTIFS('Cage Tally'!$A:$A,$A89,'Cage Tally'!$C:$C,'Cage tracking'!N$4,'Cage Tally'!$E:$E, "Light"))</f>
        <v/>
      </c>
      <c r="O89" s="206" t="str">
        <f>IF((COUNTIFS('Cage Tally'!$A:$A,$A89,'Cage Tally'!$C:$C,'Cage tracking'!O$4,'Cage Tally'!$E:$E, "Light")=0),"",COUNTIFS('Cage Tally'!$A:$A,$A89,'Cage Tally'!$C:$C,'Cage tracking'!O$4,'Cage Tally'!$E:$E, "Light"))</f>
        <v/>
      </c>
      <c r="P89" s="206" t="str">
        <f>IF((COUNTIFS('Cage Tally'!$A:$A,$A89,'Cage Tally'!$C:$C,'Cage tracking'!P$4,'Cage Tally'!$E:$E, "Light")=0),"",COUNTIFS('Cage Tally'!$A:$A,$A89,'Cage Tally'!$C:$C,'Cage tracking'!P$4,'Cage Tally'!$E:$E, "Light"))</f>
        <v/>
      </c>
      <c r="Q89" s="206"/>
      <c r="R89" s="130"/>
      <c r="S89" s="206" t="str">
        <f>IF((COUNTIFS('Cage Tally'!$A:$A,$A89,'Cage Tally'!$C:$C,'Cage tracking'!S$4,'Cage Tally'!$E:$E, "decomm")=0),"",COUNTIFS('Cage Tally'!$A:$A,$A89,'Cage Tally'!$C:$C,'Cage tracking'!S$4,'Cage Tally'!$E:$E, "decomm"))</f>
        <v/>
      </c>
      <c r="T89" s="206" t="str">
        <f>IF((COUNTIFS('Cage Tally'!$A:$A,$A89,'Cage Tally'!$C:$C,'Cage tracking'!T$4,'Cage Tally'!$E:$E, "decomm")=0),"",COUNTIFS('Cage Tally'!$A:$A,$A89,'Cage Tally'!$C:$C,'Cage tracking'!T$4,'Cage Tally'!$E:$E, "decomm"))</f>
        <v/>
      </c>
      <c r="U89" s="206" t="str">
        <f>IF((COUNTIFS('Cage Tally'!$A:$A,$A89,'Cage Tally'!$C:$C,'Cage tracking'!U$4,'Cage Tally'!$E:$E, "decomm")=0),"",COUNTIFS('Cage Tally'!$A:$A,$A89,'Cage Tally'!$C:$C,'Cage tracking'!U$4,'Cage Tally'!$E:$E, "decomm"))</f>
        <v/>
      </c>
      <c r="V89" s="206" t="str">
        <f>IF((COUNTIFS('Cage Tally'!$A:$A,$A89,'Cage Tally'!$C:$C,'Cage tracking'!V$4,'Cage Tally'!$E:$E, "decomm")=0),"",COUNTIFS('Cage Tally'!$A:$A,$A89,'Cage Tally'!$C:$C,'Cage tracking'!V$4,'Cage Tally'!$E:$E, "decomm"))</f>
        <v/>
      </c>
      <c r="W89" s="206" t="str">
        <f>IF((COUNTIFS('Cage Tally'!$A:$A,$A89,'Cage Tally'!$C:$C,'Cage tracking'!W$4,'Cage Tally'!$E:$E, "decomm")=0),"",COUNTIFS('Cage Tally'!$A:$A,$A89,'Cage Tally'!$C:$C,'Cage tracking'!W$4,'Cage Tally'!$E:$E, "decomm"))</f>
        <v/>
      </c>
      <c r="X89" s="207" t="str">
        <f>IF((COUNTIFS('Cage Tally'!$A:$A,$A89,'Cage Tally'!$C:$C,'Cage tracking'!X$4,'Cage Tally'!$E:$E, "decomm")=0),"",COUNTIFS('Cage Tally'!$A:$A,$A89,'Cage Tally'!$C:$C,'Cage tracking'!X$4,'Cage Tally'!$E:$E, "decomm"))</f>
        <v/>
      </c>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row>
    <row r="90" spans="1:48" ht="12.75">
      <c r="A90" s="131">
        <v>44140</v>
      </c>
      <c r="B90" s="132" t="str">
        <f>IF((COUNTIFS('Cage Tally'!$A:$A,$A90,'Cage Tally'!$C:$C,'Cage tracking'!B$4,'Cage Tally'!$E:$E, "Dark")=0),"",COUNTIFS('Cage Tally'!$A:$A,$A90,'Cage Tally'!$C:$C,'Cage tracking'!B$4,'Cage Tally'!$E:$E, "Dark"))</f>
        <v/>
      </c>
      <c r="C90" s="132" t="str">
        <f>IF((COUNTIFS('Cage Tally'!$A:$A,$A90,'Cage Tally'!$C:$C,'Cage tracking'!C$4,'Cage Tally'!$E:$E, "Dark")=0),"",COUNTIFS('Cage Tally'!$A:$A,$A90,'Cage Tally'!$C:$C,'Cage tracking'!C$4,'Cage Tally'!$E:$E, "Dark"))</f>
        <v/>
      </c>
      <c r="D90" s="132" t="str">
        <f>IF((COUNTIFS('Cage Tally'!$A:$A,$A90,'Cage Tally'!$C:$C,'Cage tracking'!D$4,'Cage Tally'!$E:$E, "Dark")=0),"",COUNTIFS('Cage Tally'!$A:$A,$A90,'Cage Tally'!$C:$C,'Cage tracking'!D$4,'Cage Tally'!$E:$E, "Dark"))</f>
        <v/>
      </c>
      <c r="E90" s="132" t="str">
        <f>IF((COUNTIFS('Cage Tally'!$A:$A,$A90,'Cage Tally'!$C:$C,'Cage tracking'!E$4,'Cage Tally'!$E:$E, "Dark")=0),"",COUNTIFS('Cage Tally'!$A:$A,$A90,'Cage Tally'!$C:$C,'Cage tracking'!E$4,'Cage Tally'!$E:$E, "Dark"))</f>
        <v/>
      </c>
      <c r="F90" s="132" t="str">
        <f>IF((COUNTIFS('Cage Tally'!$A:$A,$A90,'Cage Tally'!$C:$C,'Cage tracking'!F$4,'Cage Tally'!$E:$E, "Dark")=0),"",COUNTIFS('Cage Tally'!$A:$A,$A90,'Cage Tally'!$C:$C,'Cage tracking'!F$4,'Cage Tally'!$E:$E, "Dark"))</f>
        <v/>
      </c>
      <c r="G90" s="132" t="str">
        <f>IF((COUNTIFS('Cage Tally'!$A:$A,$A90,'Cage Tally'!$C:$C,'Cage tracking'!G$4,'Cage Tally'!$E:$E, "Dark")=0),"",COUNTIFS('Cage Tally'!$A:$A,$A90,'Cage Tally'!$C:$C,'Cage tracking'!G$4,'Cage Tally'!$E:$E, "Dark"))</f>
        <v/>
      </c>
      <c r="H90" s="204"/>
      <c r="I90" s="128"/>
      <c r="J90" s="204"/>
      <c r="K90" s="132" t="str">
        <f>IF((COUNTIFS('Cage Tally'!$A:$A,$A90,'Cage Tally'!$C:$C,'Cage tracking'!K$4,'Cage Tally'!$E:$E, "Light")=0),"",COUNTIFS('Cage Tally'!$A:$A,$A90,'Cage Tally'!$C:$C,'Cage tracking'!K$4,'Cage Tally'!$E:$E, "Light"))</f>
        <v/>
      </c>
      <c r="L90" s="132" t="str">
        <f>IF((COUNTIFS('Cage Tally'!$A:$A,$A90,'Cage Tally'!$C:$C,'Cage tracking'!L$4,'Cage Tally'!$E:$E, "Light")=0),"",COUNTIFS('Cage Tally'!$A:$A,$A90,'Cage Tally'!$C:$C,'Cage tracking'!L$4,'Cage Tally'!$E:$E, "Light"))</f>
        <v/>
      </c>
      <c r="M90" s="132" t="str">
        <f>IF((COUNTIFS('Cage Tally'!$A:$A,$A90,'Cage Tally'!$C:$C,'Cage tracking'!M$4,'Cage Tally'!$E:$E, "Light")=0),"",COUNTIFS('Cage Tally'!$A:$A,$A90,'Cage Tally'!$C:$C,'Cage tracking'!M$4,'Cage Tally'!$E:$E, "Light"))</f>
        <v/>
      </c>
      <c r="N90" s="132" t="str">
        <f>IF((COUNTIFS('Cage Tally'!$A:$A,$A90,'Cage Tally'!$C:$C,'Cage tracking'!N$4,'Cage Tally'!$E:$E, "Light")=0),"",COUNTIFS('Cage Tally'!$A:$A,$A90,'Cage Tally'!$C:$C,'Cage tracking'!N$4,'Cage Tally'!$E:$E, "Light"))</f>
        <v/>
      </c>
      <c r="O90" s="132" t="str">
        <f>IF((COUNTIFS('Cage Tally'!$A:$A,$A90,'Cage Tally'!$C:$C,'Cage tracking'!O$4,'Cage Tally'!$E:$E, "Light")=0),"",COUNTIFS('Cage Tally'!$A:$A,$A90,'Cage Tally'!$C:$C,'Cage tracking'!O$4,'Cage Tally'!$E:$E, "Light"))</f>
        <v/>
      </c>
      <c r="P90" s="132" t="str">
        <f>IF((COUNTIFS('Cage Tally'!$A:$A,$A90,'Cage Tally'!$C:$C,'Cage tracking'!P$4,'Cage Tally'!$E:$E, "Light")=0),"",COUNTIFS('Cage Tally'!$A:$A,$A90,'Cage Tally'!$C:$C,'Cage tracking'!P$4,'Cage Tally'!$E:$E, "Light"))</f>
        <v/>
      </c>
      <c r="Q90" s="135"/>
      <c r="R90" s="205"/>
      <c r="S90" s="132" t="str">
        <f>IF((COUNTIFS('Cage Tally'!$A:$A,$A90,'Cage Tally'!$C:$C,'Cage tracking'!S$4,'Cage Tally'!$E:$E, "decomm")=0),"",COUNTIFS('Cage Tally'!$A:$A,$A90,'Cage Tally'!$C:$C,'Cage tracking'!S$4,'Cage Tally'!$E:$E, "decomm"))</f>
        <v/>
      </c>
      <c r="T90" s="132" t="str">
        <f>IF((COUNTIFS('Cage Tally'!$A:$A,$A90,'Cage Tally'!$C:$C,'Cage tracking'!T$4,'Cage Tally'!$E:$E, "decomm")=0),"",COUNTIFS('Cage Tally'!$A:$A,$A90,'Cage Tally'!$C:$C,'Cage tracking'!T$4,'Cage Tally'!$E:$E, "decomm"))</f>
        <v/>
      </c>
      <c r="U90" s="132" t="str">
        <f>IF((COUNTIFS('Cage Tally'!$A:$A,$A90,'Cage Tally'!$C:$C,'Cage tracking'!U$4,'Cage Tally'!$E:$E, "decomm")=0),"",COUNTIFS('Cage Tally'!$A:$A,$A90,'Cage Tally'!$C:$C,'Cage tracking'!U$4,'Cage Tally'!$E:$E, "decomm"))</f>
        <v/>
      </c>
      <c r="V90" s="132" t="str">
        <f>IF((COUNTIFS('Cage Tally'!$A:$A,$A90,'Cage Tally'!$C:$C,'Cage tracking'!V$4,'Cage Tally'!$E:$E, "decomm")=0),"",COUNTIFS('Cage Tally'!$A:$A,$A90,'Cage Tally'!$C:$C,'Cage tracking'!V$4,'Cage Tally'!$E:$E, "decomm"))</f>
        <v/>
      </c>
      <c r="W90" s="132" t="str">
        <f>IF((COUNTIFS('Cage Tally'!$A:$A,$A90,'Cage Tally'!$C:$C,'Cage tracking'!W$4,'Cage Tally'!$E:$E, "decomm")=0),"",COUNTIFS('Cage Tally'!$A:$A,$A90,'Cage Tally'!$C:$C,'Cage tracking'!W$4,'Cage Tally'!$E:$E, "decomm"))</f>
        <v/>
      </c>
      <c r="X90" s="142" t="str">
        <f>IF((COUNTIFS('Cage Tally'!$A:$A,$A90,'Cage Tally'!$C:$C,'Cage tracking'!X$4,'Cage Tally'!$E:$E, "decomm")=0),"",COUNTIFS('Cage Tally'!$A:$A,$A90,'Cage Tally'!$C:$C,'Cage tracking'!X$4,'Cage Tally'!$E:$E, "decomm"))</f>
        <v/>
      </c>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row>
    <row r="91" spans="1:48" ht="12.75">
      <c r="A91" s="131">
        <v>44141</v>
      </c>
      <c r="B91" s="206" t="str">
        <f>IF((COUNTIFS('Cage Tally'!$A:$A,$A91,'Cage Tally'!$C:$C,'Cage tracking'!B$4,'Cage Tally'!$E:$E, "Dark")=0),"",COUNTIFS('Cage Tally'!$A:$A,$A91,'Cage Tally'!$C:$C,'Cage tracking'!B$4,'Cage Tally'!$E:$E, "Dark"))</f>
        <v/>
      </c>
      <c r="C91" s="206" t="str">
        <f>IF((COUNTIFS('Cage Tally'!$A:$A,$A91,'Cage Tally'!$C:$C,'Cage tracking'!C$4,'Cage Tally'!$E:$E, "Dark")=0),"",COUNTIFS('Cage Tally'!$A:$A,$A91,'Cage Tally'!$C:$C,'Cage tracking'!C$4,'Cage Tally'!$E:$E, "Dark"))</f>
        <v/>
      </c>
      <c r="D91" s="206" t="str">
        <f>IF((COUNTIFS('Cage Tally'!$A:$A,$A91,'Cage Tally'!$C:$C,'Cage tracking'!D$4,'Cage Tally'!$E:$E, "Dark")=0),"",COUNTIFS('Cage Tally'!$A:$A,$A91,'Cage Tally'!$C:$C,'Cage tracking'!D$4,'Cage Tally'!$E:$E, "Dark"))</f>
        <v/>
      </c>
      <c r="E91" s="206" t="str">
        <f>IF((COUNTIFS('Cage Tally'!$A:$A,$A91,'Cage Tally'!$C:$C,'Cage tracking'!E$4,'Cage Tally'!$E:$E, "Dark")=0),"",COUNTIFS('Cage Tally'!$A:$A,$A91,'Cage Tally'!$C:$C,'Cage tracking'!E$4,'Cage Tally'!$E:$E, "Dark"))</f>
        <v/>
      </c>
      <c r="F91" s="206" t="str">
        <f>IF((COUNTIFS('Cage Tally'!$A:$A,$A91,'Cage Tally'!$C:$C,'Cage tracking'!F$4,'Cage Tally'!$E:$E, "Dark")=0),"",COUNTIFS('Cage Tally'!$A:$A,$A91,'Cage Tally'!$C:$C,'Cage tracking'!F$4,'Cage Tally'!$E:$E, "Dark"))</f>
        <v/>
      </c>
      <c r="G91" s="206" t="str">
        <f>IF((COUNTIFS('Cage Tally'!$A:$A,$A91,'Cage Tally'!$C:$C,'Cage tracking'!G$4,'Cage Tally'!$E:$E, "Dark")=0),"",COUNTIFS('Cage Tally'!$A:$A,$A91,'Cage Tally'!$C:$C,'Cage tracking'!G$4,'Cage Tally'!$E:$E, "Dark"))</f>
        <v/>
      </c>
      <c r="H91" s="129"/>
      <c r="I91" s="128"/>
      <c r="J91" s="31"/>
      <c r="K91" s="206" t="str">
        <f>IF((COUNTIFS('Cage Tally'!$A:$A,$A91,'Cage Tally'!$C:$C,'Cage tracking'!K$4,'Cage Tally'!$E:$E, "Light")=0),"",COUNTIFS('Cage Tally'!$A:$A,$A91,'Cage Tally'!$C:$C,'Cage tracking'!K$4,'Cage Tally'!$E:$E, "Light"))</f>
        <v/>
      </c>
      <c r="L91" s="206" t="str">
        <f>IF((COUNTIFS('Cage Tally'!$A:$A,$A91,'Cage Tally'!$C:$C,'Cage tracking'!L$4,'Cage Tally'!$E:$E, "Light")=0),"",COUNTIFS('Cage Tally'!$A:$A,$A91,'Cage Tally'!$C:$C,'Cage tracking'!L$4,'Cage Tally'!$E:$E, "Light"))</f>
        <v/>
      </c>
      <c r="M91" s="206" t="str">
        <f>IF((COUNTIFS('Cage Tally'!$A:$A,$A91,'Cage Tally'!$C:$C,'Cage tracking'!M$4,'Cage Tally'!$E:$E, "Light")=0),"",COUNTIFS('Cage Tally'!$A:$A,$A91,'Cage Tally'!$C:$C,'Cage tracking'!M$4,'Cage Tally'!$E:$E, "Light"))</f>
        <v/>
      </c>
      <c r="N91" s="206" t="str">
        <f>IF((COUNTIFS('Cage Tally'!$A:$A,$A91,'Cage Tally'!$C:$C,'Cage tracking'!N$4,'Cage Tally'!$E:$E, "Light")=0),"",COUNTIFS('Cage Tally'!$A:$A,$A91,'Cage Tally'!$C:$C,'Cage tracking'!N$4,'Cage Tally'!$E:$E, "Light"))</f>
        <v/>
      </c>
      <c r="O91" s="206" t="str">
        <f>IF((COUNTIFS('Cage Tally'!$A:$A,$A91,'Cage Tally'!$C:$C,'Cage tracking'!O$4,'Cage Tally'!$E:$E, "Light")=0),"",COUNTIFS('Cage Tally'!$A:$A,$A91,'Cage Tally'!$C:$C,'Cage tracking'!O$4,'Cage Tally'!$E:$E, "Light"))</f>
        <v/>
      </c>
      <c r="P91" s="206" t="str">
        <f>IF((COUNTIFS('Cage Tally'!$A:$A,$A91,'Cage Tally'!$C:$C,'Cage tracking'!P$4,'Cage Tally'!$E:$E, "Light")=0),"",COUNTIFS('Cage Tally'!$A:$A,$A91,'Cage Tally'!$C:$C,'Cage tracking'!P$4,'Cage Tally'!$E:$E, "Light"))</f>
        <v/>
      </c>
      <c r="Q91" s="206"/>
      <c r="R91" s="130"/>
      <c r="S91" s="206" t="str">
        <f>IF((COUNTIFS('Cage Tally'!$A:$A,$A91,'Cage Tally'!$C:$C,'Cage tracking'!S$4,'Cage Tally'!$E:$E, "decomm")=0),"",COUNTIFS('Cage Tally'!$A:$A,$A91,'Cage Tally'!$C:$C,'Cage tracking'!S$4,'Cage Tally'!$E:$E, "decomm"))</f>
        <v/>
      </c>
      <c r="T91" s="206" t="str">
        <f>IF((COUNTIFS('Cage Tally'!$A:$A,$A91,'Cage Tally'!$C:$C,'Cage tracking'!T$4,'Cage Tally'!$E:$E, "decomm")=0),"",COUNTIFS('Cage Tally'!$A:$A,$A91,'Cage Tally'!$C:$C,'Cage tracking'!T$4,'Cage Tally'!$E:$E, "decomm"))</f>
        <v/>
      </c>
      <c r="U91" s="206" t="str">
        <f>IF((COUNTIFS('Cage Tally'!$A:$A,$A91,'Cage Tally'!$C:$C,'Cage tracking'!U$4,'Cage Tally'!$E:$E, "decomm")=0),"",COUNTIFS('Cage Tally'!$A:$A,$A91,'Cage Tally'!$C:$C,'Cage tracking'!U$4,'Cage Tally'!$E:$E, "decomm"))</f>
        <v/>
      </c>
      <c r="V91" s="206" t="str">
        <f>IF((COUNTIFS('Cage Tally'!$A:$A,$A91,'Cage Tally'!$C:$C,'Cage tracking'!V$4,'Cage Tally'!$E:$E, "decomm")=0),"",COUNTIFS('Cage Tally'!$A:$A,$A91,'Cage Tally'!$C:$C,'Cage tracking'!V$4,'Cage Tally'!$E:$E, "decomm"))</f>
        <v/>
      </c>
      <c r="W91" s="206" t="str">
        <f>IF((COUNTIFS('Cage Tally'!$A:$A,$A91,'Cage Tally'!$C:$C,'Cage tracking'!W$4,'Cage Tally'!$E:$E, "decomm")=0),"",COUNTIFS('Cage Tally'!$A:$A,$A91,'Cage Tally'!$C:$C,'Cage tracking'!W$4,'Cage Tally'!$E:$E, "decomm"))</f>
        <v/>
      </c>
      <c r="X91" s="207" t="str">
        <f>IF((COUNTIFS('Cage Tally'!$A:$A,$A91,'Cage Tally'!$C:$C,'Cage tracking'!X$4,'Cage Tally'!$E:$E, "decomm")=0),"",COUNTIFS('Cage Tally'!$A:$A,$A91,'Cage Tally'!$C:$C,'Cage tracking'!X$4,'Cage Tally'!$E:$E, "decomm"))</f>
        <v/>
      </c>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row>
    <row r="92" spans="1:48" ht="12.75">
      <c r="A92" s="131">
        <v>44142</v>
      </c>
      <c r="B92" s="132" t="str">
        <f>IF((COUNTIFS('Cage Tally'!$A:$A,$A92,'Cage Tally'!$C:$C,'Cage tracking'!B$4,'Cage Tally'!$E:$E, "Dark")=0),"",COUNTIFS('Cage Tally'!$A:$A,$A92,'Cage Tally'!$C:$C,'Cage tracking'!B$4,'Cage Tally'!$E:$E, "Dark"))</f>
        <v/>
      </c>
      <c r="C92" s="132" t="str">
        <f>IF((COUNTIFS('Cage Tally'!$A:$A,$A92,'Cage Tally'!$C:$C,'Cage tracking'!C$4,'Cage Tally'!$E:$E, "Dark")=0),"",COUNTIFS('Cage Tally'!$A:$A,$A92,'Cage Tally'!$C:$C,'Cage tracking'!C$4,'Cage Tally'!$E:$E, "Dark"))</f>
        <v/>
      </c>
      <c r="D92" s="132" t="str">
        <f>IF((COUNTIFS('Cage Tally'!$A:$A,$A92,'Cage Tally'!$C:$C,'Cage tracking'!D$4,'Cage Tally'!$E:$E, "Dark")=0),"",COUNTIFS('Cage Tally'!$A:$A,$A92,'Cage Tally'!$C:$C,'Cage tracking'!D$4,'Cage Tally'!$E:$E, "Dark"))</f>
        <v/>
      </c>
      <c r="E92" s="132" t="str">
        <f>IF((COUNTIFS('Cage Tally'!$A:$A,$A92,'Cage Tally'!$C:$C,'Cage tracking'!E$4,'Cage Tally'!$E:$E, "Dark")=0),"",COUNTIFS('Cage Tally'!$A:$A,$A92,'Cage Tally'!$C:$C,'Cage tracking'!E$4,'Cage Tally'!$E:$E, "Dark"))</f>
        <v/>
      </c>
      <c r="F92" s="132" t="str">
        <f>IF((COUNTIFS('Cage Tally'!$A:$A,$A92,'Cage Tally'!$C:$C,'Cage tracking'!F$4,'Cage Tally'!$E:$E, "Dark")=0),"",COUNTIFS('Cage Tally'!$A:$A,$A92,'Cage Tally'!$C:$C,'Cage tracking'!F$4,'Cage Tally'!$E:$E, "Dark"))</f>
        <v/>
      </c>
      <c r="G92" s="132" t="str">
        <f>IF((COUNTIFS('Cage Tally'!$A:$A,$A92,'Cage Tally'!$C:$C,'Cage tracking'!G$4,'Cage Tally'!$E:$E, "Dark")=0),"",COUNTIFS('Cage Tally'!$A:$A,$A92,'Cage Tally'!$C:$C,'Cage tracking'!G$4,'Cage Tally'!$E:$E, "Dark"))</f>
        <v/>
      </c>
      <c r="H92" s="204"/>
      <c r="I92" s="128"/>
      <c r="J92" s="204"/>
      <c r="K92" s="132" t="str">
        <f>IF((COUNTIFS('Cage Tally'!$A:$A,$A92,'Cage Tally'!$C:$C,'Cage tracking'!K$4,'Cage Tally'!$E:$E, "Light")=0),"",COUNTIFS('Cage Tally'!$A:$A,$A92,'Cage Tally'!$C:$C,'Cage tracking'!K$4,'Cage Tally'!$E:$E, "Light"))</f>
        <v/>
      </c>
      <c r="L92" s="132" t="str">
        <f>IF((COUNTIFS('Cage Tally'!$A:$A,$A92,'Cage Tally'!$C:$C,'Cage tracking'!L$4,'Cage Tally'!$E:$E, "Light")=0),"",COUNTIFS('Cage Tally'!$A:$A,$A92,'Cage Tally'!$C:$C,'Cage tracking'!L$4,'Cage Tally'!$E:$E, "Light"))</f>
        <v/>
      </c>
      <c r="M92" s="132" t="str">
        <f>IF((COUNTIFS('Cage Tally'!$A:$A,$A92,'Cage Tally'!$C:$C,'Cage tracking'!M$4,'Cage Tally'!$E:$E, "Light")=0),"",COUNTIFS('Cage Tally'!$A:$A,$A92,'Cage Tally'!$C:$C,'Cage tracking'!M$4,'Cage Tally'!$E:$E, "Light"))</f>
        <v/>
      </c>
      <c r="N92" s="132" t="str">
        <f>IF((COUNTIFS('Cage Tally'!$A:$A,$A92,'Cage Tally'!$C:$C,'Cage tracking'!N$4,'Cage Tally'!$E:$E, "Light")=0),"",COUNTIFS('Cage Tally'!$A:$A,$A92,'Cage Tally'!$C:$C,'Cage tracking'!N$4,'Cage Tally'!$E:$E, "Light"))</f>
        <v/>
      </c>
      <c r="O92" s="132" t="str">
        <f>IF((COUNTIFS('Cage Tally'!$A:$A,$A92,'Cage Tally'!$C:$C,'Cage tracking'!O$4,'Cage Tally'!$E:$E, "Light")=0),"",COUNTIFS('Cage Tally'!$A:$A,$A92,'Cage Tally'!$C:$C,'Cage tracking'!O$4,'Cage Tally'!$E:$E, "Light"))</f>
        <v/>
      </c>
      <c r="P92" s="132" t="str">
        <f>IF((COUNTIFS('Cage Tally'!$A:$A,$A92,'Cage Tally'!$C:$C,'Cage tracking'!P$4,'Cage Tally'!$E:$E, "Light")=0),"",COUNTIFS('Cage Tally'!$A:$A,$A92,'Cage Tally'!$C:$C,'Cage tracking'!P$4,'Cage Tally'!$E:$E, "Light"))</f>
        <v/>
      </c>
      <c r="Q92" s="135"/>
      <c r="R92" s="205"/>
      <c r="S92" s="132" t="str">
        <f>IF((COUNTIFS('Cage Tally'!$A:$A,$A92,'Cage Tally'!$C:$C,'Cage tracking'!S$4,'Cage Tally'!$E:$E, "decomm")=0),"",COUNTIFS('Cage Tally'!$A:$A,$A92,'Cage Tally'!$C:$C,'Cage tracking'!S$4,'Cage Tally'!$E:$E, "decomm"))</f>
        <v/>
      </c>
      <c r="T92" s="132" t="str">
        <f>IF((COUNTIFS('Cage Tally'!$A:$A,$A92,'Cage Tally'!$C:$C,'Cage tracking'!T$4,'Cage Tally'!$E:$E, "decomm")=0),"",COUNTIFS('Cage Tally'!$A:$A,$A92,'Cage Tally'!$C:$C,'Cage tracking'!T$4,'Cage Tally'!$E:$E, "decomm"))</f>
        <v/>
      </c>
      <c r="U92" s="132" t="str">
        <f>IF((COUNTIFS('Cage Tally'!$A:$A,$A92,'Cage Tally'!$C:$C,'Cage tracking'!U$4,'Cage Tally'!$E:$E, "decomm")=0),"",COUNTIFS('Cage Tally'!$A:$A,$A92,'Cage Tally'!$C:$C,'Cage tracking'!U$4,'Cage Tally'!$E:$E, "decomm"))</f>
        <v/>
      </c>
      <c r="V92" s="132" t="str">
        <f>IF((COUNTIFS('Cage Tally'!$A:$A,$A92,'Cage Tally'!$C:$C,'Cage tracking'!V$4,'Cage Tally'!$E:$E, "decomm")=0),"",COUNTIFS('Cage Tally'!$A:$A,$A92,'Cage Tally'!$C:$C,'Cage tracking'!V$4,'Cage Tally'!$E:$E, "decomm"))</f>
        <v/>
      </c>
      <c r="W92" s="132" t="str">
        <f>IF((COUNTIFS('Cage Tally'!$A:$A,$A92,'Cage Tally'!$C:$C,'Cage tracking'!W$4,'Cage Tally'!$E:$E, "decomm")=0),"",COUNTIFS('Cage Tally'!$A:$A,$A92,'Cage Tally'!$C:$C,'Cage tracking'!W$4,'Cage Tally'!$E:$E, "decomm"))</f>
        <v/>
      </c>
      <c r="X92" s="142" t="str">
        <f>IF((COUNTIFS('Cage Tally'!$A:$A,$A92,'Cage Tally'!$C:$C,'Cage tracking'!X$4,'Cage Tally'!$E:$E, "decomm")=0),"",COUNTIFS('Cage Tally'!$A:$A,$A92,'Cage Tally'!$C:$C,'Cage tracking'!X$4,'Cage Tally'!$E:$E, "decomm"))</f>
        <v/>
      </c>
      <c r="Y92" s="273"/>
      <c r="Z92" s="273"/>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row>
    <row r="93" spans="1:48" ht="12.75">
      <c r="A93" s="131">
        <v>44143</v>
      </c>
      <c r="B93" s="206" t="str">
        <f>IF((COUNTIFS('Cage Tally'!$A:$A,$A93,'Cage Tally'!$C:$C,'Cage tracking'!B$4,'Cage Tally'!$E:$E, "Dark")=0),"",COUNTIFS('Cage Tally'!$A:$A,$A93,'Cage Tally'!$C:$C,'Cage tracking'!B$4,'Cage Tally'!$E:$E, "Dark"))</f>
        <v/>
      </c>
      <c r="C93" s="206" t="str">
        <f>IF((COUNTIFS('Cage Tally'!$A:$A,$A93,'Cage Tally'!$C:$C,'Cage tracking'!C$4,'Cage Tally'!$E:$E, "Dark")=0),"",COUNTIFS('Cage Tally'!$A:$A,$A93,'Cage Tally'!$C:$C,'Cage tracking'!C$4,'Cage Tally'!$E:$E, "Dark"))</f>
        <v/>
      </c>
      <c r="D93" s="206" t="str">
        <f>IF((COUNTIFS('Cage Tally'!$A:$A,$A93,'Cage Tally'!$C:$C,'Cage tracking'!D$4,'Cage Tally'!$E:$E, "Dark")=0),"",COUNTIFS('Cage Tally'!$A:$A,$A93,'Cage Tally'!$C:$C,'Cage tracking'!D$4,'Cage Tally'!$E:$E, "Dark"))</f>
        <v/>
      </c>
      <c r="E93" s="206" t="str">
        <f>IF((COUNTIFS('Cage Tally'!$A:$A,$A93,'Cage Tally'!$C:$C,'Cage tracking'!E$4,'Cage Tally'!$E:$E, "Dark")=0),"",COUNTIFS('Cage Tally'!$A:$A,$A93,'Cage Tally'!$C:$C,'Cage tracking'!E$4,'Cage Tally'!$E:$E, "Dark"))</f>
        <v/>
      </c>
      <c r="F93" s="206" t="str">
        <f>IF((COUNTIFS('Cage Tally'!$A:$A,$A93,'Cage Tally'!$C:$C,'Cage tracking'!F$4,'Cage Tally'!$E:$E, "Dark")=0),"",COUNTIFS('Cage Tally'!$A:$A,$A93,'Cage Tally'!$C:$C,'Cage tracking'!F$4,'Cage Tally'!$E:$E, "Dark"))</f>
        <v/>
      </c>
      <c r="G93" s="206" t="str">
        <f>IF((COUNTIFS('Cage Tally'!$A:$A,$A93,'Cage Tally'!$C:$C,'Cage tracking'!G$4,'Cage Tally'!$E:$E, "Dark")=0),"",COUNTIFS('Cage Tally'!$A:$A,$A93,'Cage Tally'!$C:$C,'Cage tracking'!G$4,'Cage Tally'!$E:$E, "Dark"))</f>
        <v/>
      </c>
      <c r="H93" s="129"/>
      <c r="I93" s="128"/>
      <c r="J93" s="31"/>
      <c r="K93" s="206" t="str">
        <f>IF((COUNTIFS('Cage Tally'!$A:$A,$A93,'Cage Tally'!$C:$C,'Cage tracking'!K$4,'Cage Tally'!$E:$E, "Light")=0),"",COUNTIFS('Cage Tally'!$A:$A,$A93,'Cage Tally'!$C:$C,'Cage tracking'!K$4,'Cage Tally'!$E:$E, "Light"))</f>
        <v/>
      </c>
      <c r="L93" s="206" t="str">
        <f>IF((COUNTIFS('Cage Tally'!$A:$A,$A93,'Cage Tally'!$C:$C,'Cage tracking'!L$4,'Cage Tally'!$E:$E, "Light")=0),"",COUNTIFS('Cage Tally'!$A:$A,$A93,'Cage Tally'!$C:$C,'Cage tracking'!L$4,'Cage Tally'!$E:$E, "Light"))</f>
        <v/>
      </c>
      <c r="M93" s="206" t="str">
        <f>IF((COUNTIFS('Cage Tally'!$A:$A,$A93,'Cage Tally'!$C:$C,'Cage tracking'!M$4,'Cage Tally'!$E:$E, "Light")=0),"",COUNTIFS('Cage Tally'!$A:$A,$A93,'Cage Tally'!$C:$C,'Cage tracking'!M$4,'Cage Tally'!$E:$E, "Light"))</f>
        <v/>
      </c>
      <c r="N93" s="206" t="str">
        <f>IF((COUNTIFS('Cage Tally'!$A:$A,$A93,'Cage Tally'!$C:$C,'Cage tracking'!N$4,'Cage Tally'!$E:$E, "Light")=0),"",COUNTIFS('Cage Tally'!$A:$A,$A93,'Cage Tally'!$C:$C,'Cage tracking'!N$4,'Cage Tally'!$E:$E, "Light"))</f>
        <v/>
      </c>
      <c r="O93" s="206" t="str">
        <f>IF((COUNTIFS('Cage Tally'!$A:$A,$A93,'Cage Tally'!$C:$C,'Cage tracking'!O$4,'Cage Tally'!$E:$E, "Light")=0),"",COUNTIFS('Cage Tally'!$A:$A,$A93,'Cage Tally'!$C:$C,'Cage tracking'!O$4,'Cage Tally'!$E:$E, "Light"))</f>
        <v/>
      </c>
      <c r="P93" s="206" t="str">
        <f>IF((COUNTIFS('Cage Tally'!$A:$A,$A93,'Cage Tally'!$C:$C,'Cage tracking'!P$4,'Cage Tally'!$E:$E, "Light")=0),"",COUNTIFS('Cage Tally'!$A:$A,$A93,'Cage Tally'!$C:$C,'Cage tracking'!P$4,'Cage Tally'!$E:$E, "Light"))</f>
        <v/>
      </c>
      <c r="Q93" s="206"/>
      <c r="R93" s="130"/>
      <c r="S93" s="206" t="str">
        <f>IF((COUNTIFS('Cage Tally'!$A:$A,$A93,'Cage Tally'!$C:$C,'Cage tracking'!S$4,'Cage Tally'!$E:$E, "decomm")=0),"",COUNTIFS('Cage Tally'!$A:$A,$A93,'Cage Tally'!$C:$C,'Cage tracking'!S$4,'Cage Tally'!$E:$E, "decomm"))</f>
        <v/>
      </c>
      <c r="T93" s="206" t="str">
        <f>IF((COUNTIFS('Cage Tally'!$A:$A,$A93,'Cage Tally'!$C:$C,'Cage tracking'!T$4,'Cage Tally'!$E:$E, "decomm")=0),"",COUNTIFS('Cage Tally'!$A:$A,$A93,'Cage Tally'!$C:$C,'Cage tracking'!T$4,'Cage Tally'!$E:$E, "decomm"))</f>
        <v/>
      </c>
      <c r="U93" s="206" t="str">
        <f>IF((COUNTIFS('Cage Tally'!$A:$A,$A93,'Cage Tally'!$C:$C,'Cage tracking'!U$4,'Cage Tally'!$E:$E, "decomm")=0),"",COUNTIFS('Cage Tally'!$A:$A,$A93,'Cage Tally'!$C:$C,'Cage tracking'!U$4,'Cage Tally'!$E:$E, "decomm"))</f>
        <v/>
      </c>
      <c r="V93" s="206" t="str">
        <f>IF((COUNTIFS('Cage Tally'!$A:$A,$A93,'Cage Tally'!$C:$C,'Cage tracking'!V$4,'Cage Tally'!$E:$E, "decomm")=0),"",COUNTIFS('Cage Tally'!$A:$A,$A93,'Cage Tally'!$C:$C,'Cage tracking'!V$4,'Cage Tally'!$E:$E, "decomm"))</f>
        <v/>
      </c>
      <c r="W93" s="206" t="str">
        <f>IF((COUNTIFS('Cage Tally'!$A:$A,$A93,'Cage Tally'!$C:$C,'Cage tracking'!W$4,'Cage Tally'!$E:$E, "decomm")=0),"",COUNTIFS('Cage Tally'!$A:$A,$A93,'Cage Tally'!$C:$C,'Cage tracking'!W$4,'Cage Tally'!$E:$E, "decomm"))</f>
        <v/>
      </c>
      <c r="X93" s="207" t="str">
        <f>IF((COUNTIFS('Cage Tally'!$A:$A,$A93,'Cage Tally'!$C:$C,'Cage tracking'!X$4,'Cage Tally'!$E:$E, "decomm")=0),"",COUNTIFS('Cage Tally'!$A:$A,$A93,'Cage Tally'!$C:$C,'Cage tracking'!X$4,'Cage Tally'!$E:$E, "decomm"))</f>
        <v/>
      </c>
      <c r="Y93" s="273"/>
      <c r="Z93" s="273"/>
      <c r="AA93" s="273"/>
      <c r="AB93" s="273"/>
      <c r="AC93" s="273"/>
      <c r="AD93" s="273"/>
      <c r="AE93" s="273"/>
      <c r="AF93" s="273"/>
      <c r="AG93" s="273"/>
      <c r="AH93" s="273"/>
      <c r="AI93" s="273"/>
      <c r="AJ93" s="273"/>
      <c r="AK93" s="273"/>
      <c r="AL93" s="273"/>
      <c r="AM93" s="273"/>
      <c r="AN93" s="273"/>
      <c r="AO93" s="273"/>
      <c r="AP93" s="273"/>
      <c r="AQ93" s="273"/>
      <c r="AR93" s="273"/>
      <c r="AS93" s="273"/>
      <c r="AT93" s="273"/>
      <c r="AU93" s="273"/>
      <c r="AV93" s="273"/>
    </row>
    <row r="94" spans="1:48" ht="12.75">
      <c r="A94" s="131">
        <v>44144</v>
      </c>
      <c r="B94" s="132" t="str">
        <f>IF((COUNTIFS('Cage Tally'!$A:$A,$A94,'Cage Tally'!$C:$C,'Cage tracking'!B$4,'Cage Tally'!$E:$E, "Dark")=0),"",COUNTIFS('Cage Tally'!$A:$A,$A94,'Cage Tally'!$C:$C,'Cage tracking'!B$4,'Cage Tally'!$E:$E, "Dark"))</f>
        <v/>
      </c>
      <c r="C94" s="132" t="str">
        <f>IF((COUNTIFS('Cage Tally'!$A:$A,$A94,'Cage Tally'!$C:$C,'Cage tracking'!C$4,'Cage Tally'!$E:$E, "Dark")=0),"",COUNTIFS('Cage Tally'!$A:$A,$A94,'Cage Tally'!$C:$C,'Cage tracking'!C$4,'Cage Tally'!$E:$E, "Dark"))</f>
        <v/>
      </c>
      <c r="D94" s="132" t="str">
        <f>IF((COUNTIFS('Cage Tally'!$A:$A,$A94,'Cage Tally'!$C:$C,'Cage tracking'!D$4,'Cage Tally'!$E:$E, "Dark")=0),"",COUNTIFS('Cage Tally'!$A:$A,$A94,'Cage Tally'!$C:$C,'Cage tracking'!D$4,'Cage Tally'!$E:$E, "Dark"))</f>
        <v/>
      </c>
      <c r="E94" s="132" t="str">
        <f>IF((COUNTIFS('Cage Tally'!$A:$A,$A94,'Cage Tally'!$C:$C,'Cage tracking'!E$4,'Cage Tally'!$E:$E, "Dark")=0),"",COUNTIFS('Cage Tally'!$A:$A,$A94,'Cage Tally'!$C:$C,'Cage tracking'!E$4,'Cage Tally'!$E:$E, "Dark"))</f>
        <v/>
      </c>
      <c r="F94" s="132" t="str">
        <f>IF((COUNTIFS('Cage Tally'!$A:$A,$A94,'Cage Tally'!$C:$C,'Cage tracking'!F$4,'Cage Tally'!$E:$E, "Dark")=0),"",COUNTIFS('Cage Tally'!$A:$A,$A94,'Cage Tally'!$C:$C,'Cage tracking'!F$4,'Cage Tally'!$E:$E, "Dark"))</f>
        <v/>
      </c>
      <c r="G94" s="132" t="str">
        <f>IF((COUNTIFS('Cage Tally'!$A:$A,$A94,'Cage Tally'!$C:$C,'Cage tracking'!G$4,'Cage Tally'!$E:$E, "Dark")=0),"",COUNTIFS('Cage Tally'!$A:$A,$A94,'Cage Tally'!$C:$C,'Cage tracking'!G$4,'Cage Tally'!$E:$E, "Dark"))</f>
        <v/>
      </c>
      <c r="H94" s="204"/>
      <c r="I94" s="128"/>
      <c r="J94" s="204"/>
      <c r="K94" s="132" t="str">
        <f>IF((COUNTIFS('Cage Tally'!$A:$A,$A94,'Cage Tally'!$C:$C,'Cage tracking'!K$4,'Cage Tally'!$E:$E, "Light")=0),"",COUNTIFS('Cage Tally'!$A:$A,$A94,'Cage Tally'!$C:$C,'Cage tracking'!K$4,'Cage Tally'!$E:$E, "Light"))</f>
        <v/>
      </c>
      <c r="L94" s="132" t="str">
        <f>IF((COUNTIFS('Cage Tally'!$A:$A,$A94,'Cage Tally'!$C:$C,'Cage tracking'!L$4,'Cage Tally'!$E:$E, "Light")=0),"",COUNTIFS('Cage Tally'!$A:$A,$A94,'Cage Tally'!$C:$C,'Cage tracking'!L$4,'Cage Tally'!$E:$E, "Light"))</f>
        <v/>
      </c>
      <c r="M94" s="132" t="str">
        <f>IF((COUNTIFS('Cage Tally'!$A:$A,$A94,'Cage Tally'!$C:$C,'Cage tracking'!M$4,'Cage Tally'!$E:$E, "Light")=0),"",COUNTIFS('Cage Tally'!$A:$A,$A94,'Cage Tally'!$C:$C,'Cage tracking'!M$4,'Cage Tally'!$E:$E, "Light"))</f>
        <v/>
      </c>
      <c r="N94" s="132" t="str">
        <f>IF((COUNTIFS('Cage Tally'!$A:$A,$A94,'Cage Tally'!$C:$C,'Cage tracking'!N$4,'Cage Tally'!$E:$E, "Light")=0),"",COUNTIFS('Cage Tally'!$A:$A,$A94,'Cage Tally'!$C:$C,'Cage tracking'!N$4,'Cage Tally'!$E:$E, "Light"))</f>
        <v/>
      </c>
      <c r="O94" s="132" t="str">
        <f>IF((COUNTIFS('Cage Tally'!$A:$A,$A94,'Cage Tally'!$C:$C,'Cage tracking'!O$4,'Cage Tally'!$E:$E, "Light")=0),"",COUNTIFS('Cage Tally'!$A:$A,$A94,'Cage Tally'!$C:$C,'Cage tracking'!O$4,'Cage Tally'!$E:$E, "Light"))</f>
        <v/>
      </c>
      <c r="P94" s="132" t="str">
        <f>IF((COUNTIFS('Cage Tally'!$A:$A,$A94,'Cage Tally'!$C:$C,'Cage tracking'!P$4,'Cage Tally'!$E:$E, "Light")=0),"",COUNTIFS('Cage Tally'!$A:$A,$A94,'Cage Tally'!$C:$C,'Cage tracking'!P$4,'Cage Tally'!$E:$E, "Light"))</f>
        <v/>
      </c>
      <c r="Q94" s="135"/>
      <c r="R94" s="205"/>
      <c r="S94" s="132" t="str">
        <f>IF((COUNTIFS('Cage Tally'!$A:$A,$A94,'Cage Tally'!$C:$C,'Cage tracking'!S$4,'Cage Tally'!$E:$E, "decomm")=0),"",COUNTIFS('Cage Tally'!$A:$A,$A94,'Cage Tally'!$C:$C,'Cage tracking'!S$4,'Cage Tally'!$E:$E, "decomm"))</f>
        <v/>
      </c>
      <c r="T94" s="132" t="str">
        <f>IF((COUNTIFS('Cage Tally'!$A:$A,$A94,'Cage Tally'!$C:$C,'Cage tracking'!T$4,'Cage Tally'!$E:$E, "decomm")=0),"",COUNTIFS('Cage Tally'!$A:$A,$A94,'Cage Tally'!$C:$C,'Cage tracking'!T$4,'Cage Tally'!$E:$E, "decomm"))</f>
        <v/>
      </c>
      <c r="U94" s="132" t="str">
        <f>IF((COUNTIFS('Cage Tally'!$A:$A,$A94,'Cage Tally'!$C:$C,'Cage tracking'!U$4,'Cage Tally'!$E:$E, "decomm")=0),"",COUNTIFS('Cage Tally'!$A:$A,$A94,'Cage Tally'!$C:$C,'Cage tracking'!U$4,'Cage Tally'!$E:$E, "decomm"))</f>
        <v/>
      </c>
      <c r="V94" s="132" t="str">
        <f>IF((COUNTIFS('Cage Tally'!$A:$A,$A94,'Cage Tally'!$C:$C,'Cage tracking'!V$4,'Cage Tally'!$E:$E, "decomm")=0),"",COUNTIFS('Cage Tally'!$A:$A,$A94,'Cage Tally'!$C:$C,'Cage tracking'!V$4,'Cage Tally'!$E:$E, "decomm"))</f>
        <v/>
      </c>
      <c r="W94" s="132" t="str">
        <f>IF((COUNTIFS('Cage Tally'!$A:$A,$A94,'Cage Tally'!$C:$C,'Cage tracking'!W$4,'Cage Tally'!$E:$E, "decomm")=0),"",COUNTIFS('Cage Tally'!$A:$A,$A94,'Cage Tally'!$C:$C,'Cage tracking'!W$4,'Cage Tally'!$E:$E, "decomm"))</f>
        <v/>
      </c>
      <c r="X94" s="142" t="str">
        <f>IF((COUNTIFS('Cage Tally'!$A:$A,$A94,'Cage Tally'!$C:$C,'Cage tracking'!X$4,'Cage Tally'!$E:$E, "decomm")=0),"",COUNTIFS('Cage Tally'!$A:$A,$A94,'Cage Tally'!$C:$C,'Cage tracking'!X$4,'Cage Tally'!$E:$E, "decomm"))</f>
        <v/>
      </c>
      <c r="Y94" s="273"/>
      <c r="Z94" s="273"/>
      <c r="AA94" s="273"/>
      <c r="AB94" s="273"/>
      <c r="AC94" s="273"/>
      <c r="AD94" s="273"/>
      <c r="AE94" s="273"/>
      <c r="AF94" s="273"/>
      <c r="AG94" s="273"/>
      <c r="AH94" s="273"/>
      <c r="AI94" s="273"/>
      <c r="AJ94" s="273"/>
      <c r="AK94" s="273"/>
      <c r="AL94" s="273"/>
      <c r="AM94" s="273"/>
      <c r="AN94" s="273"/>
      <c r="AO94" s="273"/>
      <c r="AP94" s="273"/>
      <c r="AQ94" s="273"/>
      <c r="AR94" s="273"/>
      <c r="AS94" s="273"/>
      <c r="AT94" s="273"/>
      <c r="AU94" s="273"/>
      <c r="AV94" s="273"/>
    </row>
    <row r="95" spans="1:48" ht="12.75">
      <c r="A95" s="131">
        <v>44145</v>
      </c>
      <c r="B95" s="206" t="str">
        <f>IF((COUNTIFS('Cage Tally'!$A:$A,$A95,'Cage Tally'!$C:$C,'Cage tracking'!B$4,'Cage Tally'!$E:$E, "Dark")=0),"",COUNTIFS('Cage Tally'!$A:$A,$A95,'Cage Tally'!$C:$C,'Cage tracking'!B$4,'Cage Tally'!$E:$E, "Dark"))</f>
        <v/>
      </c>
      <c r="C95" s="206" t="str">
        <f>IF((COUNTIFS('Cage Tally'!$A:$A,$A95,'Cage Tally'!$C:$C,'Cage tracking'!C$4,'Cage Tally'!$E:$E, "Dark")=0),"",COUNTIFS('Cage Tally'!$A:$A,$A95,'Cage Tally'!$C:$C,'Cage tracking'!C$4,'Cage Tally'!$E:$E, "Dark"))</f>
        <v/>
      </c>
      <c r="D95" s="206" t="str">
        <f>IF((COUNTIFS('Cage Tally'!$A:$A,$A95,'Cage Tally'!$C:$C,'Cage tracking'!D$4,'Cage Tally'!$E:$E, "Dark")=0),"",COUNTIFS('Cage Tally'!$A:$A,$A95,'Cage Tally'!$C:$C,'Cage tracking'!D$4,'Cage Tally'!$E:$E, "Dark"))</f>
        <v/>
      </c>
      <c r="E95" s="206" t="str">
        <f>IF((COUNTIFS('Cage Tally'!$A:$A,$A95,'Cage Tally'!$C:$C,'Cage tracking'!E$4,'Cage Tally'!$E:$E, "Dark")=0),"",COUNTIFS('Cage Tally'!$A:$A,$A95,'Cage Tally'!$C:$C,'Cage tracking'!E$4,'Cage Tally'!$E:$E, "Dark"))</f>
        <v/>
      </c>
      <c r="F95" s="206" t="str">
        <f>IF((COUNTIFS('Cage Tally'!$A:$A,$A95,'Cage Tally'!$C:$C,'Cage tracking'!F$4,'Cage Tally'!$E:$E, "Dark")=0),"",COUNTIFS('Cage Tally'!$A:$A,$A95,'Cage Tally'!$C:$C,'Cage tracking'!F$4,'Cage Tally'!$E:$E, "Dark"))</f>
        <v/>
      </c>
      <c r="G95" s="206" t="str">
        <f>IF((COUNTIFS('Cage Tally'!$A:$A,$A95,'Cage Tally'!$C:$C,'Cage tracking'!G$4,'Cage Tally'!$E:$E, "Dark")=0),"",COUNTIFS('Cage Tally'!$A:$A,$A95,'Cage Tally'!$C:$C,'Cage tracking'!G$4,'Cage Tally'!$E:$E, "Dark"))</f>
        <v/>
      </c>
      <c r="H95" s="129"/>
      <c r="I95" s="128"/>
      <c r="J95" s="31"/>
      <c r="K95" s="206" t="str">
        <f>IF((COUNTIFS('Cage Tally'!$A:$A,$A95,'Cage Tally'!$C:$C,'Cage tracking'!K$4,'Cage Tally'!$E:$E, "Light")=0),"",COUNTIFS('Cage Tally'!$A:$A,$A95,'Cage Tally'!$C:$C,'Cage tracking'!K$4,'Cage Tally'!$E:$E, "Light"))</f>
        <v/>
      </c>
      <c r="L95" s="206" t="str">
        <f>IF((COUNTIFS('Cage Tally'!$A:$A,$A95,'Cage Tally'!$C:$C,'Cage tracking'!L$4,'Cage Tally'!$E:$E, "Light")=0),"",COUNTIFS('Cage Tally'!$A:$A,$A95,'Cage Tally'!$C:$C,'Cage tracking'!L$4,'Cage Tally'!$E:$E, "Light"))</f>
        <v/>
      </c>
      <c r="M95" s="206" t="str">
        <f>IF((COUNTIFS('Cage Tally'!$A:$A,$A95,'Cage Tally'!$C:$C,'Cage tracking'!M$4,'Cage Tally'!$E:$E, "Light")=0),"",COUNTIFS('Cage Tally'!$A:$A,$A95,'Cage Tally'!$C:$C,'Cage tracking'!M$4,'Cage Tally'!$E:$E, "Light"))</f>
        <v/>
      </c>
      <c r="N95" s="206" t="str">
        <f>IF((COUNTIFS('Cage Tally'!$A:$A,$A95,'Cage Tally'!$C:$C,'Cage tracking'!N$4,'Cage Tally'!$E:$E, "Light")=0),"",COUNTIFS('Cage Tally'!$A:$A,$A95,'Cage Tally'!$C:$C,'Cage tracking'!N$4,'Cage Tally'!$E:$E, "Light"))</f>
        <v/>
      </c>
      <c r="O95" s="206" t="str">
        <f>IF((COUNTIFS('Cage Tally'!$A:$A,$A95,'Cage Tally'!$C:$C,'Cage tracking'!O$4,'Cage Tally'!$E:$E, "Light")=0),"",COUNTIFS('Cage Tally'!$A:$A,$A95,'Cage Tally'!$C:$C,'Cage tracking'!O$4,'Cage Tally'!$E:$E, "Light"))</f>
        <v/>
      </c>
      <c r="P95" s="206" t="str">
        <f>IF((COUNTIFS('Cage Tally'!$A:$A,$A95,'Cage Tally'!$C:$C,'Cage tracking'!P$4,'Cage Tally'!$E:$E, "Light")=0),"",COUNTIFS('Cage Tally'!$A:$A,$A95,'Cage Tally'!$C:$C,'Cage tracking'!P$4,'Cage Tally'!$E:$E, "Light"))</f>
        <v/>
      </c>
      <c r="Q95" s="206"/>
      <c r="R95" s="130"/>
      <c r="S95" s="206" t="str">
        <f>IF((COUNTIFS('Cage Tally'!$A:$A,$A95,'Cage Tally'!$C:$C,'Cage tracking'!S$4,'Cage Tally'!$E:$E, "decomm")=0),"",COUNTIFS('Cage Tally'!$A:$A,$A95,'Cage Tally'!$C:$C,'Cage tracking'!S$4,'Cage Tally'!$E:$E, "decomm"))</f>
        <v/>
      </c>
      <c r="T95" s="206" t="str">
        <f>IF((COUNTIFS('Cage Tally'!$A:$A,$A95,'Cage Tally'!$C:$C,'Cage tracking'!T$4,'Cage Tally'!$E:$E, "decomm")=0),"",COUNTIFS('Cage Tally'!$A:$A,$A95,'Cage Tally'!$C:$C,'Cage tracking'!T$4,'Cage Tally'!$E:$E, "decomm"))</f>
        <v/>
      </c>
      <c r="U95" s="206" t="str">
        <f>IF((COUNTIFS('Cage Tally'!$A:$A,$A95,'Cage Tally'!$C:$C,'Cage tracking'!U$4,'Cage Tally'!$E:$E, "decomm")=0),"",COUNTIFS('Cage Tally'!$A:$A,$A95,'Cage Tally'!$C:$C,'Cage tracking'!U$4,'Cage Tally'!$E:$E, "decomm"))</f>
        <v/>
      </c>
      <c r="V95" s="206" t="str">
        <f>IF((COUNTIFS('Cage Tally'!$A:$A,$A95,'Cage Tally'!$C:$C,'Cage tracking'!V$4,'Cage Tally'!$E:$E, "decomm")=0),"",COUNTIFS('Cage Tally'!$A:$A,$A95,'Cage Tally'!$C:$C,'Cage tracking'!V$4,'Cage Tally'!$E:$E, "decomm"))</f>
        <v/>
      </c>
      <c r="W95" s="206" t="str">
        <f>IF((COUNTIFS('Cage Tally'!$A:$A,$A95,'Cage Tally'!$C:$C,'Cage tracking'!W$4,'Cage Tally'!$E:$E, "decomm")=0),"",COUNTIFS('Cage Tally'!$A:$A,$A95,'Cage Tally'!$C:$C,'Cage tracking'!W$4,'Cage Tally'!$E:$E, "decomm"))</f>
        <v/>
      </c>
      <c r="X95" s="207" t="str">
        <f>IF((COUNTIFS('Cage Tally'!$A:$A,$A95,'Cage Tally'!$C:$C,'Cage tracking'!X$4,'Cage Tally'!$E:$E, "decomm")=0),"",COUNTIFS('Cage Tally'!$A:$A,$A95,'Cage Tally'!$C:$C,'Cage tracking'!X$4,'Cage Tally'!$E:$E, "decomm"))</f>
        <v/>
      </c>
      <c r="Y95" s="273"/>
      <c r="Z95" s="273"/>
      <c r="AA95" s="273"/>
      <c r="AB95" s="273"/>
      <c r="AC95" s="273"/>
      <c r="AD95" s="273"/>
      <c r="AE95" s="273"/>
      <c r="AF95" s="273"/>
      <c r="AG95" s="273"/>
      <c r="AH95" s="273"/>
      <c r="AI95" s="273"/>
      <c r="AJ95" s="273"/>
      <c r="AK95" s="273"/>
      <c r="AL95" s="273"/>
      <c r="AM95" s="273"/>
      <c r="AN95" s="273"/>
      <c r="AO95" s="273"/>
      <c r="AP95" s="273"/>
      <c r="AQ95" s="273"/>
      <c r="AR95" s="273"/>
      <c r="AS95" s="273"/>
      <c r="AT95" s="273"/>
      <c r="AU95" s="273"/>
      <c r="AV95" s="273"/>
    </row>
    <row r="96" spans="1:48" ht="12.75">
      <c r="A96" s="131">
        <v>44146</v>
      </c>
      <c r="B96" s="132" t="str">
        <f>IF((COUNTIFS('Cage Tally'!$A:$A,$A96,'Cage Tally'!$C:$C,'Cage tracking'!B$4,'Cage Tally'!$E:$E, "Dark")=0),"",COUNTIFS('Cage Tally'!$A:$A,$A96,'Cage Tally'!$C:$C,'Cage tracking'!B$4,'Cage Tally'!$E:$E, "Dark"))</f>
        <v/>
      </c>
      <c r="C96" s="132" t="str">
        <f>IF((COUNTIFS('Cage Tally'!$A:$A,$A96,'Cage Tally'!$C:$C,'Cage tracking'!C$4,'Cage Tally'!$E:$E, "Dark")=0),"",COUNTIFS('Cage Tally'!$A:$A,$A96,'Cage Tally'!$C:$C,'Cage tracking'!C$4,'Cage Tally'!$E:$E, "Dark"))</f>
        <v/>
      </c>
      <c r="D96" s="132" t="str">
        <f>IF((COUNTIFS('Cage Tally'!$A:$A,$A96,'Cage Tally'!$C:$C,'Cage tracking'!D$4,'Cage Tally'!$E:$E, "Dark")=0),"",COUNTIFS('Cage Tally'!$A:$A,$A96,'Cage Tally'!$C:$C,'Cage tracking'!D$4,'Cage Tally'!$E:$E, "Dark"))</f>
        <v/>
      </c>
      <c r="E96" s="132" t="str">
        <f>IF((COUNTIFS('Cage Tally'!$A:$A,$A96,'Cage Tally'!$C:$C,'Cage tracking'!E$4,'Cage Tally'!$E:$E, "Dark")=0),"",COUNTIFS('Cage Tally'!$A:$A,$A96,'Cage Tally'!$C:$C,'Cage tracking'!E$4,'Cage Tally'!$E:$E, "Dark"))</f>
        <v/>
      </c>
      <c r="F96" s="132" t="str">
        <f>IF((COUNTIFS('Cage Tally'!$A:$A,$A96,'Cage Tally'!$C:$C,'Cage tracking'!F$4,'Cage Tally'!$E:$E, "Dark")=0),"",COUNTIFS('Cage Tally'!$A:$A,$A96,'Cage Tally'!$C:$C,'Cage tracking'!F$4,'Cage Tally'!$E:$E, "Dark"))</f>
        <v/>
      </c>
      <c r="G96" s="132" t="str">
        <f>IF((COUNTIFS('Cage Tally'!$A:$A,$A96,'Cage Tally'!$C:$C,'Cage tracking'!G$4,'Cage Tally'!$E:$E, "Dark")=0),"",COUNTIFS('Cage Tally'!$A:$A,$A96,'Cage Tally'!$C:$C,'Cage tracking'!G$4,'Cage Tally'!$E:$E, "Dark"))</f>
        <v/>
      </c>
      <c r="H96" s="204"/>
      <c r="I96" s="128"/>
      <c r="J96" s="204"/>
      <c r="K96" s="132" t="str">
        <f>IF((COUNTIFS('Cage Tally'!$A:$A,$A96,'Cage Tally'!$C:$C,'Cage tracking'!K$4,'Cage Tally'!$E:$E, "Light")=0),"",COUNTIFS('Cage Tally'!$A:$A,$A96,'Cage Tally'!$C:$C,'Cage tracking'!K$4,'Cage Tally'!$E:$E, "Light"))</f>
        <v/>
      </c>
      <c r="L96" s="132" t="str">
        <f>IF((COUNTIFS('Cage Tally'!$A:$A,$A96,'Cage Tally'!$C:$C,'Cage tracking'!L$4,'Cage Tally'!$E:$E, "Light")=0),"",COUNTIFS('Cage Tally'!$A:$A,$A96,'Cage Tally'!$C:$C,'Cage tracking'!L$4,'Cage Tally'!$E:$E, "Light"))</f>
        <v/>
      </c>
      <c r="M96" s="132" t="str">
        <f>IF((COUNTIFS('Cage Tally'!$A:$A,$A96,'Cage Tally'!$C:$C,'Cage tracking'!M$4,'Cage Tally'!$E:$E, "Light")=0),"",COUNTIFS('Cage Tally'!$A:$A,$A96,'Cage Tally'!$C:$C,'Cage tracking'!M$4,'Cage Tally'!$E:$E, "Light"))</f>
        <v/>
      </c>
      <c r="N96" s="132" t="str">
        <f>IF((COUNTIFS('Cage Tally'!$A:$A,$A96,'Cage Tally'!$C:$C,'Cage tracking'!N$4,'Cage Tally'!$E:$E, "Light")=0),"",COUNTIFS('Cage Tally'!$A:$A,$A96,'Cage Tally'!$C:$C,'Cage tracking'!N$4,'Cage Tally'!$E:$E, "Light"))</f>
        <v/>
      </c>
      <c r="O96" s="132" t="str">
        <f>IF((COUNTIFS('Cage Tally'!$A:$A,$A96,'Cage Tally'!$C:$C,'Cage tracking'!O$4,'Cage Tally'!$E:$E, "Light")=0),"",COUNTIFS('Cage Tally'!$A:$A,$A96,'Cage Tally'!$C:$C,'Cage tracking'!O$4,'Cage Tally'!$E:$E, "Light"))</f>
        <v/>
      </c>
      <c r="P96" s="132" t="str">
        <f>IF((COUNTIFS('Cage Tally'!$A:$A,$A96,'Cage Tally'!$C:$C,'Cage tracking'!P$4,'Cage Tally'!$E:$E, "Light")=0),"",COUNTIFS('Cage Tally'!$A:$A,$A96,'Cage Tally'!$C:$C,'Cage tracking'!P$4,'Cage Tally'!$E:$E, "Light"))</f>
        <v/>
      </c>
      <c r="Q96" s="135"/>
      <c r="R96" s="205"/>
      <c r="S96" s="132" t="str">
        <f>IF((COUNTIFS('Cage Tally'!$A:$A,$A96,'Cage Tally'!$C:$C,'Cage tracking'!S$4,'Cage Tally'!$E:$E, "decomm")=0),"",COUNTIFS('Cage Tally'!$A:$A,$A96,'Cage Tally'!$C:$C,'Cage tracking'!S$4,'Cage Tally'!$E:$E, "decomm"))</f>
        <v/>
      </c>
      <c r="T96" s="132" t="str">
        <f>IF((COUNTIFS('Cage Tally'!$A:$A,$A96,'Cage Tally'!$C:$C,'Cage tracking'!T$4,'Cage Tally'!$E:$E, "decomm")=0),"",COUNTIFS('Cage Tally'!$A:$A,$A96,'Cage Tally'!$C:$C,'Cage tracking'!T$4,'Cage Tally'!$E:$E, "decomm"))</f>
        <v/>
      </c>
      <c r="U96" s="132" t="str">
        <f>IF((COUNTIFS('Cage Tally'!$A:$A,$A96,'Cage Tally'!$C:$C,'Cage tracking'!U$4,'Cage Tally'!$E:$E, "decomm")=0),"",COUNTIFS('Cage Tally'!$A:$A,$A96,'Cage Tally'!$C:$C,'Cage tracking'!U$4,'Cage Tally'!$E:$E, "decomm"))</f>
        <v/>
      </c>
      <c r="V96" s="132" t="str">
        <f>IF((COUNTIFS('Cage Tally'!$A:$A,$A96,'Cage Tally'!$C:$C,'Cage tracking'!V$4,'Cage Tally'!$E:$E, "decomm")=0),"",COUNTIFS('Cage Tally'!$A:$A,$A96,'Cage Tally'!$C:$C,'Cage tracking'!V$4,'Cage Tally'!$E:$E, "decomm"))</f>
        <v/>
      </c>
      <c r="W96" s="132" t="str">
        <f>IF((COUNTIFS('Cage Tally'!$A:$A,$A96,'Cage Tally'!$C:$C,'Cage tracking'!W$4,'Cage Tally'!$E:$E, "decomm")=0),"",COUNTIFS('Cage Tally'!$A:$A,$A96,'Cage Tally'!$C:$C,'Cage tracking'!W$4,'Cage Tally'!$E:$E, "decomm"))</f>
        <v/>
      </c>
      <c r="X96" s="142" t="str">
        <f>IF((COUNTIFS('Cage Tally'!$A:$A,$A96,'Cage Tally'!$C:$C,'Cage tracking'!X$4,'Cage Tally'!$E:$E, "decomm")=0),"",COUNTIFS('Cage Tally'!$A:$A,$A96,'Cage Tally'!$C:$C,'Cage tracking'!X$4,'Cage Tally'!$E:$E, "decomm"))</f>
        <v/>
      </c>
      <c r="Y96" s="273"/>
      <c r="Z96" s="273"/>
      <c r="AA96" s="273"/>
      <c r="AB96" s="273"/>
      <c r="AC96" s="273"/>
      <c r="AD96" s="273"/>
      <c r="AE96" s="273"/>
      <c r="AF96" s="273"/>
      <c r="AG96" s="273"/>
      <c r="AH96" s="273"/>
      <c r="AI96" s="273"/>
      <c r="AJ96" s="273"/>
      <c r="AK96" s="273"/>
      <c r="AL96" s="273"/>
      <c r="AM96" s="273"/>
      <c r="AN96" s="273"/>
      <c r="AO96" s="273"/>
      <c r="AP96" s="273"/>
      <c r="AQ96" s="273"/>
      <c r="AR96" s="273"/>
      <c r="AS96" s="273"/>
      <c r="AT96" s="273"/>
      <c r="AU96" s="273"/>
      <c r="AV96" s="273"/>
    </row>
    <row r="97" spans="1:48" ht="12.75">
      <c r="A97" s="131">
        <v>44147</v>
      </c>
      <c r="B97" s="206" t="str">
        <f>IF((COUNTIFS('Cage Tally'!$A:$A,$A97,'Cage Tally'!$C:$C,'Cage tracking'!B$4,'Cage Tally'!$E:$E, "Dark")=0),"",COUNTIFS('Cage Tally'!$A:$A,$A97,'Cage Tally'!$C:$C,'Cage tracking'!B$4,'Cage Tally'!$E:$E, "Dark"))</f>
        <v/>
      </c>
      <c r="C97" s="206" t="str">
        <f>IF((COUNTIFS('Cage Tally'!$A:$A,$A97,'Cage Tally'!$C:$C,'Cage tracking'!C$4,'Cage Tally'!$E:$E, "Dark")=0),"",COUNTIFS('Cage Tally'!$A:$A,$A97,'Cage Tally'!$C:$C,'Cage tracking'!C$4,'Cage Tally'!$E:$E, "Dark"))</f>
        <v/>
      </c>
      <c r="D97" s="206" t="str">
        <f>IF((COUNTIFS('Cage Tally'!$A:$A,$A97,'Cage Tally'!$C:$C,'Cage tracking'!D$4,'Cage Tally'!$E:$E, "Dark")=0),"",COUNTIFS('Cage Tally'!$A:$A,$A97,'Cage Tally'!$C:$C,'Cage tracking'!D$4,'Cage Tally'!$E:$E, "Dark"))</f>
        <v/>
      </c>
      <c r="E97" s="206" t="str">
        <f>IF((COUNTIFS('Cage Tally'!$A:$A,$A97,'Cage Tally'!$C:$C,'Cage tracking'!E$4,'Cage Tally'!$E:$E, "Dark")=0),"",COUNTIFS('Cage Tally'!$A:$A,$A97,'Cage Tally'!$C:$C,'Cage tracking'!E$4,'Cage Tally'!$E:$E, "Dark"))</f>
        <v/>
      </c>
      <c r="F97" s="206" t="str">
        <f>IF((COUNTIFS('Cage Tally'!$A:$A,$A97,'Cage Tally'!$C:$C,'Cage tracking'!F$4,'Cage Tally'!$E:$E, "Dark")=0),"",COUNTIFS('Cage Tally'!$A:$A,$A97,'Cage Tally'!$C:$C,'Cage tracking'!F$4,'Cage Tally'!$E:$E, "Dark"))</f>
        <v/>
      </c>
      <c r="G97" s="206" t="str">
        <f>IF((COUNTIFS('Cage Tally'!$A:$A,$A97,'Cage Tally'!$C:$C,'Cage tracking'!G$4,'Cage Tally'!$E:$E, "Dark")=0),"",COUNTIFS('Cage Tally'!$A:$A,$A97,'Cage Tally'!$C:$C,'Cage tracking'!G$4,'Cage Tally'!$E:$E, "Dark"))</f>
        <v/>
      </c>
      <c r="H97" s="129"/>
      <c r="I97" s="128"/>
      <c r="J97" s="31"/>
      <c r="K97" s="206" t="str">
        <f>IF((COUNTIFS('Cage Tally'!$A:$A,$A97,'Cage Tally'!$C:$C,'Cage tracking'!K$4,'Cage Tally'!$E:$E, "Light")=0),"",COUNTIFS('Cage Tally'!$A:$A,$A97,'Cage Tally'!$C:$C,'Cage tracking'!K$4,'Cage Tally'!$E:$E, "Light"))</f>
        <v/>
      </c>
      <c r="L97" s="206" t="str">
        <f>IF((COUNTIFS('Cage Tally'!$A:$A,$A97,'Cage Tally'!$C:$C,'Cage tracking'!L$4,'Cage Tally'!$E:$E, "Light")=0),"",COUNTIFS('Cage Tally'!$A:$A,$A97,'Cage Tally'!$C:$C,'Cage tracking'!L$4,'Cage Tally'!$E:$E, "Light"))</f>
        <v/>
      </c>
      <c r="M97" s="206" t="str">
        <f>IF((COUNTIFS('Cage Tally'!$A:$A,$A97,'Cage Tally'!$C:$C,'Cage tracking'!M$4,'Cage Tally'!$E:$E, "Light")=0),"",COUNTIFS('Cage Tally'!$A:$A,$A97,'Cage Tally'!$C:$C,'Cage tracking'!M$4,'Cage Tally'!$E:$E, "Light"))</f>
        <v/>
      </c>
      <c r="N97" s="206" t="str">
        <f>IF((COUNTIFS('Cage Tally'!$A:$A,$A97,'Cage Tally'!$C:$C,'Cage tracking'!N$4,'Cage Tally'!$E:$E, "Light")=0),"",COUNTIFS('Cage Tally'!$A:$A,$A97,'Cage Tally'!$C:$C,'Cage tracking'!N$4,'Cage Tally'!$E:$E, "Light"))</f>
        <v/>
      </c>
      <c r="O97" s="206" t="str">
        <f>IF((COUNTIFS('Cage Tally'!$A:$A,$A97,'Cage Tally'!$C:$C,'Cage tracking'!O$4,'Cage Tally'!$E:$E, "Light")=0),"",COUNTIFS('Cage Tally'!$A:$A,$A97,'Cage Tally'!$C:$C,'Cage tracking'!O$4,'Cage Tally'!$E:$E, "Light"))</f>
        <v/>
      </c>
      <c r="P97" s="206" t="str">
        <f>IF((COUNTIFS('Cage Tally'!$A:$A,$A97,'Cage Tally'!$C:$C,'Cage tracking'!P$4,'Cage Tally'!$E:$E, "Light")=0),"",COUNTIFS('Cage Tally'!$A:$A,$A97,'Cage Tally'!$C:$C,'Cage tracking'!P$4,'Cage Tally'!$E:$E, "Light"))</f>
        <v/>
      </c>
      <c r="Q97" s="206"/>
      <c r="R97" s="130"/>
      <c r="S97" s="206" t="str">
        <f>IF((COUNTIFS('Cage Tally'!$A:$A,$A97,'Cage Tally'!$C:$C,'Cage tracking'!S$4,'Cage Tally'!$E:$E, "decomm")=0),"",COUNTIFS('Cage Tally'!$A:$A,$A97,'Cage Tally'!$C:$C,'Cage tracking'!S$4,'Cage Tally'!$E:$E, "decomm"))</f>
        <v/>
      </c>
      <c r="T97" s="206" t="str">
        <f>IF((COUNTIFS('Cage Tally'!$A:$A,$A97,'Cage Tally'!$C:$C,'Cage tracking'!T$4,'Cage Tally'!$E:$E, "decomm")=0),"",COUNTIFS('Cage Tally'!$A:$A,$A97,'Cage Tally'!$C:$C,'Cage tracking'!T$4,'Cage Tally'!$E:$E, "decomm"))</f>
        <v/>
      </c>
      <c r="U97" s="206" t="str">
        <f>IF((COUNTIFS('Cage Tally'!$A:$A,$A97,'Cage Tally'!$C:$C,'Cage tracking'!U$4,'Cage Tally'!$E:$E, "decomm")=0),"",COUNTIFS('Cage Tally'!$A:$A,$A97,'Cage Tally'!$C:$C,'Cage tracking'!U$4,'Cage Tally'!$E:$E, "decomm"))</f>
        <v/>
      </c>
      <c r="V97" s="206" t="str">
        <f>IF((COUNTIFS('Cage Tally'!$A:$A,$A97,'Cage Tally'!$C:$C,'Cage tracking'!V$4,'Cage Tally'!$E:$E, "decomm")=0),"",COUNTIFS('Cage Tally'!$A:$A,$A97,'Cage Tally'!$C:$C,'Cage tracking'!V$4,'Cage Tally'!$E:$E, "decomm"))</f>
        <v/>
      </c>
      <c r="W97" s="206" t="str">
        <f>IF((COUNTIFS('Cage Tally'!$A:$A,$A97,'Cage Tally'!$C:$C,'Cage tracking'!W$4,'Cage Tally'!$E:$E, "decomm")=0),"",COUNTIFS('Cage Tally'!$A:$A,$A97,'Cage Tally'!$C:$C,'Cage tracking'!W$4,'Cage Tally'!$E:$E, "decomm"))</f>
        <v/>
      </c>
      <c r="X97" s="207" t="str">
        <f>IF((COUNTIFS('Cage Tally'!$A:$A,$A97,'Cage Tally'!$C:$C,'Cage tracking'!X$4,'Cage Tally'!$E:$E, "decomm")=0),"",COUNTIFS('Cage Tally'!$A:$A,$A97,'Cage Tally'!$C:$C,'Cage tracking'!X$4,'Cage Tally'!$E:$E, "decomm"))</f>
        <v/>
      </c>
      <c r="Y97" s="273"/>
      <c r="Z97" s="273"/>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row>
    <row r="98" spans="1:48" ht="12.75">
      <c r="A98" s="131">
        <v>44148</v>
      </c>
      <c r="B98" s="132" t="str">
        <f>IF((COUNTIFS('Cage Tally'!$A:$A,$A98,'Cage Tally'!$C:$C,'Cage tracking'!B$4,'Cage Tally'!$E:$E, "Dark")=0),"",COUNTIFS('Cage Tally'!$A:$A,$A98,'Cage Tally'!$C:$C,'Cage tracking'!B$4,'Cage Tally'!$E:$E, "Dark"))</f>
        <v/>
      </c>
      <c r="C98" s="132" t="str">
        <f>IF((COUNTIFS('Cage Tally'!$A:$A,$A98,'Cage Tally'!$C:$C,'Cage tracking'!C$4,'Cage Tally'!$E:$E, "Dark")=0),"",COUNTIFS('Cage Tally'!$A:$A,$A98,'Cage Tally'!$C:$C,'Cage tracking'!C$4,'Cage Tally'!$E:$E, "Dark"))</f>
        <v/>
      </c>
      <c r="D98" s="132" t="str">
        <f>IF((COUNTIFS('Cage Tally'!$A:$A,$A98,'Cage Tally'!$C:$C,'Cage tracking'!D$4,'Cage Tally'!$E:$E, "Dark")=0),"",COUNTIFS('Cage Tally'!$A:$A,$A98,'Cage Tally'!$C:$C,'Cage tracking'!D$4,'Cage Tally'!$E:$E, "Dark"))</f>
        <v/>
      </c>
      <c r="E98" s="132" t="str">
        <f>IF((COUNTIFS('Cage Tally'!$A:$A,$A98,'Cage Tally'!$C:$C,'Cage tracking'!E$4,'Cage Tally'!$E:$E, "Dark")=0),"",COUNTIFS('Cage Tally'!$A:$A,$A98,'Cage Tally'!$C:$C,'Cage tracking'!E$4,'Cage Tally'!$E:$E, "Dark"))</f>
        <v/>
      </c>
      <c r="F98" s="132" t="str">
        <f>IF((COUNTIFS('Cage Tally'!$A:$A,$A98,'Cage Tally'!$C:$C,'Cage tracking'!F$4,'Cage Tally'!$E:$E, "Dark")=0),"",COUNTIFS('Cage Tally'!$A:$A,$A98,'Cage Tally'!$C:$C,'Cage tracking'!F$4,'Cage Tally'!$E:$E, "Dark"))</f>
        <v/>
      </c>
      <c r="G98" s="132" t="str">
        <f>IF((COUNTIFS('Cage Tally'!$A:$A,$A98,'Cage Tally'!$C:$C,'Cage tracking'!G$4,'Cage Tally'!$E:$E, "Dark")=0),"",COUNTIFS('Cage Tally'!$A:$A,$A98,'Cage Tally'!$C:$C,'Cage tracking'!G$4,'Cage Tally'!$E:$E, "Dark"))</f>
        <v/>
      </c>
      <c r="H98" s="204"/>
      <c r="I98" s="128"/>
      <c r="J98" s="204"/>
      <c r="K98" s="132" t="str">
        <f>IF((COUNTIFS('Cage Tally'!$A:$A,$A98,'Cage Tally'!$C:$C,'Cage tracking'!K$4,'Cage Tally'!$E:$E, "Light")=0),"",COUNTIFS('Cage Tally'!$A:$A,$A98,'Cage Tally'!$C:$C,'Cage tracking'!K$4,'Cage Tally'!$E:$E, "Light"))</f>
        <v/>
      </c>
      <c r="L98" s="132" t="str">
        <f>IF((COUNTIFS('Cage Tally'!$A:$A,$A98,'Cage Tally'!$C:$C,'Cage tracking'!L$4,'Cage Tally'!$E:$E, "Light")=0),"",COUNTIFS('Cage Tally'!$A:$A,$A98,'Cage Tally'!$C:$C,'Cage tracking'!L$4,'Cage Tally'!$E:$E, "Light"))</f>
        <v/>
      </c>
      <c r="M98" s="132" t="str">
        <f>IF((COUNTIFS('Cage Tally'!$A:$A,$A98,'Cage Tally'!$C:$C,'Cage tracking'!M$4,'Cage Tally'!$E:$E, "Light")=0),"",COUNTIFS('Cage Tally'!$A:$A,$A98,'Cage Tally'!$C:$C,'Cage tracking'!M$4,'Cage Tally'!$E:$E, "Light"))</f>
        <v/>
      </c>
      <c r="N98" s="132" t="str">
        <f>IF((COUNTIFS('Cage Tally'!$A:$A,$A98,'Cage Tally'!$C:$C,'Cage tracking'!N$4,'Cage Tally'!$E:$E, "Light")=0),"",COUNTIFS('Cage Tally'!$A:$A,$A98,'Cage Tally'!$C:$C,'Cage tracking'!N$4,'Cage Tally'!$E:$E, "Light"))</f>
        <v/>
      </c>
      <c r="O98" s="132" t="str">
        <f>IF((COUNTIFS('Cage Tally'!$A:$A,$A98,'Cage Tally'!$C:$C,'Cage tracking'!O$4,'Cage Tally'!$E:$E, "Light")=0),"",COUNTIFS('Cage Tally'!$A:$A,$A98,'Cage Tally'!$C:$C,'Cage tracking'!O$4,'Cage Tally'!$E:$E, "Light"))</f>
        <v/>
      </c>
      <c r="P98" s="132" t="str">
        <f>IF((COUNTIFS('Cage Tally'!$A:$A,$A98,'Cage Tally'!$C:$C,'Cage tracking'!P$4,'Cage Tally'!$E:$E, "Light")=0),"",COUNTIFS('Cage Tally'!$A:$A,$A98,'Cage Tally'!$C:$C,'Cage tracking'!P$4,'Cage Tally'!$E:$E, "Light"))</f>
        <v/>
      </c>
      <c r="Q98" s="135"/>
      <c r="R98" s="205"/>
      <c r="S98" s="132" t="str">
        <f>IF((COUNTIFS('Cage Tally'!$A:$A,$A98,'Cage Tally'!$C:$C,'Cage tracking'!S$4,'Cage Tally'!$E:$E, "decomm")=0),"",COUNTIFS('Cage Tally'!$A:$A,$A98,'Cage Tally'!$C:$C,'Cage tracking'!S$4,'Cage Tally'!$E:$E, "decomm"))</f>
        <v/>
      </c>
      <c r="T98" s="132" t="str">
        <f>IF((COUNTIFS('Cage Tally'!$A:$A,$A98,'Cage Tally'!$C:$C,'Cage tracking'!T$4,'Cage Tally'!$E:$E, "decomm")=0),"",COUNTIFS('Cage Tally'!$A:$A,$A98,'Cage Tally'!$C:$C,'Cage tracking'!T$4,'Cage Tally'!$E:$E, "decomm"))</f>
        <v/>
      </c>
      <c r="U98" s="132" t="str">
        <f>IF((COUNTIFS('Cage Tally'!$A:$A,$A98,'Cage Tally'!$C:$C,'Cage tracking'!U$4,'Cage Tally'!$E:$E, "decomm")=0),"",COUNTIFS('Cage Tally'!$A:$A,$A98,'Cage Tally'!$C:$C,'Cage tracking'!U$4,'Cage Tally'!$E:$E, "decomm"))</f>
        <v/>
      </c>
      <c r="V98" s="132" t="str">
        <f>IF((COUNTIFS('Cage Tally'!$A:$A,$A98,'Cage Tally'!$C:$C,'Cage tracking'!V$4,'Cage Tally'!$E:$E, "decomm")=0),"",COUNTIFS('Cage Tally'!$A:$A,$A98,'Cage Tally'!$C:$C,'Cage tracking'!V$4,'Cage Tally'!$E:$E, "decomm"))</f>
        <v/>
      </c>
      <c r="W98" s="132" t="str">
        <f>IF((COUNTIFS('Cage Tally'!$A:$A,$A98,'Cage Tally'!$C:$C,'Cage tracking'!W$4,'Cage Tally'!$E:$E, "decomm")=0),"",COUNTIFS('Cage Tally'!$A:$A,$A98,'Cage Tally'!$C:$C,'Cage tracking'!W$4,'Cage Tally'!$E:$E, "decomm"))</f>
        <v/>
      </c>
      <c r="X98" s="142" t="str">
        <f>IF((COUNTIFS('Cage Tally'!$A:$A,$A98,'Cage Tally'!$C:$C,'Cage tracking'!X$4,'Cage Tally'!$E:$E, "decomm")=0),"",COUNTIFS('Cage Tally'!$A:$A,$A98,'Cage Tally'!$C:$C,'Cage tracking'!X$4,'Cage Tally'!$E:$E, "decomm"))</f>
        <v/>
      </c>
      <c r="Y98" s="273"/>
      <c r="Z98" s="273"/>
      <c r="AA98" s="273"/>
      <c r="AB98" s="273"/>
      <c r="AC98" s="273"/>
      <c r="AD98" s="273"/>
      <c r="AE98" s="273"/>
      <c r="AF98" s="273"/>
      <c r="AG98" s="273"/>
      <c r="AH98" s="273"/>
      <c r="AI98" s="273"/>
      <c r="AJ98" s="273"/>
      <c r="AK98" s="273"/>
      <c r="AL98" s="273"/>
      <c r="AM98" s="273"/>
      <c r="AN98" s="273"/>
      <c r="AO98" s="273"/>
      <c r="AP98" s="273"/>
      <c r="AQ98" s="273"/>
      <c r="AR98" s="273"/>
      <c r="AS98" s="273"/>
      <c r="AT98" s="273"/>
      <c r="AU98" s="273"/>
      <c r="AV98" s="273"/>
    </row>
    <row r="99" spans="1:48" ht="12.75">
      <c r="A99" s="131">
        <v>44149</v>
      </c>
      <c r="B99" s="206" t="str">
        <f>IF((COUNTIFS('Cage Tally'!$A:$A,$A99,'Cage Tally'!$C:$C,'Cage tracking'!B$4,'Cage Tally'!$E:$E, "Dark")=0),"",COUNTIFS('Cage Tally'!$A:$A,$A99,'Cage Tally'!$C:$C,'Cage tracking'!B$4,'Cage Tally'!$E:$E, "Dark"))</f>
        <v/>
      </c>
      <c r="C99" s="206" t="str">
        <f>IF((COUNTIFS('Cage Tally'!$A:$A,$A99,'Cage Tally'!$C:$C,'Cage tracking'!C$4,'Cage Tally'!$E:$E, "Dark")=0),"",COUNTIFS('Cage Tally'!$A:$A,$A99,'Cage Tally'!$C:$C,'Cage tracking'!C$4,'Cage Tally'!$E:$E, "Dark"))</f>
        <v/>
      </c>
      <c r="D99" s="206" t="str">
        <f>IF((COUNTIFS('Cage Tally'!$A:$A,$A99,'Cage Tally'!$C:$C,'Cage tracking'!D$4,'Cage Tally'!$E:$E, "Dark")=0),"",COUNTIFS('Cage Tally'!$A:$A,$A99,'Cage Tally'!$C:$C,'Cage tracking'!D$4,'Cage Tally'!$E:$E, "Dark"))</f>
        <v/>
      </c>
      <c r="E99" s="206" t="str">
        <f>IF((COUNTIFS('Cage Tally'!$A:$A,$A99,'Cage Tally'!$C:$C,'Cage tracking'!E$4,'Cage Tally'!$E:$E, "Dark")=0),"",COUNTIFS('Cage Tally'!$A:$A,$A99,'Cage Tally'!$C:$C,'Cage tracking'!E$4,'Cage Tally'!$E:$E, "Dark"))</f>
        <v/>
      </c>
      <c r="F99" s="206" t="str">
        <f>IF((COUNTIFS('Cage Tally'!$A:$A,$A99,'Cage Tally'!$C:$C,'Cage tracking'!F$4,'Cage Tally'!$E:$E, "Dark")=0),"",COUNTIFS('Cage Tally'!$A:$A,$A99,'Cage Tally'!$C:$C,'Cage tracking'!F$4,'Cage Tally'!$E:$E, "Dark"))</f>
        <v/>
      </c>
      <c r="G99" s="206" t="str">
        <f>IF((COUNTIFS('Cage Tally'!$A:$A,$A99,'Cage Tally'!$C:$C,'Cage tracking'!G$4,'Cage Tally'!$E:$E, "Dark")=0),"",COUNTIFS('Cage Tally'!$A:$A,$A99,'Cage Tally'!$C:$C,'Cage tracking'!G$4,'Cage Tally'!$E:$E, "Dark"))</f>
        <v/>
      </c>
      <c r="H99" s="129"/>
      <c r="I99" s="128"/>
      <c r="J99" s="31"/>
      <c r="K99" s="206" t="str">
        <f>IF((COUNTIFS('Cage Tally'!$A:$A,$A99,'Cage Tally'!$C:$C,'Cage tracking'!K$4,'Cage Tally'!$E:$E, "Light")=0),"",COUNTIFS('Cage Tally'!$A:$A,$A99,'Cage Tally'!$C:$C,'Cage tracking'!K$4,'Cage Tally'!$E:$E, "Light"))</f>
        <v/>
      </c>
      <c r="L99" s="206" t="str">
        <f>IF((COUNTIFS('Cage Tally'!$A:$A,$A99,'Cage Tally'!$C:$C,'Cage tracking'!L$4,'Cage Tally'!$E:$E, "Light")=0),"",COUNTIFS('Cage Tally'!$A:$A,$A99,'Cage Tally'!$C:$C,'Cage tracking'!L$4,'Cage Tally'!$E:$E, "Light"))</f>
        <v/>
      </c>
      <c r="M99" s="206" t="str">
        <f>IF((COUNTIFS('Cage Tally'!$A:$A,$A99,'Cage Tally'!$C:$C,'Cage tracking'!M$4,'Cage Tally'!$E:$E, "Light")=0),"",COUNTIFS('Cage Tally'!$A:$A,$A99,'Cage Tally'!$C:$C,'Cage tracking'!M$4,'Cage Tally'!$E:$E, "Light"))</f>
        <v/>
      </c>
      <c r="N99" s="206" t="str">
        <f>IF((COUNTIFS('Cage Tally'!$A:$A,$A99,'Cage Tally'!$C:$C,'Cage tracking'!N$4,'Cage Tally'!$E:$E, "Light")=0),"",COUNTIFS('Cage Tally'!$A:$A,$A99,'Cage Tally'!$C:$C,'Cage tracking'!N$4,'Cage Tally'!$E:$E, "Light"))</f>
        <v/>
      </c>
      <c r="O99" s="206" t="str">
        <f>IF((COUNTIFS('Cage Tally'!$A:$A,$A99,'Cage Tally'!$C:$C,'Cage tracking'!O$4,'Cage Tally'!$E:$E, "Light")=0),"",COUNTIFS('Cage Tally'!$A:$A,$A99,'Cage Tally'!$C:$C,'Cage tracking'!O$4,'Cage Tally'!$E:$E, "Light"))</f>
        <v/>
      </c>
      <c r="P99" s="206" t="str">
        <f>IF((COUNTIFS('Cage Tally'!$A:$A,$A99,'Cage Tally'!$C:$C,'Cage tracking'!P$4,'Cage Tally'!$E:$E, "Light")=0),"",COUNTIFS('Cage Tally'!$A:$A,$A99,'Cage Tally'!$C:$C,'Cage tracking'!P$4,'Cage Tally'!$E:$E, "Light"))</f>
        <v/>
      </c>
      <c r="Q99" s="206"/>
      <c r="R99" s="130"/>
      <c r="S99" s="206" t="str">
        <f>IF((COUNTIFS('Cage Tally'!$A:$A,$A99,'Cage Tally'!$C:$C,'Cage tracking'!S$4,'Cage Tally'!$E:$E, "decomm")=0),"",COUNTIFS('Cage Tally'!$A:$A,$A99,'Cage Tally'!$C:$C,'Cage tracking'!S$4,'Cage Tally'!$E:$E, "decomm"))</f>
        <v/>
      </c>
      <c r="T99" s="206" t="str">
        <f>IF((COUNTIFS('Cage Tally'!$A:$A,$A99,'Cage Tally'!$C:$C,'Cage tracking'!T$4,'Cage Tally'!$E:$E, "decomm")=0),"",COUNTIFS('Cage Tally'!$A:$A,$A99,'Cage Tally'!$C:$C,'Cage tracking'!T$4,'Cage Tally'!$E:$E, "decomm"))</f>
        <v/>
      </c>
      <c r="U99" s="206" t="str">
        <f>IF((COUNTIFS('Cage Tally'!$A:$A,$A99,'Cage Tally'!$C:$C,'Cage tracking'!U$4,'Cage Tally'!$E:$E, "decomm")=0),"",COUNTIFS('Cage Tally'!$A:$A,$A99,'Cage Tally'!$C:$C,'Cage tracking'!U$4,'Cage Tally'!$E:$E, "decomm"))</f>
        <v/>
      </c>
      <c r="V99" s="206" t="str">
        <f>IF((COUNTIFS('Cage Tally'!$A:$A,$A99,'Cage Tally'!$C:$C,'Cage tracking'!V$4,'Cage Tally'!$E:$E, "decomm")=0),"",COUNTIFS('Cage Tally'!$A:$A,$A99,'Cage Tally'!$C:$C,'Cage tracking'!V$4,'Cage Tally'!$E:$E, "decomm"))</f>
        <v/>
      </c>
      <c r="W99" s="206" t="str">
        <f>IF((COUNTIFS('Cage Tally'!$A:$A,$A99,'Cage Tally'!$C:$C,'Cage tracking'!W$4,'Cage Tally'!$E:$E, "decomm")=0),"",COUNTIFS('Cage Tally'!$A:$A,$A99,'Cage Tally'!$C:$C,'Cage tracking'!W$4,'Cage Tally'!$E:$E, "decomm"))</f>
        <v/>
      </c>
      <c r="X99" s="207" t="str">
        <f>IF((COUNTIFS('Cage Tally'!$A:$A,$A99,'Cage Tally'!$C:$C,'Cage tracking'!X$4,'Cage Tally'!$E:$E, "decomm")=0),"",COUNTIFS('Cage Tally'!$A:$A,$A99,'Cage Tally'!$C:$C,'Cage tracking'!X$4,'Cage Tally'!$E:$E, "decomm"))</f>
        <v/>
      </c>
      <c r="Y99" s="273"/>
      <c r="Z99" s="273"/>
      <c r="AA99" s="273"/>
      <c r="AB99" s="273"/>
      <c r="AC99" s="273"/>
      <c r="AD99" s="273"/>
      <c r="AE99" s="273"/>
      <c r="AF99" s="273"/>
      <c r="AG99" s="273"/>
      <c r="AH99" s="273"/>
      <c r="AI99" s="273"/>
      <c r="AJ99" s="273"/>
      <c r="AK99" s="273"/>
      <c r="AL99" s="273"/>
      <c r="AM99" s="273"/>
      <c r="AN99" s="273"/>
      <c r="AO99" s="273"/>
      <c r="AP99" s="273"/>
      <c r="AQ99" s="273"/>
      <c r="AR99" s="273"/>
      <c r="AS99" s="273"/>
      <c r="AT99" s="273"/>
      <c r="AU99" s="273"/>
      <c r="AV99" s="273"/>
    </row>
    <row r="100" spans="1:48" ht="12.75">
      <c r="A100" s="131">
        <v>44150</v>
      </c>
      <c r="B100" s="132" t="str">
        <f>IF((COUNTIFS('Cage Tally'!$A:$A,$A100,'Cage Tally'!$C:$C,'Cage tracking'!B$4,'Cage Tally'!$E:$E, "Dark")=0),"",COUNTIFS('Cage Tally'!$A:$A,$A100,'Cage Tally'!$C:$C,'Cage tracking'!B$4,'Cage Tally'!$E:$E, "Dark"))</f>
        <v/>
      </c>
      <c r="C100" s="132" t="str">
        <f>IF((COUNTIFS('Cage Tally'!$A:$A,$A100,'Cage Tally'!$C:$C,'Cage tracking'!C$4,'Cage Tally'!$E:$E, "Dark")=0),"",COUNTIFS('Cage Tally'!$A:$A,$A100,'Cage Tally'!$C:$C,'Cage tracking'!C$4,'Cage Tally'!$E:$E, "Dark"))</f>
        <v/>
      </c>
      <c r="D100" s="132" t="str">
        <f>IF((COUNTIFS('Cage Tally'!$A:$A,$A100,'Cage Tally'!$C:$C,'Cage tracking'!D$4,'Cage Tally'!$E:$E, "Dark")=0),"",COUNTIFS('Cage Tally'!$A:$A,$A100,'Cage Tally'!$C:$C,'Cage tracking'!D$4,'Cage Tally'!$E:$E, "Dark"))</f>
        <v/>
      </c>
      <c r="E100" s="132" t="str">
        <f>IF((COUNTIFS('Cage Tally'!$A:$A,$A100,'Cage Tally'!$C:$C,'Cage tracking'!E$4,'Cage Tally'!$E:$E, "Dark")=0),"",COUNTIFS('Cage Tally'!$A:$A,$A100,'Cage Tally'!$C:$C,'Cage tracking'!E$4,'Cage Tally'!$E:$E, "Dark"))</f>
        <v/>
      </c>
      <c r="F100" s="132" t="str">
        <f>IF((COUNTIFS('Cage Tally'!$A:$A,$A100,'Cage Tally'!$C:$C,'Cage tracking'!F$4,'Cage Tally'!$E:$E, "Dark")=0),"",COUNTIFS('Cage Tally'!$A:$A,$A100,'Cage Tally'!$C:$C,'Cage tracking'!F$4,'Cage Tally'!$E:$E, "Dark"))</f>
        <v/>
      </c>
      <c r="G100" s="132" t="str">
        <f>IF((COUNTIFS('Cage Tally'!$A:$A,$A100,'Cage Tally'!$C:$C,'Cage tracking'!G$4,'Cage Tally'!$E:$E, "Dark")=0),"",COUNTIFS('Cage Tally'!$A:$A,$A100,'Cage Tally'!$C:$C,'Cage tracking'!G$4,'Cage Tally'!$E:$E, "Dark"))</f>
        <v/>
      </c>
      <c r="H100" s="204"/>
      <c r="I100" s="128"/>
      <c r="J100" s="204"/>
      <c r="K100" s="132" t="str">
        <f>IF((COUNTIFS('Cage Tally'!$A:$A,$A100,'Cage Tally'!$C:$C,'Cage tracking'!K$4,'Cage Tally'!$E:$E, "Light")=0),"",COUNTIFS('Cage Tally'!$A:$A,$A100,'Cage Tally'!$C:$C,'Cage tracking'!K$4,'Cage Tally'!$E:$E, "Light"))</f>
        <v/>
      </c>
      <c r="L100" s="132" t="str">
        <f>IF((COUNTIFS('Cage Tally'!$A:$A,$A100,'Cage Tally'!$C:$C,'Cage tracking'!L$4,'Cage Tally'!$E:$E, "Light")=0),"",COUNTIFS('Cage Tally'!$A:$A,$A100,'Cage Tally'!$C:$C,'Cage tracking'!L$4,'Cage Tally'!$E:$E, "Light"))</f>
        <v/>
      </c>
      <c r="M100" s="132" t="str">
        <f>IF((COUNTIFS('Cage Tally'!$A:$A,$A100,'Cage Tally'!$C:$C,'Cage tracking'!M$4,'Cage Tally'!$E:$E, "Light")=0),"",COUNTIFS('Cage Tally'!$A:$A,$A100,'Cage Tally'!$C:$C,'Cage tracking'!M$4,'Cage Tally'!$E:$E, "Light"))</f>
        <v/>
      </c>
      <c r="N100" s="132" t="str">
        <f>IF((COUNTIFS('Cage Tally'!$A:$A,$A100,'Cage Tally'!$C:$C,'Cage tracking'!N$4,'Cage Tally'!$E:$E, "Light")=0),"",COUNTIFS('Cage Tally'!$A:$A,$A100,'Cage Tally'!$C:$C,'Cage tracking'!N$4,'Cage Tally'!$E:$E, "Light"))</f>
        <v/>
      </c>
      <c r="O100" s="132" t="str">
        <f>IF((COUNTIFS('Cage Tally'!$A:$A,$A100,'Cage Tally'!$C:$C,'Cage tracking'!O$4,'Cage Tally'!$E:$E, "Light")=0),"",COUNTIFS('Cage Tally'!$A:$A,$A100,'Cage Tally'!$C:$C,'Cage tracking'!O$4,'Cage Tally'!$E:$E, "Light"))</f>
        <v/>
      </c>
      <c r="P100" s="132" t="str">
        <f>IF((COUNTIFS('Cage Tally'!$A:$A,$A100,'Cage Tally'!$C:$C,'Cage tracking'!P$4,'Cage Tally'!$E:$E, "Light")=0),"",COUNTIFS('Cage Tally'!$A:$A,$A100,'Cage Tally'!$C:$C,'Cage tracking'!P$4,'Cage Tally'!$E:$E, "Light"))</f>
        <v/>
      </c>
      <c r="Q100" s="135"/>
      <c r="R100" s="205"/>
      <c r="S100" s="132" t="str">
        <f>IF((COUNTIFS('Cage Tally'!$A:$A,$A100,'Cage Tally'!$C:$C,'Cage tracking'!S$4,'Cage Tally'!$E:$E, "decomm")=0),"",COUNTIFS('Cage Tally'!$A:$A,$A100,'Cage Tally'!$C:$C,'Cage tracking'!S$4,'Cage Tally'!$E:$E, "decomm"))</f>
        <v/>
      </c>
      <c r="T100" s="132" t="str">
        <f>IF((COUNTIFS('Cage Tally'!$A:$A,$A100,'Cage Tally'!$C:$C,'Cage tracking'!T$4,'Cage Tally'!$E:$E, "decomm")=0),"",COUNTIFS('Cage Tally'!$A:$A,$A100,'Cage Tally'!$C:$C,'Cage tracking'!T$4,'Cage Tally'!$E:$E, "decomm"))</f>
        <v/>
      </c>
      <c r="U100" s="132" t="str">
        <f>IF((COUNTIFS('Cage Tally'!$A:$A,$A100,'Cage Tally'!$C:$C,'Cage tracking'!U$4,'Cage Tally'!$E:$E, "decomm")=0),"",COUNTIFS('Cage Tally'!$A:$A,$A100,'Cage Tally'!$C:$C,'Cage tracking'!U$4,'Cage Tally'!$E:$E, "decomm"))</f>
        <v/>
      </c>
      <c r="V100" s="132" t="str">
        <f>IF((COUNTIFS('Cage Tally'!$A:$A,$A100,'Cage Tally'!$C:$C,'Cage tracking'!V$4,'Cage Tally'!$E:$E, "decomm")=0),"",COUNTIFS('Cage Tally'!$A:$A,$A100,'Cage Tally'!$C:$C,'Cage tracking'!V$4,'Cage Tally'!$E:$E, "decomm"))</f>
        <v/>
      </c>
      <c r="W100" s="132" t="str">
        <f>IF((COUNTIFS('Cage Tally'!$A:$A,$A100,'Cage Tally'!$C:$C,'Cage tracking'!W$4,'Cage Tally'!$E:$E, "decomm")=0),"",COUNTIFS('Cage Tally'!$A:$A,$A100,'Cage Tally'!$C:$C,'Cage tracking'!W$4,'Cage Tally'!$E:$E, "decomm"))</f>
        <v/>
      </c>
      <c r="X100" s="142" t="str">
        <f>IF((COUNTIFS('Cage Tally'!$A:$A,$A100,'Cage Tally'!$C:$C,'Cage tracking'!X$4,'Cage Tally'!$E:$E, "decomm")=0),"",COUNTIFS('Cage Tally'!$A:$A,$A100,'Cage Tally'!$C:$C,'Cage tracking'!X$4,'Cage Tally'!$E:$E, "decomm"))</f>
        <v/>
      </c>
      <c r="Y100" s="273"/>
      <c r="Z100" s="273"/>
      <c r="AA100" s="273"/>
      <c r="AB100" s="273"/>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row>
    <row r="101" spans="1:48" ht="12.75">
      <c r="A101" s="138"/>
      <c r="B101" s="31"/>
      <c r="C101" s="31"/>
      <c r="D101" s="31"/>
      <c r="E101" s="31"/>
      <c r="F101" s="31"/>
      <c r="G101" s="31"/>
      <c r="H101" s="129"/>
      <c r="I101" s="128"/>
      <c r="J101" s="31"/>
      <c r="K101" s="31"/>
      <c r="L101" s="31"/>
      <c r="M101" s="31"/>
      <c r="N101" s="31"/>
      <c r="O101" s="31"/>
      <c r="P101" s="31"/>
      <c r="Q101" s="129"/>
      <c r="R101" s="130"/>
      <c r="S101" s="31"/>
      <c r="T101" s="31"/>
      <c r="U101" s="31"/>
      <c r="V101" s="31"/>
      <c r="W101" s="31"/>
      <c r="X101" s="140"/>
      <c r="Y101" s="273"/>
      <c r="Z101" s="273"/>
      <c r="AA101" s="273"/>
      <c r="AB101" s="273"/>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row>
    <row r="102" spans="1:48" ht="12.75">
      <c r="A102" s="139"/>
      <c r="B102" s="132"/>
      <c r="C102" s="132"/>
      <c r="D102" s="132"/>
      <c r="E102" s="132"/>
      <c r="F102" s="132"/>
      <c r="G102" s="132"/>
      <c r="H102" s="135"/>
      <c r="I102" s="134"/>
      <c r="J102" s="132"/>
      <c r="K102" s="132"/>
      <c r="L102" s="132"/>
      <c r="M102" s="132"/>
      <c r="N102" s="132"/>
      <c r="O102" s="132"/>
      <c r="P102" s="132"/>
      <c r="Q102" s="135"/>
      <c r="R102" s="136"/>
      <c r="S102" s="132"/>
      <c r="T102" s="132"/>
      <c r="U102" s="132"/>
      <c r="V102" s="132"/>
      <c r="W102" s="132"/>
      <c r="X102" s="142"/>
      <c r="Y102" s="273"/>
      <c r="Z102" s="273"/>
      <c r="AA102" s="273"/>
      <c r="AB102" s="273"/>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row>
    <row r="103" spans="1:48" ht="12.75">
      <c r="A103" s="138"/>
      <c r="B103" s="31"/>
      <c r="C103" s="31"/>
      <c r="D103" s="31"/>
      <c r="E103" s="31"/>
      <c r="F103" s="31"/>
      <c r="G103" s="31"/>
      <c r="H103" s="129"/>
      <c r="I103" s="128"/>
      <c r="J103" s="31"/>
      <c r="K103" s="31"/>
      <c r="L103" s="31"/>
      <c r="M103" s="31"/>
      <c r="N103" s="31"/>
      <c r="O103" s="31"/>
      <c r="P103" s="31"/>
      <c r="Q103" s="129"/>
      <c r="R103" s="130"/>
      <c r="S103" s="31"/>
      <c r="T103" s="31"/>
      <c r="U103" s="31"/>
      <c r="V103" s="31"/>
      <c r="W103" s="31"/>
      <c r="X103" s="140"/>
      <c r="Y103" s="273"/>
      <c r="Z103" s="273"/>
      <c r="AA103" s="273"/>
      <c r="AB103" s="273"/>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row>
    <row r="104" spans="1:48" ht="12.75">
      <c r="A104" s="139"/>
      <c r="B104" s="132"/>
      <c r="C104" s="132"/>
      <c r="D104" s="132"/>
      <c r="E104" s="132"/>
      <c r="F104" s="132"/>
      <c r="G104" s="132"/>
      <c r="H104" s="135"/>
      <c r="I104" s="134"/>
      <c r="J104" s="132"/>
      <c r="K104" s="132"/>
      <c r="L104" s="132"/>
      <c r="M104" s="132"/>
      <c r="N104" s="132"/>
      <c r="O104" s="132"/>
      <c r="P104" s="132"/>
      <c r="Q104" s="135"/>
      <c r="R104" s="136"/>
      <c r="S104" s="132"/>
      <c r="T104" s="132"/>
      <c r="U104" s="132"/>
      <c r="V104" s="132"/>
      <c r="W104" s="132"/>
      <c r="X104" s="142"/>
      <c r="Y104" s="273"/>
      <c r="Z104" s="273"/>
      <c r="AA104" s="273"/>
      <c r="AB104" s="273"/>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row>
    <row r="105" spans="1:48" ht="12.75">
      <c r="A105" s="138"/>
      <c r="B105" s="31"/>
      <c r="C105" s="31"/>
      <c r="D105" s="31"/>
      <c r="E105" s="31"/>
      <c r="F105" s="31"/>
      <c r="G105" s="31"/>
      <c r="H105" s="129"/>
      <c r="I105" s="128"/>
      <c r="J105" s="31"/>
      <c r="K105" s="31"/>
      <c r="L105" s="31"/>
      <c r="M105" s="31"/>
      <c r="N105" s="31"/>
      <c r="O105" s="31"/>
      <c r="P105" s="31"/>
      <c r="Q105" s="129"/>
      <c r="R105" s="130"/>
      <c r="S105" s="31"/>
      <c r="T105" s="31"/>
      <c r="U105" s="31"/>
      <c r="V105" s="31"/>
      <c r="W105" s="31"/>
      <c r="X105" s="140"/>
      <c r="Y105" s="273"/>
      <c r="Z105" s="273"/>
      <c r="AA105" s="273"/>
      <c r="AB105" s="273"/>
      <c r="AC105" s="273"/>
      <c r="AD105" s="273"/>
      <c r="AE105" s="273"/>
      <c r="AF105" s="273"/>
      <c r="AG105" s="273"/>
      <c r="AH105" s="273"/>
      <c r="AI105" s="273"/>
      <c r="AJ105" s="273"/>
      <c r="AK105" s="273"/>
      <c r="AL105" s="273"/>
      <c r="AM105" s="273"/>
      <c r="AN105" s="273"/>
      <c r="AO105" s="273"/>
      <c r="AP105" s="273"/>
      <c r="AQ105" s="273"/>
      <c r="AR105" s="273"/>
      <c r="AS105" s="273"/>
      <c r="AT105" s="273"/>
      <c r="AU105" s="273"/>
      <c r="AV105" s="273"/>
    </row>
    <row r="106" spans="1:48" ht="12.75">
      <c r="A106" s="139"/>
      <c r="B106" s="132"/>
      <c r="C106" s="132"/>
      <c r="D106" s="132"/>
      <c r="E106" s="132"/>
      <c r="F106" s="132"/>
      <c r="G106" s="132"/>
      <c r="H106" s="135"/>
      <c r="I106" s="134"/>
      <c r="J106" s="132"/>
      <c r="K106" s="132"/>
      <c r="L106" s="132"/>
      <c r="M106" s="132"/>
      <c r="N106" s="132"/>
      <c r="O106" s="132"/>
      <c r="P106" s="132"/>
      <c r="Q106" s="135"/>
      <c r="R106" s="136"/>
      <c r="S106" s="132"/>
      <c r="T106" s="132"/>
      <c r="U106" s="132"/>
      <c r="V106" s="132"/>
      <c r="W106" s="132"/>
      <c r="X106" s="142"/>
      <c r="Y106" s="273"/>
      <c r="Z106" s="273"/>
      <c r="AA106" s="273"/>
      <c r="AB106" s="273"/>
      <c r="AC106" s="273"/>
      <c r="AD106" s="273"/>
      <c r="AE106" s="273"/>
      <c r="AF106" s="273"/>
      <c r="AG106" s="273"/>
      <c r="AH106" s="273"/>
      <c r="AI106" s="273"/>
      <c r="AJ106" s="273"/>
      <c r="AK106" s="273"/>
      <c r="AL106" s="273"/>
      <c r="AM106" s="273"/>
      <c r="AN106" s="273"/>
      <c r="AO106" s="273"/>
      <c r="AP106" s="273"/>
      <c r="AQ106" s="273"/>
      <c r="AR106" s="273"/>
      <c r="AS106" s="273"/>
      <c r="AT106" s="273"/>
      <c r="AU106" s="273"/>
      <c r="AV106" s="273"/>
    </row>
    <row r="107" spans="1:48" ht="12.75">
      <c r="A107" s="138"/>
      <c r="B107" s="31"/>
      <c r="C107" s="31"/>
      <c r="D107" s="31"/>
      <c r="E107" s="31"/>
      <c r="F107" s="31"/>
      <c r="G107" s="31"/>
      <c r="H107" s="129"/>
      <c r="I107" s="128"/>
      <c r="J107" s="31"/>
      <c r="K107" s="31"/>
      <c r="L107" s="31"/>
      <c r="M107" s="31"/>
      <c r="N107" s="31"/>
      <c r="O107" s="31"/>
      <c r="P107" s="31"/>
      <c r="Q107" s="129"/>
      <c r="R107" s="130"/>
      <c r="S107" s="31"/>
      <c r="T107" s="31"/>
      <c r="U107" s="31"/>
      <c r="V107" s="31"/>
      <c r="W107" s="31"/>
      <c r="X107" s="140"/>
      <c r="Y107" s="273"/>
      <c r="Z107" s="273"/>
      <c r="AA107" s="273"/>
      <c r="AB107" s="273"/>
      <c r="AC107" s="273"/>
      <c r="AD107" s="273"/>
      <c r="AE107" s="273"/>
      <c r="AF107" s="273"/>
      <c r="AG107" s="273"/>
      <c r="AH107" s="273"/>
      <c r="AI107" s="273"/>
      <c r="AJ107" s="273"/>
      <c r="AK107" s="273"/>
      <c r="AL107" s="273"/>
      <c r="AM107" s="273"/>
      <c r="AN107" s="273"/>
      <c r="AO107" s="273"/>
      <c r="AP107" s="273"/>
      <c r="AQ107" s="273"/>
      <c r="AR107" s="273"/>
      <c r="AS107" s="273"/>
      <c r="AT107" s="273"/>
      <c r="AU107" s="273"/>
      <c r="AV107" s="273"/>
    </row>
    <row r="108" spans="1:48" ht="12.75">
      <c r="A108" s="139"/>
      <c r="B108" s="132"/>
      <c r="C108" s="132"/>
      <c r="D108" s="132"/>
      <c r="E108" s="132"/>
      <c r="F108" s="132"/>
      <c r="G108" s="132"/>
      <c r="H108" s="135"/>
      <c r="I108" s="134"/>
      <c r="J108" s="132"/>
      <c r="K108" s="132"/>
      <c r="L108" s="132"/>
      <c r="M108" s="132"/>
      <c r="N108" s="132"/>
      <c r="O108" s="132"/>
      <c r="P108" s="132"/>
      <c r="Q108" s="135"/>
      <c r="R108" s="136"/>
      <c r="S108" s="132"/>
      <c r="T108" s="132"/>
      <c r="U108" s="132"/>
      <c r="V108" s="132"/>
      <c r="W108" s="132"/>
      <c r="X108" s="142"/>
      <c r="Y108" s="273"/>
      <c r="Z108" s="273"/>
      <c r="AA108" s="273"/>
      <c r="AB108" s="273"/>
      <c r="AC108" s="273"/>
      <c r="AD108" s="273"/>
      <c r="AE108" s="273"/>
      <c r="AF108" s="273"/>
      <c r="AG108" s="273"/>
      <c r="AH108" s="273"/>
      <c r="AI108" s="273"/>
      <c r="AJ108" s="273"/>
      <c r="AK108" s="273"/>
      <c r="AL108" s="273"/>
      <c r="AM108" s="273"/>
      <c r="AN108" s="273"/>
      <c r="AO108" s="273"/>
      <c r="AP108" s="273"/>
      <c r="AQ108" s="273"/>
      <c r="AR108" s="273"/>
      <c r="AS108" s="273"/>
      <c r="AT108" s="273"/>
      <c r="AU108" s="273"/>
      <c r="AV108" s="273"/>
    </row>
    <row r="109" spans="1:48" ht="12.75">
      <c r="A109" s="138"/>
      <c r="B109" s="31"/>
      <c r="C109" s="31"/>
      <c r="D109" s="31"/>
      <c r="E109" s="31"/>
      <c r="F109" s="31"/>
      <c r="G109" s="31"/>
      <c r="H109" s="129"/>
      <c r="I109" s="128"/>
      <c r="J109" s="31"/>
      <c r="K109" s="31"/>
      <c r="L109" s="31"/>
      <c r="M109" s="31"/>
      <c r="N109" s="31"/>
      <c r="O109" s="31"/>
      <c r="P109" s="31"/>
      <c r="Q109" s="129"/>
      <c r="R109" s="130"/>
      <c r="S109" s="31"/>
      <c r="T109" s="31"/>
      <c r="U109" s="31"/>
      <c r="V109" s="31"/>
      <c r="W109" s="31"/>
      <c r="X109" s="140"/>
      <c r="Y109" s="273"/>
      <c r="Z109" s="273"/>
      <c r="AA109" s="273"/>
      <c r="AB109" s="273"/>
      <c r="AC109" s="273"/>
      <c r="AD109" s="273"/>
      <c r="AE109" s="273"/>
      <c r="AF109" s="273"/>
      <c r="AG109" s="273"/>
      <c r="AH109" s="273"/>
      <c r="AI109" s="273"/>
      <c r="AJ109" s="273"/>
      <c r="AK109" s="273"/>
      <c r="AL109" s="273"/>
      <c r="AM109" s="273"/>
      <c r="AN109" s="273"/>
      <c r="AO109" s="273"/>
      <c r="AP109" s="273"/>
      <c r="AQ109" s="273"/>
      <c r="AR109" s="273"/>
      <c r="AS109" s="273"/>
      <c r="AT109" s="273"/>
      <c r="AU109" s="273"/>
      <c r="AV109" s="273"/>
    </row>
    <row r="110" spans="1:48" ht="12.75">
      <c r="A110" s="139"/>
      <c r="B110" s="132"/>
      <c r="C110" s="132"/>
      <c r="D110" s="132"/>
      <c r="E110" s="132"/>
      <c r="F110" s="132"/>
      <c r="G110" s="132"/>
      <c r="H110" s="135"/>
      <c r="I110" s="134"/>
      <c r="J110" s="132"/>
      <c r="K110" s="132"/>
      <c r="L110" s="132"/>
      <c r="M110" s="132"/>
      <c r="N110" s="132"/>
      <c r="O110" s="132"/>
      <c r="P110" s="132"/>
      <c r="Q110" s="135"/>
      <c r="R110" s="136"/>
      <c r="S110" s="132"/>
      <c r="T110" s="132"/>
      <c r="U110" s="132"/>
      <c r="V110" s="132"/>
      <c r="W110" s="132"/>
      <c r="X110" s="142"/>
      <c r="Y110" s="273"/>
      <c r="Z110" s="273"/>
      <c r="AA110" s="273"/>
      <c r="AB110" s="273"/>
      <c r="AC110" s="273"/>
      <c r="AD110" s="273"/>
      <c r="AE110" s="273"/>
      <c r="AF110" s="273"/>
      <c r="AG110" s="273"/>
      <c r="AH110" s="273"/>
      <c r="AI110" s="273"/>
      <c r="AJ110" s="273"/>
      <c r="AK110" s="273"/>
      <c r="AL110" s="273"/>
      <c r="AM110" s="273"/>
      <c r="AN110" s="273"/>
      <c r="AO110" s="273"/>
      <c r="AP110" s="273"/>
      <c r="AQ110" s="273"/>
      <c r="AR110" s="273"/>
      <c r="AS110" s="273"/>
      <c r="AT110" s="273"/>
      <c r="AU110" s="273"/>
      <c r="AV110" s="273"/>
    </row>
    <row r="111" spans="1:48" ht="12.75">
      <c r="A111" s="138"/>
      <c r="B111" s="31"/>
      <c r="C111" s="31"/>
      <c r="D111" s="31"/>
      <c r="E111" s="31"/>
      <c r="F111" s="31"/>
      <c r="G111" s="31"/>
      <c r="H111" s="129"/>
      <c r="I111" s="128"/>
      <c r="J111" s="31"/>
      <c r="K111" s="31"/>
      <c r="L111" s="31"/>
      <c r="M111" s="31"/>
      <c r="N111" s="31"/>
      <c r="O111" s="31"/>
      <c r="P111" s="31"/>
      <c r="Q111" s="129"/>
      <c r="R111" s="130"/>
      <c r="S111" s="31"/>
      <c r="T111" s="31"/>
      <c r="U111" s="31"/>
      <c r="V111" s="31"/>
      <c r="W111" s="31"/>
      <c r="X111" s="140"/>
      <c r="Y111" s="273"/>
      <c r="Z111" s="273"/>
      <c r="AA111" s="273"/>
      <c r="AB111" s="273"/>
      <c r="AC111" s="273"/>
      <c r="AD111" s="273"/>
      <c r="AE111" s="273"/>
      <c r="AF111" s="273"/>
      <c r="AG111" s="273"/>
      <c r="AH111" s="273"/>
      <c r="AI111" s="273"/>
      <c r="AJ111" s="273"/>
      <c r="AK111" s="273"/>
      <c r="AL111" s="273"/>
      <c r="AM111" s="273"/>
      <c r="AN111" s="273"/>
      <c r="AO111" s="273"/>
      <c r="AP111" s="273"/>
      <c r="AQ111" s="273"/>
      <c r="AR111" s="273"/>
      <c r="AS111" s="273"/>
      <c r="AT111" s="273"/>
      <c r="AU111" s="273"/>
      <c r="AV111" s="273"/>
    </row>
    <row r="112" spans="1:48" ht="12.75">
      <c r="A112" s="139"/>
      <c r="B112" s="132"/>
      <c r="C112" s="132"/>
      <c r="D112" s="132"/>
      <c r="E112" s="132"/>
      <c r="F112" s="132"/>
      <c r="G112" s="132"/>
      <c r="H112" s="135"/>
      <c r="I112" s="134"/>
      <c r="J112" s="132"/>
      <c r="K112" s="132"/>
      <c r="L112" s="132"/>
      <c r="M112" s="132"/>
      <c r="N112" s="132"/>
      <c r="O112" s="132"/>
      <c r="P112" s="132"/>
      <c r="Q112" s="135"/>
      <c r="R112" s="136"/>
      <c r="S112" s="132"/>
      <c r="T112" s="132"/>
      <c r="U112" s="132"/>
      <c r="V112" s="132"/>
      <c r="W112" s="132"/>
      <c r="X112" s="142"/>
      <c r="Y112" s="273"/>
      <c r="Z112" s="273"/>
      <c r="AA112" s="273"/>
      <c r="AB112" s="273"/>
      <c r="AC112" s="273"/>
      <c r="AD112" s="273"/>
      <c r="AE112" s="273"/>
      <c r="AF112" s="273"/>
      <c r="AG112" s="273"/>
      <c r="AH112" s="273"/>
      <c r="AI112" s="273"/>
      <c r="AJ112" s="273"/>
      <c r="AK112" s="273"/>
      <c r="AL112" s="273"/>
      <c r="AM112" s="273"/>
      <c r="AN112" s="273"/>
      <c r="AO112" s="273"/>
      <c r="AP112" s="273"/>
      <c r="AQ112" s="273"/>
      <c r="AR112" s="273"/>
      <c r="AS112" s="273"/>
      <c r="AT112" s="273"/>
      <c r="AU112" s="273"/>
      <c r="AV112" s="273"/>
    </row>
    <row r="113" spans="1:48" ht="12.75">
      <c r="A113" s="138"/>
      <c r="B113" s="31"/>
      <c r="C113" s="31"/>
      <c r="D113" s="31"/>
      <c r="E113" s="31"/>
      <c r="F113" s="31"/>
      <c r="G113" s="31"/>
      <c r="H113" s="129"/>
      <c r="I113" s="128"/>
      <c r="J113" s="31"/>
      <c r="K113" s="31"/>
      <c r="L113" s="31"/>
      <c r="M113" s="31"/>
      <c r="N113" s="31"/>
      <c r="O113" s="31"/>
      <c r="P113" s="31"/>
      <c r="Q113" s="129"/>
      <c r="R113" s="130"/>
      <c r="S113" s="31"/>
      <c r="T113" s="31"/>
      <c r="U113" s="31"/>
      <c r="V113" s="31"/>
      <c r="W113" s="31"/>
      <c r="X113" s="140"/>
      <c r="Y113" s="273"/>
      <c r="Z113" s="273"/>
      <c r="AA113" s="273"/>
      <c r="AB113" s="273"/>
      <c r="AC113" s="273"/>
      <c r="AD113" s="273"/>
      <c r="AE113" s="273"/>
      <c r="AF113" s="273"/>
      <c r="AG113" s="273"/>
      <c r="AH113" s="273"/>
      <c r="AI113" s="273"/>
      <c r="AJ113" s="273"/>
      <c r="AK113" s="273"/>
      <c r="AL113" s="273"/>
      <c r="AM113" s="273"/>
      <c r="AN113" s="273"/>
      <c r="AO113" s="273"/>
      <c r="AP113" s="273"/>
      <c r="AQ113" s="273"/>
      <c r="AR113" s="273"/>
      <c r="AS113" s="273"/>
      <c r="AT113" s="273"/>
      <c r="AU113" s="273"/>
      <c r="AV113" s="273"/>
    </row>
    <row r="114" spans="1:48" ht="12.75">
      <c r="A114" s="139"/>
      <c r="B114" s="132"/>
      <c r="C114" s="132"/>
      <c r="D114" s="132"/>
      <c r="E114" s="132"/>
      <c r="F114" s="132"/>
      <c r="G114" s="132"/>
      <c r="H114" s="135"/>
      <c r="I114" s="134"/>
      <c r="J114" s="132"/>
      <c r="K114" s="132"/>
      <c r="L114" s="132"/>
      <c r="M114" s="132"/>
      <c r="N114" s="132"/>
      <c r="O114" s="132"/>
      <c r="P114" s="132"/>
      <c r="Q114" s="135"/>
      <c r="R114" s="136"/>
      <c r="S114" s="132"/>
      <c r="T114" s="132"/>
      <c r="U114" s="132"/>
      <c r="V114" s="132"/>
      <c r="W114" s="132"/>
      <c r="X114" s="142"/>
      <c r="Y114" s="273"/>
      <c r="Z114" s="273"/>
      <c r="AA114" s="273"/>
      <c r="AB114" s="273"/>
      <c r="AC114" s="273"/>
      <c r="AD114" s="273"/>
      <c r="AE114" s="273"/>
      <c r="AF114" s="273"/>
      <c r="AG114" s="273"/>
      <c r="AH114" s="273"/>
      <c r="AI114" s="273"/>
      <c r="AJ114" s="273"/>
      <c r="AK114" s="273"/>
      <c r="AL114" s="273"/>
      <c r="AM114" s="273"/>
      <c r="AN114" s="273"/>
      <c r="AO114" s="273"/>
      <c r="AP114" s="273"/>
      <c r="AQ114" s="273"/>
      <c r="AR114" s="273"/>
      <c r="AS114" s="273"/>
      <c r="AT114" s="273"/>
      <c r="AU114" s="273"/>
      <c r="AV114" s="273"/>
    </row>
    <row r="115" spans="1:48" ht="12.75">
      <c r="A115" s="138"/>
      <c r="B115" s="31"/>
      <c r="C115" s="31"/>
      <c r="D115" s="31"/>
      <c r="E115" s="31"/>
      <c r="F115" s="31"/>
      <c r="G115" s="31"/>
      <c r="H115" s="129"/>
      <c r="I115" s="128"/>
      <c r="J115" s="31"/>
      <c r="K115" s="31"/>
      <c r="L115" s="31"/>
      <c r="M115" s="31"/>
      <c r="N115" s="31"/>
      <c r="O115" s="31"/>
      <c r="P115" s="31"/>
      <c r="Q115" s="129"/>
      <c r="R115" s="130"/>
      <c r="S115" s="31"/>
      <c r="T115" s="31"/>
      <c r="U115" s="31"/>
      <c r="V115" s="31"/>
      <c r="W115" s="31"/>
      <c r="X115" s="140"/>
      <c r="Y115" s="273"/>
      <c r="Z115" s="273"/>
      <c r="AA115" s="273"/>
      <c r="AB115" s="273"/>
      <c r="AC115" s="273"/>
      <c r="AD115" s="273"/>
      <c r="AE115" s="273"/>
      <c r="AF115" s="273"/>
      <c r="AG115" s="273"/>
      <c r="AH115" s="273"/>
      <c r="AI115" s="273"/>
      <c r="AJ115" s="273"/>
      <c r="AK115" s="273"/>
      <c r="AL115" s="273"/>
      <c r="AM115" s="273"/>
      <c r="AN115" s="273"/>
      <c r="AO115" s="273"/>
      <c r="AP115" s="273"/>
      <c r="AQ115" s="273"/>
      <c r="AR115" s="273"/>
      <c r="AS115" s="273"/>
      <c r="AT115" s="273"/>
      <c r="AU115" s="273"/>
      <c r="AV115" s="273"/>
    </row>
    <row r="116" spans="1:48" ht="12.75">
      <c r="A116" s="139"/>
      <c r="B116" s="132"/>
      <c r="C116" s="132"/>
      <c r="D116" s="132"/>
      <c r="E116" s="132"/>
      <c r="F116" s="132"/>
      <c r="G116" s="132"/>
      <c r="H116" s="135"/>
      <c r="I116" s="134"/>
      <c r="J116" s="132"/>
      <c r="K116" s="132"/>
      <c r="L116" s="132"/>
      <c r="M116" s="132"/>
      <c r="N116" s="132"/>
      <c r="O116" s="132"/>
      <c r="P116" s="132"/>
      <c r="Q116" s="135"/>
      <c r="R116" s="136"/>
      <c r="S116" s="132"/>
      <c r="T116" s="132"/>
      <c r="U116" s="132"/>
      <c r="V116" s="132"/>
      <c r="W116" s="132"/>
      <c r="X116" s="142"/>
      <c r="Y116" s="273"/>
      <c r="Z116" s="273"/>
      <c r="AA116" s="273"/>
      <c r="AB116" s="273"/>
      <c r="AC116" s="273"/>
      <c r="AD116" s="273"/>
      <c r="AE116" s="273"/>
      <c r="AF116" s="273"/>
      <c r="AG116" s="273"/>
      <c r="AH116" s="273"/>
      <c r="AI116" s="273"/>
      <c r="AJ116" s="273"/>
      <c r="AK116" s="273"/>
      <c r="AL116" s="273"/>
      <c r="AM116" s="273"/>
      <c r="AN116" s="273"/>
      <c r="AO116" s="273"/>
      <c r="AP116" s="273"/>
      <c r="AQ116" s="273"/>
      <c r="AR116" s="273"/>
      <c r="AS116" s="273"/>
      <c r="AT116" s="273"/>
      <c r="AU116" s="273"/>
      <c r="AV116" s="273"/>
    </row>
    <row r="117" spans="1:48" ht="12.75">
      <c r="A117" s="138"/>
      <c r="B117" s="31"/>
      <c r="C117" s="31"/>
      <c r="D117" s="31"/>
      <c r="E117" s="31"/>
      <c r="F117" s="31"/>
      <c r="G117" s="31"/>
      <c r="H117" s="129"/>
      <c r="I117" s="128"/>
      <c r="J117" s="31"/>
      <c r="K117" s="31"/>
      <c r="L117" s="31"/>
      <c r="M117" s="31"/>
      <c r="N117" s="31"/>
      <c r="O117" s="31"/>
      <c r="P117" s="31"/>
      <c r="Q117" s="129"/>
      <c r="R117" s="130"/>
      <c r="S117" s="31"/>
      <c r="T117" s="31"/>
      <c r="U117" s="31"/>
      <c r="V117" s="31"/>
      <c r="W117" s="31"/>
      <c r="X117" s="140"/>
      <c r="Y117" s="273"/>
      <c r="Z117" s="273"/>
      <c r="AA117" s="273"/>
      <c r="AB117" s="273"/>
      <c r="AC117" s="273"/>
      <c r="AD117" s="273"/>
      <c r="AE117" s="273"/>
      <c r="AF117" s="273"/>
      <c r="AG117" s="273"/>
      <c r="AH117" s="273"/>
      <c r="AI117" s="273"/>
      <c r="AJ117" s="273"/>
      <c r="AK117" s="273"/>
      <c r="AL117" s="273"/>
      <c r="AM117" s="273"/>
      <c r="AN117" s="273"/>
      <c r="AO117" s="273"/>
      <c r="AP117" s="273"/>
      <c r="AQ117" s="273"/>
      <c r="AR117" s="273"/>
      <c r="AS117" s="273"/>
      <c r="AT117" s="273"/>
      <c r="AU117" s="273"/>
      <c r="AV117" s="273"/>
    </row>
    <row r="118" spans="1:48" ht="12.75">
      <c r="A118" s="139"/>
      <c r="B118" s="132"/>
      <c r="C118" s="132"/>
      <c r="D118" s="132"/>
      <c r="E118" s="132"/>
      <c r="F118" s="132"/>
      <c r="G118" s="132"/>
      <c r="H118" s="135"/>
      <c r="I118" s="134"/>
      <c r="J118" s="132"/>
      <c r="K118" s="132"/>
      <c r="L118" s="132"/>
      <c r="M118" s="132"/>
      <c r="N118" s="132"/>
      <c r="O118" s="132"/>
      <c r="P118" s="132"/>
      <c r="Q118" s="135"/>
      <c r="R118" s="136"/>
      <c r="S118" s="132"/>
      <c r="T118" s="132"/>
      <c r="U118" s="132"/>
      <c r="V118" s="132"/>
      <c r="W118" s="132"/>
      <c r="X118" s="142"/>
      <c r="Y118" s="273"/>
      <c r="Z118" s="273"/>
      <c r="AA118" s="273"/>
      <c r="AB118" s="273"/>
      <c r="AC118" s="273"/>
      <c r="AD118" s="273"/>
      <c r="AE118" s="273"/>
      <c r="AF118" s="273"/>
      <c r="AG118" s="273"/>
      <c r="AH118" s="273"/>
      <c r="AI118" s="273"/>
      <c r="AJ118" s="273"/>
      <c r="AK118" s="273"/>
      <c r="AL118" s="273"/>
      <c r="AM118" s="273"/>
      <c r="AN118" s="273"/>
      <c r="AO118" s="273"/>
      <c r="AP118" s="273"/>
      <c r="AQ118" s="273"/>
      <c r="AR118" s="273"/>
      <c r="AS118" s="273"/>
      <c r="AT118" s="273"/>
      <c r="AU118" s="273"/>
      <c r="AV118" s="273"/>
    </row>
    <row r="119" spans="1:48" ht="12.75">
      <c r="A119" s="138"/>
      <c r="B119" s="31"/>
      <c r="C119" s="31"/>
      <c r="D119" s="31"/>
      <c r="E119" s="31"/>
      <c r="F119" s="31"/>
      <c r="G119" s="31"/>
      <c r="H119" s="129"/>
      <c r="I119" s="128"/>
      <c r="J119" s="31"/>
      <c r="K119" s="31"/>
      <c r="L119" s="31"/>
      <c r="M119" s="31"/>
      <c r="N119" s="31"/>
      <c r="O119" s="31"/>
      <c r="P119" s="31"/>
      <c r="Q119" s="129"/>
      <c r="R119" s="130"/>
      <c r="S119" s="31"/>
      <c r="T119" s="31"/>
      <c r="U119" s="31"/>
      <c r="V119" s="31"/>
      <c r="W119" s="31"/>
      <c r="X119" s="140"/>
      <c r="Y119" s="273"/>
      <c r="Z119" s="273"/>
      <c r="AA119" s="273"/>
      <c r="AB119" s="273"/>
      <c r="AC119" s="273"/>
      <c r="AD119" s="273"/>
      <c r="AE119" s="273"/>
      <c r="AF119" s="273"/>
      <c r="AG119" s="273"/>
      <c r="AH119" s="273"/>
      <c r="AI119" s="273"/>
      <c r="AJ119" s="273"/>
      <c r="AK119" s="273"/>
      <c r="AL119" s="273"/>
      <c r="AM119" s="273"/>
      <c r="AN119" s="273"/>
      <c r="AO119" s="273"/>
      <c r="AP119" s="273"/>
      <c r="AQ119" s="273"/>
      <c r="AR119" s="273"/>
      <c r="AS119" s="273"/>
      <c r="AT119" s="273"/>
      <c r="AU119" s="273"/>
      <c r="AV119" s="273"/>
    </row>
    <row r="120" spans="1:48" ht="12.75">
      <c r="A120" s="139"/>
      <c r="B120" s="132"/>
      <c r="C120" s="132"/>
      <c r="D120" s="132"/>
      <c r="E120" s="132"/>
      <c r="F120" s="132"/>
      <c r="G120" s="132"/>
      <c r="H120" s="135"/>
      <c r="I120" s="134"/>
      <c r="J120" s="132"/>
      <c r="K120" s="132"/>
      <c r="L120" s="132"/>
      <c r="M120" s="132"/>
      <c r="N120" s="132"/>
      <c r="O120" s="132"/>
      <c r="P120" s="132"/>
      <c r="Q120" s="135"/>
      <c r="R120" s="136"/>
      <c r="S120" s="132"/>
      <c r="T120" s="132"/>
      <c r="U120" s="132"/>
      <c r="V120" s="132"/>
      <c r="W120" s="132"/>
      <c r="X120" s="142"/>
      <c r="Y120" s="273"/>
      <c r="Z120" s="273"/>
      <c r="AA120" s="273"/>
      <c r="AB120" s="273"/>
      <c r="AC120" s="273"/>
      <c r="AD120" s="273"/>
      <c r="AE120" s="273"/>
      <c r="AF120" s="273"/>
      <c r="AG120" s="273"/>
      <c r="AH120" s="273"/>
      <c r="AI120" s="273"/>
      <c r="AJ120" s="273"/>
      <c r="AK120" s="273"/>
      <c r="AL120" s="273"/>
      <c r="AM120" s="273"/>
      <c r="AN120" s="273"/>
      <c r="AO120" s="273"/>
      <c r="AP120" s="273"/>
      <c r="AQ120" s="273"/>
      <c r="AR120" s="273"/>
      <c r="AS120" s="273"/>
      <c r="AT120" s="273"/>
      <c r="AU120" s="273"/>
      <c r="AV120" s="273"/>
    </row>
    <row r="121" spans="1:48" ht="12.75">
      <c r="A121" s="138"/>
      <c r="B121" s="31"/>
      <c r="C121" s="31"/>
      <c r="D121" s="31"/>
      <c r="E121" s="31"/>
      <c r="F121" s="31"/>
      <c r="G121" s="31"/>
      <c r="H121" s="129"/>
      <c r="I121" s="128"/>
      <c r="J121" s="31"/>
      <c r="K121" s="31"/>
      <c r="L121" s="31"/>
      <c r="M121" s="31"/>
      <c r="N121" s="31"/>
      <c r="O121" s="31"/>
      <c r="P121" s="31"/>
      <c r="Q121" s="129"/>
      <c r="R121" s="130"/>
      <c r="S121" s="31"/>
      <c r="T121" s="31"/>
      <c r="U121" s="31"/>
      <c r="V121" s="31"/>
      <c r="W121" s="31"/>
      <c r="X121" s="140"/>
      <c r="Y121" s="273"/>
      <c r="Z121" s="273"/>
      <c r="AA121" s="273"/>
      <c r="AB121" s="273"/>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row>
    <row r="122" spans="1:48" ht="12.75">
      <c r="A122" s="139"/>
      <c r="B122" s="132"/>
      <c r="C122" s="132"/>
      <c r="D122" s="132"/>
      <c r="E122" s="132"/>
      <c r="F122" s="132"/>
      <c r="G122" s="132"/>
      <c r="H122" s="135"/>
      <c r="I122" s="134"/>
      <c r="J122" s="132"/>
      <c r="K122" s="132"/>
      <c r="L122" s="132"/>
      <c r="M122" s="132"/>
      <c r="N122" s="132"/>
      <c r="O122" s="132"/>
      <c r="P122" s="132"/>
      <c r="Q122" s="135"/>
      <c r="R122" s="136"/>
      <c r="S122" s="132"/>
      <c r="T122" s="132"/>
      <c r="U122" s="132"/>
      <c r="V122" s="132"/>
      <c r="W122" s="132"/>
      <c r="X122" s="142"/>
      <c r="Y122" s="273"/>
      <c r="Z122" s="273"/>
      <c r="AA122" s="273"/>
      <c r="AB122" s="273"/>
      <c r="AC122" s="273"/>
      <c r="AD122" s="273"/>
      <c r="AE122" s="273"/>
      <c r="AF122" s="273"/>
      <c r="AG122" s="273"/>
      <c r="AH122" s="273"/>
      <c r="AI122" s="273"/>
      <c r="AJ122" s="273"/>
      <c r="AK122" s="273"/>
      <c r="AL122" s="273"/>
      <c r="AM122" s="273"/>
      <c r="AN122" s="273"/>
      <c r="AO122" s="273"/>
      <c r="AP122" s="273"/>
      <c r="AQ122" s="273"/>
      <c r="AR122" s="273"/>
      <c r="AS122" s="273"/>
      <c r="AT122" s="273"/>
      <c r="AU122" s="273"/>
      <c r="AV122" s="273"/>
    </row>
    <row r="123" spans="1:48" ht="12.75">
      <c r="A123" s="138"/>
      <c r="B123" s="31"/>
      <c r="C123" s="31"/>
      <c r="D123" s="31"/>
      <c r="E123" s="31"/>
      <c r="F123" s="31"/>
      <c r="G123" s="31"/>
      <c r="H123" s="129"/>
      <c r="I123" s="128"/>
      <c r="J123" s="31"/>
      <c r="K123" s="31"/>
      <c r="L123" s="31"/>
      <c r="M123" s="31"/>
      <c r="N123" s="31"/>
      <c r="O123" s="31"/>
      <c r="P123" s="31"/>
      <c r="Q123" s="129"/>
      <c r="R123" s="130"/>
      <c r="S123" s="31"/>
      <c r="T123" s="31"/>
      <c r="U123" s="31"/>
      <c r="V123" s="31"/>
      <c r="W123" s="31"/>
      <c r="X123" s="140"/>
      <c r="Y123" s="273"/>
      <c r="Z123" s="273"/>
      <c r="AA123" s="273"/>
      <c r="AB123" s="273"/>
      <c r="AC123" s="273"/>
      <c r="AD123" s="273"/>
      <c r="AE123" s="273"/>
      <c r="AF123" s="273"/>
      <c r="AG123" s="273"/>
      <c r="AH123" s="273"/>
      <c r="AI123" s="273"/>
      <c r="AJ123" s="273"/>
      <c r="AK123" s="273"/>
      <c r="AL123" s="273"/>
      <c r="AM123" s="273"/>
      <c r="AN123" s="273"/>
      <c r="AO123" s="273"/>
      <c r="AP123" s="273"/>
      <c r="AQ123" s="273"/>
      <c r="AR123" s="273"/>
      <c r="AS123" s="273"/>
      <c r="AT123" s="273"/>
      <c r="AU123" s="273"/>
      <c r="AV123" s="273"/>
    </row>
    <row r="124" spans="1:48" ht="12.75">
      <c r="A124" s="139"/>
      <c r="B124" s="132"/>
      <c r="C124" s="132"/>
      <c r="D124" s="132"/>
      <c r="E124" s="132"/>
      <c r="F124" s="132"/>
      <c r="G124" s="132"/>
      <c r="H124" s="135"/>
      <c r="I124" s="134"/>
      <c r="J124" s="132"/>
      <c r="K124" s="132"/>
      <c r="L124" s="132"/>
      <c r="M124" s="132"/>
      <c r="N124" s="132"/>
      <c r="O124" s="132"/>
      <c r="P124" s="132"/>
      <c r="Q124" s="135"/>
      <c r="R124" s="136"/>
      <c r="S124" s="132"/>
      <c r="T124" s="132"/>
      <c r="U124" s="132"/>
      <c r="V124" s="132"/>
      <c r="W124" s="132"/>
      <c r="X124" s="142"/>
      <c r="Y124" s="273"/>
      <c r="Z124" s="273"/>
      <c r="AA124" s="273"/>
      <c r="AB124" s="273"/>
      <c r="AC124" s="273"/>
      <c r="AD124" s="273"/>
      <c r="AE124" s="273"/>
      <c r="AF124" s="273"/>
      <c r="AG124" s="273"/>
      <c r="AH124" s="273"/>
      <c r="AI124" s="273"/>
      <c r="AJ124" s="273"/>
      <c r="AK124" s="273"/>
      <c r="AL124" s="273"/>
      <c r="AM124" s="273"/>
      <c r="AN124" s="273"/>
      <c r="AO124" s="273"/>
      <c r="AP124" s="273"/>
      <c r="AQ124" s="273"/>
      <c r="AR124" s="273"/>
      <c r="AS124" s="273"/>
      <c r="AT124" s="273"/>
      <c r="AU124" s="273"/>
      <c r="AV124" s="273"/>
    </row>
    <row r="125" spans="1:48" ht="12.75">
      <c r="A125" s="138"/>
      <c r="B125" s="31"/>
      <c r="C125" s="31"/>
      <c r="D125" s="31"/>
      <c r="E125" s="31"/>
      <c r="F125" s="31"/>
      <c r="G125" s="31"/>
      <c r="H125" s="129"/>
      <c r="I125" s="128"/>
      <c r="J125" s="31"/>
      <c r="K125" s="31"/>
      <c r="L125" s="31"/>
      <c r="M125" s="31"/>
      <c r="N125" s="31"/>
      <c r="O125" s="31"/>
      <c r="P125" s="31"/>
      <c r="Q125" s="129"/>
      <c r="R125" s="130"/>
      <c r="S125" s="31"/>
      <c r="T125" s="31"/>
      <c r="U125" s="31"/>
      <c r="V125" s="31"/>
      <c r="W125" s="31"/>
      <c r="X125" s="140"/>
      <c r="Y125" s="273"/>
      <c r="Z125" s="273"/>
      <c r="AA125" s="273"/>
      <c r="AB125" s="273"/>
      <c r="AC125" s="273"/>
      <c r="AD125" s="273"/>
      <c r="AE125" s="273"/>
      <c r="AF125" s="273"/>
      <c r="AG125" s="273"/>
      <c r="AH125" s="273"/>
      <c r="AI125" s="273"/>
      <c r="AJ125" s="273"/>
      <c r="AK125" s="273"/>
      <c r="AL125" s="273"/>
      <c r="AM125" s="273"/>
      <c r="AN125" s="273"/>
      <c r="AO125" s="273"/>
      <c r="AP125" s="273"/>
      <c r="AQ125" s="273"/>
      <c r="AR125" s="273"/>
      <c r="AS125" s="273"/>
      <c r="AT125" s="273"/>
      <c r="AU125" s="273"/>
      <c r="AV125" s="273"/>
    </row>
    <row r="126" spans="1:48" ht="12.75">
      <c r="A126" s="139"/>
      <c r="B126" s="132"/>
      <c r="C126" s="132"/>
      <c r="D126" s="132"/>
      <c r="E126" s="132"/>
      <c r="F126" s="132"/>
      <c r="G126" s="132"/>
      <c r="H126" s="135"/>
      <c r="I126" s="134"/>
      <c r="J126" s="132"/>
      <c r="K126" s="132"/>
      <c r="L126" s="132"/>
      <c r="M126" s="132"/>
      <c r="N126" s="132"/>
      <c r="O126" s="132"/>
      <c r="P126" s="132"/>
      <c r="Q126" s="135"/>
      <c r="R126" s="136"/>
      <c r="S126" s="132"/>
      <c r="T126" s="132"/>
      <c r="U126" s="132"/>
      <c r="V126" s="132"/>
      <c r="W126" s="132"/>
      <c r="X126" s="142"/>
      <c r="Y126" s="273"/>
      <c r="Z126" s="273"/>
      <c r="AA126" s="273"/>
      <c r="AB126" s="273"/>
      <c r="AC126" s="273"/>
      <c r="AD126" s="273"/>
      <c r="AE126" s="273"/>
      <c r="AF126" s="273"/>
      <c r="AG126" s="273"/>
      <c r="AH126" s="273"/>
      <c r="AI126" s="273"/>
      <c r="AJ126" s="273"/>
      <c r="AK126" s="273"/>
      <c r="AL126" s="273"/>
      <c r="AM126" s="273"/>
      <c r="AN126" s="273"/>
      <c r="AO126" s="273"/>
      <c r="AP126" s="273"/>
      <c r="AQ126" s="273"/>
      <c r="AR126" s="273"/>
      <c r="AS126" s="273"/>
      <c r="AT126" s="273"/>
      <c r="AU126" s="273"/>
      <c r="AV126" s="273"/>
    </row>
    <row r="127" spans="1:48" ht="12.75">
      <c r="A127" s="138"/>
      <c r="B127" s="31"/>
      <c r="C127" s="31"/>
      <c r="D127" s="31"/>
      <c r="E127" s="31"/>
      <c r="F127" s="31"/>
      <c r="G127" s="31"/>
      <c r="H127" s="129"/>
      <c r="I127" s="128"/>
      <c r="J127" s="31"/>
      <c r="K127" s="31"/>
      <c r="L127" s="31"/>
      <c r="M127" s="31"/>
      <c r="N127" s="31"/>
      <c r="O127" s="31"/>
      <c r="P127" s="31"/>
      <c r="Q127" s="129"/>
      <c r="R127" s="130"/>
      <c r="S127" s="31"/>
      <c r="T127" s="31"/>
      <c r="U127" s="31"/>
      <c r="V127" s="31"/>
      <c r="W127" s="31"/>
      <c r="X127" s="140"/>
      <c r="Y127" s="273"/>
      <c r="Z127" s="273"/>
      <c r="AA127" s="273"/>
      <c r="AB127" s="273"/>
      <c r="AC127" s="273"/>
      <c r="AD127" s="273"/>
      <c r="AE127" s="273"/>
      <c r="AF127" s="273"/>
      <c r="AG127" s="273"/>
      <c r="AH127" s="273"/>
      <c r="AI127" s="273"/>
      <c r="AJ127" s="273"/>
      <c r="AK127" s="273"/>
      <c r="AL127" s="273"/>
      <c r="AM127" s="273"/>
      <c r="AN127" s="273"/>
      <c r="AO127" s="273"/>
      <c r="AP127" s="273"/>
      <c r="AQ127" s="273"/>
      <c r="AR127" s="273"/>
      <c r="AS127" s="273"/>
      <c r="AT127" s="273"/>
      <c r="AU127" s="273"/>
      <c r="AV127" s="273"/>
    </row>
    <row r="128" spans="1:48" ht="12.75">
      <c r="A128" s="139"/>
      <c r="B128" s="132"/>
      <c r="C128" s="132"/>
      <c r="D128" s="132"/>
      <c r="E128" s="132"/>
      <c r="F128" s="132"/>
      <c r="G128" s="132"/>
      <c r="H128" s="135"/>
      <c r="I128" s="134"/>
      <c r="J128" s="132"/>
      <c r="K128" s="132"/>
      <c r="L128" s="132"/>
      <c r="M128" s="132"/>
      <c r="N128" s="132"/>
      <c r="O128" s="132"/>
      <c r="P128" s="132"/>
      <c r="Q128" s="135"/>
      <c r="R128" s="136"/>
      <c r="S128" s="132"/>
      <c r="T128" s="132"/>
      <c r="U128" s="132"/>
      <c r="V128" s="132"/>
      <c r="W128" s="132"/>
      <c r="X128" s="142"/>
      <c r="Y128" s="273"/>
      <c r="Z128" s="273"/>
      <c r="AA128" s="273"/>
      <c r="AB128" s="273"/>
      <c r="AC128" s="273"/>
      <c r="AD128" s="273"/>
      <c r="AE128" s="273"/>
      <c r="AF128" s="273"/>
      <c r="AG128" s="273"/>
      <c r="AH128" s="273"/>
      <c r="AI128" s="273"/>
      <c r="AJ128" s="273"/>
      <c r="AK128" s="273"/>
      <c r="AL128" s="273"/>
      <c r="AM128" s="273"/>
      <c r="AN128" s="273"/>
      <c r="AO128" s="273"/>
      <c r="AP128" s="273"/>
      <c r="AQ128" s="273"/>
      <c r="AR128" s="273"/>
      <c r="AS128" s="273"/>
      <c r="AT128" s="273"/>
      <c r="AU128" s="273"/>
      <c r="AV128" s="273"/>
    </row>
    <row r="129" spans="1:48" ht="12.75">
      <c r="A129" s="138"/>
      <c r="B129" s="31"/>
      <c r="C129" s="31"/>
      <c r="D129" s="31"/>
      <c r="E129" s="31"/>
      <c r="F129" s="31"/>
      <c r="G129" s="31"/>
      <c r="H129" s="129"/>
      <c r="I129" s="128"/>
      <c r="J129" s="31"/>
      <c r="K129" s="31"/>
      <c r="L129" s="31"/>
      <c r="M129" s="31"/>
      <c r="N129" s="31"/>
      <c r="O129" s="31"/>
      <c r="P129" s="31"/>
      <c r="Q129" s="129"/>
      <c r="R129" s="130"/>
      <c r="S129" s="31"/>
      <c r="T129" s="31"/>
      <c r="U129" s="31"/>
      <c r="V129" s="31"/>
      <c r="W129" s="31"/>
      <c r="X129" s="140"/>
      <c r="Y129" s="273"/>
      <c r="Z129" s="273"/>
      <c r="AA129" s="273"/>
      <c r="AB129" s="273"/>
      <c r="AC129" s="273"/>
      <c r="AD129" s="273"/>
      <c r="AE129" s="273"/>
      <c r="AF129" s="273"/>
      <c r="AG129" s="273"/>
      <c r="AH129" s="273"/>
      <c r="AI129" s="273"/>
      <c r="AJ129" s="273"/>
      <c r="AK129" s="273"/>
      <c r="AL129" s="273"/>
      <c r="AM129" s="273"/>
      <c r="AN129" s="273"/>
      <c r="AO129" s="273"/>
      <c r="AP129" s="273"/>
      <c r="AQ129" s="273"/>
      <c r="AR129" s="273"/>
      <c r="AS129" s="273"/>
      <c r="AT129" s="273"/>
      <c r="AU129" s="273"/>
      <c r="AV129" s="273"/>
    </row>
    <row r="130" spans="1:48" ht="12.75">
      <c r="A130" s="139"/>
      <c r="B130" s="132"/>
      <c r="C130" s="132"/>
      <c r="D130" s="132"/>
      <c r="E130" s="132"/>
      <c r="F130" s="132"/>
      <c r="G130" s="132"/>
      <c r="H130" s="135"/>
      <c r="I130" s="134"/>
      <c r="J130" s="132"/>
      <c r="K130" s="132"/>
      <c r="L130" s="132"/>
      <c r="M130" s="132"/>
      <c r="N130" s="132"/>
      <c r="O130" s="132"/>
      <c r="P130" s="132"/>
      <c r="Q130" s="135"/>
      <c r="R130" s="136"/>
      <c r="S130" s="132"/>
      <c r="T130" s="132"/>
      <c r="U130" s="132"/>
      <c r="V130" s="132"/>
      <c r="W130" s="132"/>
      <c r="X130" s="142"/>
      <c r="Y130" s="273"/>
      <c r="Z130" s="273"/>
      <c r="AA130" s="273"/>
      <c r="AB130" s="273"/>
      <c r="AC130" s="273"/>
      <c r="AD130" s="273"/>
      <c r="AE130" s="273"/>
      <c r="AF130" s="273"/>
      <c r="AG130" s="273"/>
      <c r="AH130" s="273"/>
      <c r="AI130" s="273"/>
      <c r="AJ130" s="273"/>
      <c r="AK130" s="273"/>
      <c r="AL130" s="273"/>
      <c r="AM130" s="273"/>
      <c r="AN130" s="273"/>
      <c r="AO130" s="273"/>
      <c r="AP130" s="273"/>
      <c r="AQ130" s="273"/>
      <c r="AR130" s="273"/>
      <c r="AS130" s="273"/>
      <c r="AT130" s="273"/>
      <c r="AU130" s="273"/>
      <c r="AV130" s="273"/>
    </row>
    <row r="131" spans="1:48" ht="12.75">
      <c r="A131" s="138"/>
      <c r="B131" s="31"/>
      <c r="C131" s="31"/>
      <c r="D131" s="31"/>
      <c r="E131" s="31"/>
      <c r="F131" s="31"/>
      <c r="G131" s="31"/>
      <c r="H131" s="129"/>
      <c r="I131" s="128"/>
      <c r="J131" s="31"/>
      <c r="K131" s="31"/>
      <c r="L131" s="31"/>
      <c r="M131" s="31"/>
      <c r="N131" s="31"/>
      <c r="O131" s="31"/>
      <c r="P131" s="31"/>
      <c r="Q131" s="129"/>
      <c r="R131" s="130"/>
      <c r="S131" s="31"/>
      <c r="T131" s="31"/>
      <c r="U131" s="31"/>
      <c r="V131" s="31"/>
      <c r="W131" s="31"/>
      <c r="X131" s="140"/>
      <c r="Y131" s="273"/>
      <c r="Z131" s="273"/>
      <c r="AA131" s="273"/>
      <c r="AB131" s="273"/>
      <c r="AC131" s="273"/>
      <c r="AD131" s="273"/>
      <c r="AE131" s="273"/>
      <c r="AF131" s="273"/>
      <c r="AG131" s="273"/>
      <c r="AH131" s="273"/>
      <c r="AI131" s="273"/>
      <c r="AJ131" s="273"/>
      <c r="AK131" s="273"/>
      <c r="AL131" s="273"/>
      <c r="AM131" s="273"/>
      <c r="AN131" s="273"/>
      <c r="AO131" s="273"/>
      <c r="AP131" s="273"/>
      <c r="AQ131" s="273"/>
      <c r="AR131" s="273"/>
      <c r="AS131" s="273"/>
      <c r="AT131" s="273"/>
      <c r="AU131" s="273"/>
      <c r="AV131" s="273"/>
    </row>
    <row r="132" spans="1:48" ht="12.75">
      <c r="A132" s="139"/>
      <c r="B132" s="132"/>
      <c r="C132" s="132"/>
      <c r="D132" s="132"/>
      <c r="E132" s="132"/>
      <c r="F132" s="132"/>
      <c r="G132" s="132"/>
      <c r="H132" s="135"/>
      <c r="I132" s="134"/>
      <c r="J132" s="132"/>
      <c r="K132" s="132"/>
      <c r="L132" s="132"/>
      <c r="M132" s="132"/>
      <c r="N132" s="132"/>
      <c r="O132" s="132"/>
      <c r="P132" s="132"/>
      <c r="Q132" s="135"/>
      <c r="R132" s="136"/>
      <c r="S132" s="132"/>
      <c r="T132" s="132"/>
      <c r="U132" s="132"/>
      <c r="V132" s="132"/>
      <c r="W132" s="132"/>
      <c r="X132" s="142"/>
      <c r="Y132" s="273"/>
      <c r="Z132" s="273"/>
      <c r="AA132" s="273"/>
      <c r="AB132" s="273"/>
      <c r="AC132" s="273"/>
      <c r="AD132" s="273"/>
      <c r="AE132" s="273"/>
      <c r="AF132" s="273"/>
      <c r="AG132" s="273"/>
      <c r="AH132" s="273"/>
      <c r="AI132" s="273"/>
      <c r="AJ132" s="273"/>
      <c r="AK132" s="273"/>
      <c r="AL132" s="273"/>
      <c r="AM132" s="273"/>
      <c r="AN132" s="273"/>
      <c r="AO132" s="273"/>
      <c r="AP132" s="273"/>
      <c r="AQ132" s="273"/>
      <c r="AR132" s="273"/>
      <c r="AS132" s="273"/>
      <c r="AT132" s="273"/>
      <c r="AU132" s="273"/>
      <c r="AV132" s="273"/>
    </row>
    <row r="133" spans="1:48" ht="12.75">
      <c r="A133" s="138"/>
      <c r="B133" s="31"/>
      <c r="C133" s="31"/>
      <c r="D133" s="31"/>
      <c r="E133" s="31"/>
      <c r="F133" s="31"/>
      <c r="G133" s="31"/>
      <c r="H133" s="129"/>
      <c r="I133" s="128"/>
      <c r="J133" s="31"/>
      <c r="K133" s="31"/>
      <c r="L133" s="31"/>
      <c r="M133" s="31"/>
      <c r="N133" s="31"/>
      <c r="O133" s="31"/>
      <c r="P133" s="31"/>
      <c r="Q133" s="129"/>
      <c r="R133" s="130"/>
      <c r="S133" s="31"/>
      <c r="T133" s="31"/>
      <c r="U133" s="31"/>
      <c r="V133" s="31"/>
      <c r="W133" s="31"/>
      <c r="X133" s="140"/>
      <c r="Y133" s="273"/>
      <c r="Z133" s="273"/>
      <c r="AA133" s="273"/>
      <c r="AB133" s="273"/>
      <c r="AC133" s="273"/>
      <c r="AD133" s="273"/>
      <c r="AE133" s="273"/>
      <c r="AF133" s="273"/>
      <c r="AG133" s="273"/>
      <c r="AH133" s="273"/>
      <c r="AI133" s="273"/>
      <c r="AJ133" s="273"/>
      <c r="AK133" s="273"/>
      <c r="AL133" s="273"/>
      <c r="AM133" s="273"/>
      <c r="AN133" s="273"/>
      <c r="AO133" s="273"/>
      <c r="AP133" s="273"/>
      <c r="AQ133" s="273"/>
      <c r="AR133" s="273"/>
      <c r="AS133" s="273"/>
      <c r="AT133" s="273"/>
      <c r="AU133" s="273"/>
      <c r="AV133" s="273"/>
    </row>
    <row r="134" spans="1:48" ht="12.75">
      <c r="A134" s="139"/>
      <c r="B134" s="132"/>
      <c r="C134" s="132"/>
      <c r="D134" s="132"/>
      <c r="E134" s="132"/>
      <c r="F134" s="132"/>
      <c r="G134" s="132"/>
      <c r="H134" s="135"/>
      <c r="I134" s="134"/>
      <c r="J134" s="132"/>
      <c r="K134" s="132"/>
      <c r="L134" s="132"/>
      <c r="M134" s="132"/>
      <c r="N134" s="132"/>
      <c r="O134" s="132"/>
      <c r="P134" s="132"/>
      <c r="Q134" s="135"/>
      <c r="R134" s="136"/>
      <c r="S134" s="132"/>
      <c r="T134" s="132"/>
      <c r="U134" s="132"/>
      <c r="V134" s="132"/>
      <c r="W134" s="132"/>
      <c r="X134" s="142"/>
      <c r="Y134" s="273"/>
      <c r="Z134" s="273"/>
      <c r="AA134" s="273"/>
      <c r="AB134" s="273"/>
      <c r="AC134" s="273"/>
      <c r="AD134" s="273"/>
      <c r="AE134" s="273"/>
      <c r="AF134" s="273"/>
      <c r="AG134" s="273"/>
      <c r="AH134" s="273"/>
      <c r="AI134" s="273"/>
      <c r="AJ134" s="273"/>
      <c r="AK134" s="273"/>
      <c r="AL134" s="273"/>
      <c r="AM134" s="273"/>
      <c r="AN134" s="273"/>
      <c r="AO134" s="273"/>
      <c r="AP134" s="273"/>
      <c r="AQ134" s="273"/>
      <c r="AR134" s="273"/>
      <c r="AS134" s="273"/>
      <c r="AT134" s="273"/>
      <c r="AU134" s="273"/>
      <c r="AV134" s="273"/>
    </row>
    <row r="135" spans="1:48" ht="12.75">
      <c r="A135" s="138"/>
      <c r="B135" s="31"/>
      <c r="C135" s="31"/>
      <c r="D135" s="31"/>
      <c r="E135" s="31"/>
      <c r="F135" s="31"/>
      <c r="G135" s="31"/>
      <c r="H135" s="129"/>
      <c r="I135" s="128"/>
      <c r="J135" s="31"/>
      <c r="K135" s="31"/>
      <c r="L135" s="31"/>
      <c r="M135" s="31"/>
      <c r="N135" s="31"/>
      <c r="O135" s="31"/>
      <c r="P135" s="31"/>
      <c r="Q135" s="129"/>
      <c r="R135" s="130"/>
      <c r="S135" s="31"/>
      <c r="T135" s="31"/>
      <c r="U135" s="31"/>
      <c r="V135" s="31"/>
      <c r="W135" s="31"/>
      <c r="X135" s="140"/>
      <c r="Y135" s="273"/>
      <c r="Z135" s="273"/>
      <c r="AA135" s="273"/>
      <c r="AB135" s="273"/>
      <c r="AC135" s="273"/>
      <c r="AD135" s="273"/>
      <c r="AE135" s="273"/>
      <c r="AF135" s="273"/>
      <c r="AG135" s="273"/>
      <c r="AH135" s="273"/>
      <c r="AI135" s="273"/>
      <c r="AJ135" s="273"/>
      <c r="AK135" s="273"/>
      <c r="AL135" s="273"/>
      <c r="AM135" s="273"/>
      <c r="AN135" s="273"/>
      <c r="AO135" s="273"/>
      <c r="AP135" s="273"/>
      <c r="AQ135" s="273"/>
      <c r="AR135" s="273"/>
      <c r="AS135" s="273"/>
      <c r="AT135" s="273"/>
      <c r="AU135" s="273"/>
      <c r="AV135" s="273"/>
    </row>
    <row r="136" spans="1:48" ht="12.75">
      <c r="A136" s="139"/>
      <c r="B136" s="132"/>
      <c r="C136" s="132"/>
      <c r="D136" s="132"/>
      <c r="E136" s="132"/>
      <c r="F136" s="132"/>
      <c r="G136" s="132"/>
      <c r="H136" s="135"/>
      <c r="I136" s="134"/>
      <c r="J136" s="132"/>
      <c r="K136" s="132"/>
      <c r="L136" s="132"/>
      <c r="M136" s="132"/>
      <c r="N136" s="132"/>
      <c r="O136" s="132"/>
      <c r="P136" s="132"/>
      <c r="Q136" s="135"/>
      <c r="R136" s="136"/>
      <c r="S136" s="132"/>
      <c r="T136" s="132"/>
      <c r="U136" s="132"/>
      <c r="V136" s="132"/>
      <c r="W136" s="132"/>
      <c r="X136" s="142"/>
      <c r="Y136" s="273"/>
      <c r="Z136" s="273"/>
      <c r="AA136" s="273"/>
      <c r="AB136" s="273"/>
      <c r="AC136" s="273"/>
      <c r="AD136" s="273"/>
      <c r="AE136" s="273"/>
      <c r="AF136" s="273"/>
      <c r="AG136" s="273"/>
      <c r="AH136" s="273"/>
      <c r="AI136" s="273"/>
      <c r="AJ136" s="273"/>
      <c r="AK136" s="273"/>
      <c r="AL136" s="273"/>
      <c r="AM136" s="273"/>
      <c r="AN136" s="273"/>
      <c r="AO136" s="273"/>
      <c r="AP136" s="273"/>
      <c r="AQ136" s="273"/>
      <c r="AR136" s="273"/>
      <c r="AS136" s="273"/>
      <c r="AT136" s="273"/>
      <c r="AU136" s="273"/>
      <c r="AV136" s="273"/>
    </row>
    <row r="137" spans="1:48" ht="12.75">
      <c r="A137" s="138"/>
      <c r="B137" s="31"/>
      <c r="C137" s="31"/>
      <c r="D137" s="31"/>
      <c r="E137" s="31"/>
      <c r="F137" s="31"/>
      <c r="G137" s="31"/>
      <c r="H137" s="129"/>
      <c r="I137" s="128"/>
      <c r="J137" s="31"/>
      <c r="K137" s="31"/>
      <c r="L137" s="31"/>
      <c r="M137" s="31"/>
      <c r="N137" s="31"/>
      <c r="O137" s="31"/>
      <c r="P137" s="31"/>
      <c r="Q137" s="129"/>
      <c r="R137" s="130"/>
      <c r="S137" s="31"/>
      <c r="T137" s="31"/>
      <c r="U137" s="31"/>
      <c r="V137" s="31"/>
      <c r="W137" s="31"/>
      <c r="X137" s="140"/>
      <c r="Y137" s="273"/>
      <c r="Z137" s="273"/>
      <c r="AA137" s="273"/>
      <c r="AB137" s="273"/>
      <c r="AC137" s="273"/>
      <c r="AD137" s="273"/>
      <c r="AE137" s="273"/>
      <c r="AF137" s="273"/>
      <c r="AG137" s="273"/>
      <c r="AH137" s="273"/>
      <c r="AI137" s="273"/>
      <c r="AJ137" s="273"/>
      <c r="AK137" s="273"/>
      <c r="AL137" s="273"/>
      <c r="AM137" s="273"/>
      <c r="AN137" s="273"/>
      <c r="AO137" s="273"/>
      <c r="AP137" s="273"/>
      <c r="AQ137" s="273"/>
      <c r="AR137" s="273"/>
      <c r="AS137" s="273"/>
      <c r="AT137" s="273"/>
      <c r="AU137" s="273"/>
      <c r="AV137" s="273"/>
    </row>
    <row r="138" spans="1:48" ht="12.75">
      <c r="A138" s="139"/>
      <c r="B138" s="132"/>
      <c r="C138" s="132"/>
      <c r="D138" s="132"/>
      <c r="E138" s="132"/>
      <c r="F138" s="132"/>
      <c r="G138" s="132"/>
      <c r="H138" s="135"/>
      <c r="I138" s="134"/>
      <c r="J138" s="132"/>
      <c r="K138" s="132"/>
      <c r="L138" s="132"/>
      <c r="M138" s="132"/>
      <c r="N138" s="132"/>
      <c r="O138" s="132"/>
      <c r="P138" s="132"/>
      <c r="Q138" s="135"/>
      <c r="R138" s="136"/>
      <c r="S138" s="132"/>
      <c r="T138" s="132"/>
      <c r="U138" s="132"/>
      <c r="V138" s="132"/>
      <c r="W138" s="132"/>
      <c r="X138" s="142"/>
      <c r="Y138" s="273"/>
      <c r="Z138" s="273"/>
      <c r="AA138" s="273"/>
      <c r="AB138" s="273"/>
      <c r="AC138" s="273"/>
      <c r="AD138" s="273"/>
      <c r="AE138" s="273"/>
      <c r="AF138" s="273"/>
      <c r="AG138" s="273"/>
      <c r="AH138" s="273"/>
      <c r="AI138" s="273"/>
      <c r="AJ138" s="273"/>
      <c r="AK138" s="273"/>
      <c r="AL138" s="273"/>
      <c r="AM138" s="273"/>
      <c r="AN138" s="273"/>
      <c r="AO138" s="273"/>
      <c r="AP138" s="273"/>
      <c r="AQ138" s="273"/>
      <c r="AR138" s="273"/>
      <c r="AS138" s="273"/>
      <c r="AT138" s="273"/>
      <c r="AU138" s="273"/>
      <c r="AV138" s="273"/>
    </row>
    <row r="139" spans="1:48" ht="12.75">
      <c r="A139" s="138"/>
      <c r="B139" s="31"/>
      <c r="C139" s="31"/>
      <c r="D139" s="31"/>
      <c r="E139" s="31"/>
      <c r="F139" s="31"/>
      <c r="G139" s="31"/>
      <c r="H139" s="129"/>
      <c r="I139" s="128"/>
      <c r="J139" s="31"/>
      <c r="K139" s="31"/>
      <c r="L139" s="31"/>
      <c r="M139" s="31"/>
      <c r="N139" s="31"/>
      <c r="O139" s="31"/>
      <c r="P139" s="31"/>
      <c r="Q139" s="129"/>
      <c r="R139" s="130"/>
      <c r="S139" s="31"/>
      <c r="T139" s="31"/>
      <c r="U139" s="31"/>
      <c r="V139" s="31"/>
      <c r="W139" s="31"/>
      <c r="X139" s="140"/>
      <c r="Y139" s="273"/>
      <c r="Z139" s="273"/>
      <c r="AA139" s="273"/>
      <c r="AB139" s="273"/>
      <c r="AC139" s="273"/>
      <c r="AD139" s="273"/>
      <c r="AE139" s="273"/>
      <c r="AF139" s="273"/>
      <c r="AG139" s="273"/>
      <c r="AH139" s="273"/>
      <c r="AI139" s="273"/>
      <c r="AJ139" s="273"/>
      <c r="AK139" s="273"/>
      <c r="AL139" s="273"/>
      <c r="AM139" s="273"/>
      <c r="AN139" s="273"/>
      <c r="AO139" s="273"/>
      <c r="AP139" s="273"/>
      <c r="AQ139" s="273"/>
      <c r="AR139" s="273"/>
      <c r="AS139" s="273"/>
      <c r="AT139" s="273"/>
      <c r="AU139" s="273"/>
      <c r="AV139" s="273"/>
    </row>
    <row r="140" spans="1:48" ht="12.75">
      <c r="A140" s="139"/>
      <c r="B140" s="132"/>
      <c r="C140" s="132"/>
      <c r="D140" s="132"/>
      <c r="E140" s="132"/>
      <c r="F140" s="132"/>
      <c r="G140" s="132"/>
      <c r="H140" s="135"/>
      <c r="I140" s="134"/>
      <c r="J140" s="132"/>
      <c r="K140" s="132"/>
      <c r="L140" s="132"/>
      <c r="M140" s="132"/>
      <c r="N140" s="132"/>
      <c r="O140" s="132"/>
      <c r="P140" s="132"/>
      <c r="Q140" s="135"/>
      <c r="R140" s="136"/>
      <c r="S140" s="132"/>
      <c r="T140" s="132"/>
      <c r="U140" s="132"/>
      <c r="V140" s="132"/>
      <c r="W140" s="132"/>
      <c r="X140" s="142"/>
      <c r="Y140" s="273"/>
      <c r="Z140" s="273"/>
      <c r="AA140" s="273"/>
      <c r="AB140" s="273"/>
      <c r="AC140" s="273"/>
      <c r="AD140" s="273"/>
      <c r="AE140" s="273"/>
      <c r="AF140" s="273"/>
      <c r="AG140" s="273"/>
      <c r="AH140" s="273"/>
      <c r="AI140" s="273"/>
      <c r="AJ140" s="273"/>
      <c r="AK140" s="273"/>
      <c r="AL140" s="273"/>
      <c r="AM140" s="273"/>
      <c r="AN140" s="273"/>
      <c r="AO140" s="273"/>
      <c r="AP140" s="273"/>
      <c r="AQ140" s="273"/>
      <c r="AR140" s="273"/>
      <c r="AS140" s="273"/>
      <c r="AT140" s="273"/>
      <c r="AU140" s="273"/>
      <c r="AV140" s="273"/>
    </row>
    <row r="141" spans="1:48" ht="12.75">
      <c r="A141" s="138"/>
      <c r="B141" s="31"/>
      <c r="C141" s="31"/>
      <c r="D141" s="31"/>
      <c r="E141" s="31"/>
      <c r="F141" s="31"/>
      <c r="G141" s="31"/>
      <c r="H141" s="129"/>
      <c r="I141" s="128"/>
      <c r="J141" s="31"/>
      <c r="K141" s="31"/>
      <c r="L141" s="31"/>
      <c r="M141" s="31"/>
      <c r="N141" s="31"/>
      <c r="O141" s="31"/>
      <c r="P141" s="31"/>
      <c r="Q141" s="129"/>
      <c r="R141" s="130"/>
      <c r="S141" s="31"/>
      <c r="T141" s="31"/>
      <c r="U141" s="31"/>
      <c r="V141" s="31"/>
      <c r="W141" s="31"/>
      <c r="X141" s="140"/>
      <c r="Y141" s="273"/>
      <c r="Z141" s="273"/>
      <c r="AA141" s="273"/>
      <c r="AB141" s="273"/>
      <c r="AC141" s="273"/>
      <c r="AD141" s="273"/>
      <c r="AE141" s="273"/>
      <c r="AF141" s="273"/>
      <c r="AG141" s="273"/>
      <c r="AH141" s="273"/>
      <c r="AI141" s="273"/>
      <c r="AJ141" s="273"/>
      <c r="AK141" s="273"/>
      <c r="AL141" s="273"/>
      <c r="AM141" s="273"/>
      <c r="AN141" s="273"/>
      <c r="AO141" s="273"/>
      <c r="AP141" s="273"/>
      <c r="AQ141" s="273"/>
      <c r="AR141" s="273"/>
      <c r="AS141" s="273"/>
      <c r="AT141" s="273"/>
      <c r="AU141" s="273"/>
      <c r="AV141" s="273"/>
    </row>
    <row r="142" spans="1:48" ht="12.75">
      <c r="A142" s="139"/>
      <c r="B142" s="132"/>
      <c r="C142" s="132"/>
      <c r="D142" s="132"/>
      <c r="E142" s="132"/>
      <c r="F142" s="132"/>
      <c r="G142" s="132"/>
      <c r="H142" s="135"/>
      <c r="I142" s="134"/>
      <c r="J142" s="132"/>
      <c r="K142" s="132"/>
      <c r="L142" s="132"/>
      <c r="M142" s="132"/>
      <c r="N142" s="132"/>
      <c r="O142" s="132"/>
      <c r="P142" s="132"/>
      <c r="Q142" s="135"/>
      <c r="R142" s="136"/>
      <c r="S142" s="132"/>
      <c r="T142" s="132"/>
      <c r="U142" s="132"/>
      <c r="V142" s="132"/>
      <c r="W142" s="132"/>
      <c r="X142" s="142"/>
      <c r="Y142" s="273"/>
      <c r="Z142" s="273"/>
      <c r="AA142" s="273"/>
      <c r="AB142" s="273"/>
      <c r="AC142" s="273"/>
      <c r="AD142" s="273"/>
      <c r="AE142" s="273"/>
      <c r="AF142" s="273"/>
      <c r="AG142" s="273"/>
      <c r="AH142" s="273"/>
      <c r="AI142" s="273"/>
      <c r="AJ142" s="273"/>
      <c r="AK142" s="273"/>
      <c r="AL142" s="273"/>
      <c r="AM142" s="273"/>
      <c r="AN142" s="273"/>
      <c r="AO142" s="273"/>
      <c r="AP142" s="273"/>
      <c r="AQ142" s="273"/>
      <c r="AR142" s="273"/>
      <c r="AS142" s="273"/>
      <c r="AT142" s="273"/>
      <c r="AU142" s="273"/>
      <c r="AV142" s="273"/>
    </row>
    <row r="143" spans="1:48" ht="12.75">
      <c r="A143" s="138"/>
      <c r="B143" s="31"/>
      <c r="C143" s="31"/>
      <c r="D143" s="31"/>
      <c r="E143" s="31"/>
      <c r="F143" s="31"/>
      <c r="G143" s="31"/>
      <c r="H143" s="129"/>
      <c r="I143" s="128"/>
      <c r="J143" s="31"/>
      <c r="K143" s="31"/>
      <c r="L143" s="31"/>
      <c r="M143" s="31"/>
      <c r="N143" s="31"/>
      <c r="O143" s="31"/>
      <c r="P143" s="31"/>
      <c r="Q143" s="129"/>
      <c r="R143" s="130"/>
      <c r="S143" s="31"/>
      <c r="T143" s="31"/>
      <c r="U143" s="31"/>
      <c r="V143" s="31"/>
      <c r="W143" s="31"/>
      <c r="X143" s="140"/>
      <c r="Y143" s="273"/>
      <c r="Z143" s="273"/>
      <c r="AA143" s="273"/>
      <c r="AB143" s="273"/>
      <c r="AC143" s="273"/>
      <c r="AD143" s="273"/>
      <c r="AE143" s="273"/>
      <c r="AF143" s="273"/>
      <c r="AG143" s="273"/>
      <c r="AH143" s="273"/>
      <c r="AI143" s="273"/>
      <c r="AJ143" s="273"/>
      <c r="AK143" s="273"/>
      <c r="AL143" s="273"/>
      <c r="AM143" s="273"/>
      <c r="AN143" s="273"/>
      <c r="AO143" s="273"/>
      <c r="AP143" s="273"/>
      <c r="AQ143" s="273"/>
      <c r="AR143" s="273"/>
      <c r="AS143" s="273"/>
      <c r="AT143" s="273"/>
      <c r="AU143" s="273"/>
      <c r="AV143" s="273"/>
    </row>
    <row r="144" spans="1:48" ht="12.75">
      <c r="A144" s="139"/>
      <c r="B144" s="132"/>
      <c r="C144" s="132"/>
      <c r="D144" s="132"/>
      <c r="E144" s="132"/>
      <c r="F144" s="132"/>
      <c r="G144" s="132"/>
      <c r="H144" s="135"/>
      <c r="I144" s="134"/>
      <c r="J144" s="132"/>
      <c r="K144" s="132"/>
      <c r="L144" s="132"/>
      <c r="M144" s="132"/>
      <c r="N144" s="132"/>
      <c r="O144" s="132"/>
      <c r="P144" s="132"/>
      <c r="Q144" s="135"/>
      <c r="R144" s="136"/>
      <c r="S144" s="132"/>
      <c r="T144" s="132"/>
      <c r="U144" s="132"/>
      <c r="V144" s="132"/>
      <c r="W144" s="132"/>
      <c r="X144" s="142"/>
      <c r="Y144" s="273"/>
      <c r="Z144" s="273"/>
      <c r="AA144" s="273"/>
      <c r="AB144" s="273"/>
      <c r="AC144" s="273"/>
      <c r="AD144" s="273"/>
      <c r="AE144" s="273"/>
      <c r="AF144" s="273"/>
      <c r="AG144" s="273"/>
      <c r="AH144" s="273"/>
      <c r="AI144" s="273"/>
      <c r="AJ144" s="273"/>
      <c r="AK144" s="273"/>
      <c r="AL144" s="273"/>
      <c r="AM144" s="273"/>
      <c r="AN144" s="273"/>
      <c r="AO144" s="273"/>
      <c r="AP144" s="273"/>
      <c r="AQ144" s="273"/>
      <c r="AR144" s="273"/>
      <c r="AS144" s="273"/>
      <c r="AT144" s="273"/>
      <c r="AU144" s="273"/>
      <c r="AV144" s="273"/>
    </row>
    <row r="145" spans="1:48" ht="12.75">
      <c r="A145" s="138"/>
      <c r="B145" s="31"/>
      <c r="C145" s="31"/>
      <c r="D145" s="31"/>
      <c r="E145" s="31"/>
      <c r="F145" s="31"/>
      <c r="G145" s="31"/>
      <c r="H145" s="129"/>
      <c r="I145" s="128"/>
      <c r="J145" s="31"/>
      <c r="K145" s="31"/>
      <c r="L145" s="31"/>
      <c r="M145" s="31"/>
      <c r="N145" s="31"/>
      <c r="O145" s="31"/>
      <c r="P145" s="31"/>
      <c r="Q145" s="129"/>
      <c r="R145" s="130"/>
      <c r="S145" s="31"/>
      <c r="T145" s="31"/>
      <c r="U145" s="31"/>
      <c r="V145" s="31"/>
      <c r="W145" s="31"/>
      <c r="X145" s="140"/>
      <c r="Y145" s="273"/>
      <c r="Z145" s="273"/>
      <c r="AA145" s="273"/>
      <c r="AB145" s="273"/>
      <c r="AC145" s="273"/>
      <c r="AD145" s="273"/>
      <c r="AE145" s="273"/>
      <c r="AF145" s="273"/>
      <c r="AG145" s="273"/>
      <c r="AH145" s="273"/>
      <c r="AI145" s="273"/>
      <c r="AJ145" s="273"/>
      <c r="AK145" s="273"/>
      <c r="AL145" s="273"/>
      <c r="AM145" s="273"/>
      <c r="AN145" s="273"/>
      <c r="AO145" s="273"/>
      <c r="AP145" s="273"/>
      <c r="AQ145" s="273"/>
      <c r="AR145" s="273"/>
      <c r="AS145" s="273"/>
      <c r="AT145" s="273"/>
      <c r="AU145" s="273"/>
      <c r="AV145" s="273"/>
    </row>
    <row r="146" spans="1:48" ht="12.75">
      <c r="A146" s="139"/>
      <c r="B146" s="132"/>
      <c r="C146" s="132"/>
      <c r="D146" s="132"/>
      <c r="E146" s="132"/>
      <c r="F146" s="132"/>
      <c r="G146" s="132"/>
      <c r="H146" s="135"/>
      <c r="I146" s="134"/>
      <c r="J146" s="132"/>
      <c r="K146" s="132"/>
      <c r="L146" s="132"/>
      <c r="M146" s="132"/>
      <c r="N146" s="132"/>
      <c r="O146" s="132"/>
      <c r="P146" s="132"/>
      <c r="Q146" s="135"/>
      <c r="R146" s="136"/>
      <c r="S146" s="132"/>
      <c r="T146" s="132"/>
      <c r="U146" s="132"/>
      <c r="V146" s="132"/>
      <c r="W146" s="132"/>
      <c r="X146" s="142"/>
      <c r="Y146" s="273"/>
      <c r="Z146" s="273"/>
      <c r="AA146" s="273"/>
      <c r="AB146" s="273"/>
      <c r="AC146" s="273"/>
      <c r="AD146" s="273"/>
      <c r="AE146" s="273"/>
      <c r="AF146" s="273"/>
      <c r="AG146" s="273"/>
      <c r="AH146" s="273"/>
      <c r="AI146" s="273"/>
      <c r="AJ146" s="273"/>
      <c r="AK146" s="273"/>
      <c r="AL146" s="273"/>
      <c r="AM146" s="273"/>
      <c r="AN146" s="273"/>
      <c r="AO146" s="273"/>
      <c r="AP146" s="273"/>
      <c r="AQ146" s="273"/>
      <c r="AR146" s="273"/>
      <c r="AS146" s="273"/>
      <c r="AT146" s="273"/>
      <c r="AU146" s="273"/>
      <c r="AV146" s="273"/>
    </row>
    <row r="147" spans="1:48" ht="12.75">
      <c r="A147" s="138"/>
      <c r="B147" s="31"/>
      <c r="C147" s="31"/>
      <c r="D147" s="31"/>
      <c r="E147" s="31"/>
      <c r="F147" s="31"/>
      <c r="G147" s="31"/>
      <c r="H147" s="129"/>
      <c r="I147" s="128"/>
      <c r="J147" s="31"/>
      <c r="K147" s="31"/>
      <c r="L147" s="31"/>
      <c r="M147" s="31"/>
      <c r="N147" s="31"/>
      <c r="O147" s="31"/>
      <c r="P147" s="31"/>
      <c r="Q147" s="129"/>
      <c r="R147" s="130"/>
      <c r="S147" s="31"/>
      <c r="T147" s="31"/>
      <c r="U147" s="31"/>
      <c r="V147" s="31"/>
      <c r="W147" s="31"/>
      <c r="X147" s="140"/>
      <c r="Y147" s="273"/>
      <c r="Z147" s="273"/>
      <c r="AA147" s="273"/>
      <c r="AB147" s="273"/>
      <c r="AC147" s="273"/>
      <c r="AD147" s="273"/>
      <c r="AE147" s="273"/>
      <c r="AF147" s="273"/>
      <c r="AG147" s="273"/>
      <c r="AH147" s="273"/>
      <c r="AI147" s="273"/>
      <c r="AJ147" s="273"/>
      <c r="AK147" s="273"/>
      <c r="AL147" s="273"/>
      <c r="AM147" s="273"/>
      <c r="AN147" s="273"/>
      <c r="AO147" s="273"/>
      <c r="AP147" s="273"/>
      <c r="AQ147" s="273"/>
      <c r="AR147" s="273"/>
      <c r="AS147" s="273"/>
      <c r="AT147" s="273"/>
      <c r="AU147" s="273"/>
      <c r="AV147" s="273"/>
    </row>
    <row r="148" spans="1:48" ht="12.75">
      <c r="A148" s="139"/>
      <c r="B148" s="132"/>
      <c r="C148" s="132"/>
      <c r="D148" s="132"/>
      <c r="E148" s="132"/>
      <c r="F148" s="132"/>
      <c r="G148" s="132"/>
      <c r="H148" s="135"/>
      <c r="I148" s="134"/>
      <c r="J148" s="132"/>
      <c r="K148" s="132"/>
      <c r="L148" s="132"/>
      <c r="M148" s="132"/>
      <c r="N148" s="132"/>
      <c r="O148" s="132"/>
      <c r="P148" s="132"/>
      <c r="Q148" s="135"/>
      <c r="R148" s="136"/>
      <c r="S148" s="132"/>
      <c r="T148" s="132"/>
      <c r="U148" s="132"/>
      <c r="V148" s="132"/>
      <c r="W148" s="132"/>
      <c r="X148" s="142"/>
      <c r="Y148" s="273"/>
      <c r="Z148" s="273"/>
      <c r="AA148" s="273"/>
      <c r="AB148" s="273"/>
      <c r="AC148" s="273"/>
      <c r="AD148" s="273"/>
      <c r="AE148" s="273"/>
      <c r="AF148" s="273"/>
      <c r="AG148" s="273"/>
      <c r="AH148" s="273"/>
      <c r="AI148" s="273"/>
      <c r="AJ148" s="273"/>
      <c r="AK148" s="273"/>
      <c r="AL148" s="273"/>
      <c r="AM148" s="273"/>
      <c r="AN148" s="273"/>
      <c r="AO148" s="273"/>
      <c r="AP148" s="273"/>
      <c r="AQ148" s="273"/>
      <c r="AR148" s="273"/>
      <c r="AS148" s="273"/>
      <c r="AT148" s="273"/>
      <c r="AU148" s="273"/>
      <c r="AV148" s="273"/>
    </row>
    <row r="149" spans="1:48" ht="12.75">
      <c r="A149" s="138"/>
      <c r="B149" s="31"/>
      <c r="C149" s="31"/>
      <c r="D149" s="31"/>
      <c r="E149" s="31"/>
      <c r="F149" s="31"/>
      <c r="G149" s="31"/>
      <c r="H149" s="129"/>
      <c r="I149" s="128"/>
      <c r="J149" s="31"/>
      <c r="K149" s="31"/>
      <c r="L149" s="31"/>
      <c r="M149" s="31"/>
      <c r="N149" s="31"/>
      <c r="O149" s="31"/>
      <c r="P149" s="31"/>
      <c r="Q149" s="129"/>
      <c r="R149" s="130"/>
      <c r="S149" s="31"/>
      <c r="T149" s="31"/>
      <c r="U149" s="31"/>
      <c r="V149" s="31"/>
      <c r="W149" s="31"/>
      <c r="X149" s="140"/>
      <c r="Y149" s="273"/>
      <c r="Z149" s="273"/>
      <c r="AA149" s="273"/>
      <c r="AB149" s="273"/>
      <c r="AC149" s="273"/>
      <c r="AD149" s="273"/>
      <c r="AE149" s="273"/>
      <c r="AF149" s="273"/>
      <c r="AG149" s="273"/>
      <c r="AH149" s="273"/>
      <c r="AI149" s="273"/>
      <c r="AJ149" s="273"/>
      <c r="AK149" s="273"/>
      <c r="AL149" s="273"/>
      <c r="AM149" s="273"/>
      <c r="AN149" s="273"/>
      <c r="AO149" s="273"/>
      <c r="AP149" s="273"/>
      <c r="AQ149" s="273"/>
      <c r="AR149" s="273"/>
      <c r="AS149" s="273"/>
      <c r="AT149" s="273"/>
      <c r="AU149" s="273"/>
      <c r="AV149" s="273"/>
    </row>
    <row r="150" spans="1:48" ht="12.75">
      <c r="A150" s="139"/>
      <c r="B150" s="132"/>
      <c r="C150" s="132"/>
      <c r="D150" s="132"/>
      <c r="E150" s="132"/>
      <c r="F150" s="132"/>
      <c r="G150" s="132"/>
      <c r="H150" s="135"/>
      <c r="I150" s="134"/>
      <c r="J150" s="132"/>
      <c r="K150" s="132"/>
      <c r="L150" s="132"/>
      <c r="M150" s="132"/>
      <c r="N150" s="132"/>
      <c r="O150" s="132"/>
      <c r="P150" s="132"/>
      <c r="Q150" s="135"/>
      <c r="R150" s="136"/>
      <c r="S150" s="132"/>
      <c r="T150" s="132"/>
      <c r="U150" s="132"/>
      <c r="V150" s="132"/>
      <c r="W150" s="132"/>
      <c r="X150" s="142"/>
      <c r="Y150" s="273"/>
      <c r="Z150" s="273"/>
      <c r="AA150" s="273"/>
      <c r="AB150" s="273"/>
      <c r="AC150" s="273"/>
      <c r="AD150" s="273"/>
      <c r="AE150" s="273"/>
      <c r="AF150" s="273"/>
      <c r="AG150" s="273"/>
      <c r="AH150" s="273"/>
      <c r="AI150" s="273"/>
      <c r="AJ150" s="273"/>
      <c r="AK150" s="273"/>
      <c r="AL150" s="273"/>
      <c r="AM150" s="273"/>
      <c r="AN150" s="273"/>
      <c r="AO150" s="273"/>
      <c r="AP150" s="273"/>
      <c r="AQ150" s="273"/>
      <c r="AR150" s="273"/>
      <c r="AS150" s="273"/>
      <c r="AT150" s="273"/>
      <c r="AU150" s="273"/>
      <c r="AV150" s="273"/>
    </row>
    <row r="151" spans="1:48" ht="12.75">
      <c r="A151" s="138"/>
      <c r="B151" s="31"/>
      <c r="C151" s="31"/>
      <c r="D151" s="31"/>
      <c r="E151" s="31"/>
      <c r="F151" s="31"/>
      <c r="G151" s="31"/>
      <c r="H151" s="129"/>
      <c r="I151" s="128"/>
      <c r="J151" s="31"/>
      <c r="K151" s="31"/>
      <c r="L151" s="31"/>
      <c r="M151" s="31"/>
      <c r="N151" s="31"/>
      <c r="O151" s="31"/>
      <c r="P151" s="31"/>
      <c r="Q151" s="129"/>
      <c r="R151" s="130"/>
      <c r="S151" s="31"/>
      <c r="T151" s="31"/>
      <c r="U151" s="31"/>
      <c r="V151" s="31"/>
      <c r="W151" s="31"/>
      <c r="X151" s="140"/>
      <c r="Y151" s="273"/>
      <c r="Z151" s="273"/>
      <c r="AA151" s="273"/>
      <c r="AB151" s="273"/>
      <c r="AC151" s="273"/>
      <c r="AD151" s="273"/>
      <c r="AE151" s="273"/>
      <c r="AF151" s="273"/>
      <c r="AG151" s="273"/>
      <c r="AH151" s="273"/>
      <c r="AI151" s="273"/>
      <c r="AJ151" s="273"/>
      <c r="AK151" s="273"/>
      <c r="AL151" s="273"/>
      <c r="AM151" s="273"/>
      <c r="AN151" s="273"/>
      <c r="AO151" s="273"/>
      <c r="AP151" s="273"/>
      <c r="AQ151" s="273"/>
      <c r="AR151" s="273"/>
      <c r="AS151" s="273"/>
      <c r="AT151" s="273"/>
      <c r="AU151" s="273"/>
      <c r="AV151" s="273"/>
    </row>
    <row r="152" spans="1:48" ht="12.75">
      <c r="A152" s="139"/>
      <c r="B152" s="132"/>
      <c r="C152" s="132"/>
      <c r="D152" s="132"/>
      <c r="E152" s="132"/>
      <c r="F152" s="132"/>
      <c r="G152" s="132"/>
      <c r="H152" s="135"/>
      <c r="I152" s="134"/>
      <c r="J152" s="132"/>
      <c r="K152" s="132"/>
      <c r="L152" s="132"/>
      <c r="M152" s="132"/>
      <c r="N152" s="132"/>
      <c r="O152" s="132"/>
      <c r="P152" s="132"/>
      <c r="Q152" s="135"/>
      <c r="R152" s="136"/>
      <c r="S152" s="132"/>
      <c r="T152" s="132"/>
      <c r="U152" s="132"/>
      <c r="V152" s="132"/>
      <c r="W152" s="132"/>
      <c r="X152" s="142"/>
      <c r="Y152" s="273"/>
      <c r="Z152" s="273"/>
      <c r="AA152" s="273"/>
      <c r="AB152" s="273"/>
      <c r="AC152" s="273"/>
      <c r="AD152" s="273"/>
      <c r="AE152" s="273"/>
      <c r="AF152" s="273"/>
      <c r="AG152" s="273"/>
      <c r="AH152" s="273"/>
      <c r="AI152" s="273"/>
      <c r="AJ152" s="273"/>
      <c r="AK152" s="273"/>
      <c r="AL152" s="273"/>
      <c r="AM152" s="273"/>
      <c r="AN152" s="273"/>
      <c r="AO152" s="273"/>
      <c r="AP152" s="273"/>
      <c r="AQ152" s="273"/>
      <c r="AR152" s="273"/>
      <c r="AS152" s="273"/>
      <c r="AT152" s="273"/>
      <c r="AU152" s="273"/>
      <c r="AV152" s="273"/>
    </row>
    <row r="153" spans="1:48" ht="12.75">
      <c r="A153" s="138"/>
      <c r="B153" s="31"/>
      <c r="C153" s="31"/>
      <c r="D153" s="31"/>
      <c r="E153" s="31"/>
      <c r="F153" s="31"/>
      <c r="G153" s="31"/>
      <c r="H153" s="129"/>
      <c r="I153" s="128"/>
      <c r="J153" s="31"/>
      <c r="K153" s="31"/>
      <c r="L153" s="31"/>
      <c r="M153" s="31"/>
      <c r="N153" s="31"/>
      <c r="O153" s="31"/>
      <c r="P153" s="31"/>
      <c r="Q153" s="129"/>
      <c r="R153" s="130"/>
      <c r="S153" s="31"/>
      <c r="T153" s="31"/>
      <c r="U153" s="31"/>
      <c r="V153" s="31"/>
      <c r="W153" s="31"/>
      <c r="X153" s="140"/>
      <c r="Y153" s="273"/>
      <c r="Z153" s="273"/>
      <c r="AA153" s="273"/>
      <c r="AB153" s="273"/>
      <c r="AC153" s="273"/>
      <c r="AD153" s="273"/>
      <c r="AE153" s="273"/>
      <c r="AF153" s="273"/>
      <c r="AG153" s="273"/>
      <c r="AH153" s="273"/>
      <c r="AI153" s="273"/>
      <c r="AJ153" s="273"/>
      <c r="AK153" s="273"/>
      <c r="AL153" s="273"/>
      <c r="AM153" s="273"/>
      <c r="AN153" s="273"/>
      <c r="AO153" s="273"/>
      <c r="AP153" s="273"/>
      <c r="AQ153" s="273"/>
      <c r="AR153" s="273"/>
      <c r="AS153" s="273"/>
      <c r="AT153" s="273"/>
      <c r="AU153" s="273"/>
      <c r="AV153" s="273"/>
    </row>
    <row r="154" spans="1:48" ht="12.75">
      <c r="A154" s="139"/>
      <c r="B154" s="132"/>
      <c r="C154" s="132"/>
      <c r="D154" s="132"/>
      <c r="E154" s="132"/>
      <c r="F154" s="132"/>
      <c r="G154" s="132"/>
      <c r="H154" s="135"/>
      <c r="I154" s="134"/>
      <c r="J154" s="132"/>
      <c r="K154" s="132"/>
      <c r="L154" s="132"/>
      <c r="M154" s="132"/>
      <c r="N154" s="132"/>
      <c r="O154" s="132"/>
      <c r="P154" s="132"/>
      <c r="Q154" s="135"/>
      <c r="R154" s="136"/>
      <c r="S154" s="132"/>
      <c r="T154" s="132"/>
      <c r="U154" s="132"/>
      <c r="V154" s="132"/>
      <c r="W154" s="132"/>
      <c r="X154" s="142"/>
      <c r="Y154" s="273"/>
      <c r="Z154" s="273"/>
      <c r="AA154" s="273"/>
      <c r="AB154" s="273"/>
      <c r="AC154" s="273"/>
      <c r="AD154" s="273"/>
      <c r="AE154" s="273"/>
      <c r="AF154" s="273"/>
      <c r="AG154" s="273"/>
      <c r="AH154" s="273"/>
      <c r="AI154" s="273"/>
      <c r="AJ154" s="273"/>
      <c r="AK154" s="273"/>
      <c r="AL154" s="273"/>
      <c r="AM154" s="273"/>
      <c r="AN154" s="273"/>
      <c r="AO154" s="273"/>
      <c r="AP154" s="273"/>
      <c r="AQ154" s="273"/>
      <c r="AR154" s="273"/>
      <c r="AS154" s="273"/>
      <c r="AT154" s="273"/>
      <c r="AU154" s="273"/>
      <c r="AV154" s="273"/>
    </row>
    <row r="155" spans="1:48" ht="12.75">
      <c r="A155" s="138"/>
      <c r="B155" s="31"/>
      <c r="C155" s="31"/>
      <c r="D155" s="31"/>
      <c r="E155" s="31"/>
      <c r="F155" s="31"/>
      <c r="G155" s="31"/>
      <c r="H155" s="129"/>
      <c r="I155" s="128"/>
      <c r="J155" s="31"/>
      <c r="K155" s="31"/>
      <c r="L155" s="31"/>
      <c r="M155" s="31"/>
      <c r="N155" s="31"/>
      <c r="O155" s="31"/>
      <c r="P155" s="31"/>
      <c r="Q155" s="129"/>
      <c r="R155" s="130"/>
      <c r="S155" s="31"/>
      <c r="T155" s="31"/>
      <c r="U155" s="31"/>
      <c r="V155" s="31"/>
      <c r="W155" s="31"/>
      <c r="X155" s="140"/>
      <c r="Y155" s="273"/>
      <c r="Z155" s="273"/>
      <c r="AA155" s="273"/>
      <c r="AB155" s="273"/>
      <c r="AC155" s="273"/>
      <c r="AD155" s="273"/>
      <c r="AE155" s="273"/>
      <c r="AF155" s="273"/>
      <c r="AG155" s="273"/>
      <c r="AH155" s="273"/>
      <c r="AI155" s="273"/>
      <c r="AJ155" s="273"/>
      <c r="AK155" s="273"/>
      <c r="AL155" s="273"/>
      <c r="AM155" s="273"/>
      <c r="AN155" s="273"/>
      <c r="AO155" s="273"/>
      <c r="AP155" s="273"/>
      <c r="AQ155" s="273"/>
      <c r="AR155" s="273"/>
      <c r="AS155" s="273"/>
      <c r="AT155" s="273"/>
      <c r="AU155" s="273"/>
      <c r="AV155" s="273"/>
    </row>
    <row r="156" spans="1:48" ht="12.75">
      <c r="A156" s="139"/>
      <c r="B156" s="132"/>
      <c r="C156" s="132"/>
      <c r="D156" s="132"/>
      <c r="E156" s="132"/>
      <c r="F156" s="132"/>
      <c r="G156" s="132"/>
      <c r="H156" s="135"/>
      <c r="I156" s="134"/>
      <c r="J156" s="132"/>
      <c r="K156" s="132"/>
      <c r="L156" s="132"/>
      <c r="M156" s="132"/>
      <c r="N156" s="132"/>
      <c r="O156" s="132"/>
      <c r="P156" s="132"/>
      <c r="Q156" s="135"/>
      <c r="R156" s="136"/>
      <c r="S156" s="132"/>
      <c r="T156" s="132"/>
      <c r="U156" s="132"/>
      <c r="V156" s="132"/>
      <c r="W156" s="132"/>
      <c r="X156" s="142"/>
      <c r="Y156" s="273"/>
      <c r="Z156" s="273"/>
      <c r="AA156" s="273"/>
      <c r="AB156" s="273"/>
      <c r="AC156" s="273"/>
      <c r="AD156" s="273"/>
      <c r="AE156" s="273"/>
      <c r="AF156" s="273"/>
      <c r="AG156" s="273"/>
      <c r="AH156" s="273"/>
      <c r="AI156" s="273"/>
      <c r="AJ156" s="273"/>
      <c r="AK156" s="273"/>
      <c r="AL156" s="273"/>
      <c r="AM156" s="273"/>
      <c r="AN156" s="273"/>
      <c r="AO156" s="273"/>
      <c r="AP156" s="273"/>
      <c r="AQ156" s="273"/>
      <c r="AR156" s="273"/>
      <c r="AS156" s="273"/>
      <c r="AT156" s="273"/>
      <c r="AU156" s="273"/>
      <c r="AV156" s="273"/>
    </row>
    <row r="157" spans="1:48" ht="12.75">
      <c r="A157" s="138"/>
      <c r="B157" s="31"/>
      <c r="C157" s="31"/>
      <c r="D157" s="31"/>
      <c r="E157" s="31"/>
      <c r="F157" s="31"/>
      <c r="G157" s="31"/>
      <c r="H157" s="129"/>
      <c r="I157" s="128"/>
      <c r="J157" s="31"/>
      <c r="K157" s="31"/>
      <c r="L157" s="31"/>
      <c r="M157" s="31"/>
      <c r="N157" s="31"/>
      <c r="O157" s="31"/>
      <c r="P157" s="31"/>
      <c r="Q157" s="129"/>
      <c r="R157" s="130"/>
      <c r="S157" s="31"/>
      <c r="T157" s="31"/>
      <c r="U157" s="31"/>
      <c r="V157" s="31"/>
      <c r="W157" s="31"/>
      <c r="X157" s="140"/>
      <c r="Y157" s="273"/>
      <c r="Z157" s="273"/>
      <c r="AA157" s="273"/>
      <c r="AB157" s="273"/>
      <c r="AC157" s="273"/>
      <c r="AD157" s="273"/>
      <c r="AE157" s="273"/>
      <c r="AF157" s="273"/>
      <c r="AG157" s="273"/>
      <c r="AH157" s="273"/>
      <c r="AI157" s="273"/>
      <c r="AJ157" s="273"/>
      <c r="AK157" s="273"/>
      <c r="AL157" s="273"/>
      <c r="AM157" s="273"/>
      <c r="AN157" s="273"/>
      <c r="AO157" s="273"/>
      <c r="AP157" s="273"/>
      <c r="AQ157" s="273"/>
      <c r="AR157" s="273"/>
      <c r="AS157" s="273"/>
      <c r="AT157" s="273"/>
      <c r="AU157" s="273"/>
      <c r="AV157" s="273"/>
    </row>
    <row r="158" spans="1:48" ht="12.75">
      <c r="A158" s="139"/>
      <c r="B158" s="132"/>
      <c r="C158" s="132"/>
      <c r="D158" s="132"/>
      <c r="E158" s="132"/>
      <c r="F158" s="132"/>
      <c r="G158" s="132"/>
      <c r="H158" s="135"/>
      <c r="I158" s="134"/>
      <c r="J158" s="132"/>
      <c r="K158" s="132"/>
      <c r="L158" s="132"/>
      <c r="M158" s="132"/>
      <c r="N158" s="132"/>
      <c r="O158" s="132"/>
      <c r="P158" s="132"/>
      <c r="Q158" s="135"/>
      <c r="R158" s="136"/>
      <c r="S158" s="132"/>
      <c r="T158" s="132"/>
      <c r="U158" s="132"/>
      <c r="V158" s="132"/>
      <c r="W158" s="132"/>
      <c r="X158" s="142"/>
      <c r="Y158" s="273"/>
      <c r="Z158" s="273"/>
      <c r="AA158" s="273"/>
      <c r="AB158" s="273"/>
      <c r="AC158" s="273"/>
      <c r="AD158" s="273"/>
      <c r="AE158" s="273"/>
      <c r="AF158" s="273"/>
      <c r="AG158" s="273"/>
      <c r="AH158" s="273"/>
      <c r="AI158" s="273"/>
      <c r="AJ158" s="273"/>
      <c r="AK158" s="273"/>
      <c r="AL158" s="273"/>
      <c r="AM158" s="273"/>
      <c r="AN158" s="273"/>
      <c r="AO158" s="273"/>
      <c r="AP158" s="273"/>
      <c r="AQ158" s="273"/>
      <c r="AR158" s="273"/>
      <c r="AS158" s="273"/>
      <c r="AT158" s="273"/>
      <c r="AU158" s="273"/>
      <c r="AV158" s="273"/>
    </row>
    <row r="159" spans="1:48" ht="12.75">
      <c r="A159" s="138"/>
      <c r="B159" s="31"/>
      <c r="C159" s="31"/>
      <c r="D159" s="31"/>
      <c r="E159" s="31"/>
      <c r="F159" s="31"/>
      <c r="G159" s="31"/>
      <c r="H159" s="129"/>
      <c r="I159" s="128"/>
      <c r="J159" s="31"/>
      <c r="K159" s="31"/>
      <c r="L159" s="31"/>
      <c r="M159" s="31"/>
      <c r="N159" s="31"/>
      <c r="O159" s="31"/>
      <c r="P159" s="31"/>
      <c r="Q159" s="129"/>
      <c r="R159" s="130"/>
      <c r="S159" s="31"/>
      <c r="T159" s="31"/>
      <c r="U159" s="31"/>
      <c r="V159" s="31"/>
      <c r="W159" s="31"/>
      <c r="X159" s="140"/>
      <c r="Y159" s="273"/>
      <c r="Z159" s="273"/>
      <c r="AA159" s="273"/>
      <c r="AB159" s="273"/>
      <c r="AC159" s="273"/>
      <c r="AD159" s="273"/>
      <c r="AE159" s="273"/>
      <c r="AF159" s="273"/>
      <c r="AG159" s="273"/>
      <c r="AH159" s="273"/>
      <c r="AI159" s="273"/>
      <c r="AJ159" s="273"/>
      <c r="AK159" s="273"/>
      <c r="AL159" s="273"/>
      <c r="AM159" s="273"/>
      <c r="AN159" s="273"/>
      <c r="AO159" s="273"/>
      <c r="AP159" s="273"/>
      <c r="AQ159" s="273"/>
      <c r="AR159" s="273"/>
      <c r="AS159" s="273"/>
      <c r="AT159" s="273"/>
      <c r="AU159" s="273"/>
      <c r="AV159" s="273"/>
    </row>
    <row r="160" spans="1:48" ht="12.75">
      <c r="A160" s="139"/>
      <c r="B160" s="132"/>
      <c r="C160" s="132"/>
      <c r="D160" s="132"/>
      <c r="E160" s="132"/>
      <c r="F160" s="132"/>
      <c r="G160" s="132"/>
      <c r="H160" s="135"/>
      <c r="I160" s="134"/>
      <c r="J160" s="132"/>
      <c r="K160" s="132"/>
      <c r="L160" s="132"/>
      <c r="M160" s="132"/>
      <c r="N160" s="132"/>
      <c r="O160" s="132"/>
      <c r="P160" s="132"/>
      <c r="Q160" s="135"/>
      <c r="R160" s="136"/>
      <c r="S160" s="132"/>
      <c r="T160" s="132"/>
      <c r="U160" s="132"/>
      <c r="V160" s="132"/>
      <c r="W160" s="132"/>
      <c r="X160" s="142"/>
      <c r="Y160" s="273"/>
      <c r="Z160" s="273"/>
      <c r="AA160" s="273"/>
      <c r="AB160" s="273"/>
      <c r="AC160" s="273"/>
      <c r="AD160" s="273"/>
      <c r="AE160" s="273"/>
      <c r="AF160" s="273"/>
      <c r="AG160" s="273"/>
      <c r="AH160" s="273"/>
      <c r="AI160" s="273"/>
      <c r="AJ160" s="273"/>
      <c r="AK160" s="273"/>
      <c r="AL160" s="273"/>
      <c r="AM160" s="273"/>
      <c r="AN160" s="273"/>
      <c r="AO160" s="273"/>
      <c r="AP160" s="273"/>
      <c r="AQ160" s="273"/>
      <c r="AR160" s="273"/>
      <c r="AS160" s="273"/>
      <c r="AT160" s="273"/>
      <c r="AU160" s="273"/>
      <c r="AV160" s="273"/>
    </row>
    <row r="161" spans="1:48" ht="12.75">
      <c r="A161" s="138"/>
      <c r="B161" s="31"/>
      <c r="C161" s="31"/>
      <c r="D161" s="31"/>
      <c r="E161" s="31"/>
      <c r="F161" s="31"/>
      <c r="G161" s="31"/>
      <c r="H161" s="129"/>
      <c r="I161" s="128"/>
      <c r="J161" s="31"/>
      <c r="K161" s="31"/>
      <c r="L161" s="31"/>
      <c r="M161" s="31"/>
      <c r="N161" s="31"/>
      <c r="O161" s="31"/>
      <c r="P161" s="31"/>
      <c r="Q161" s="129"/>
      <c r="R161" s="130"/>
      <c r="S161" s="31"/>
      <c r="T161" s="31"/>
      <c r="U161" s="31"/>
      <c r="V161" s="31"/>
      <c r="W161" s="31"/>
      <c r="X161" s="140"/>
      <c r="Y161" s="273"/>
      <c r="Z161" s="273"/>
      <c r="AA161" s="273"/>
      <c r="AB161" s="273"/>
      <c r="AC161" s="273"/>
      <c r="AD161" s="273"/>
      <c r="AE161" s="273"/>
      <c r="AF161" s="273"/>
      <c r="AG161" s="273"/>
      <c r="AH161" s="273"/>
      <c r="AI161" s="273"/>
      <c r="AJ161" s="273"/>
      <c r="AK161" s="273"/>
      <c r="AL161" s="273"/>
      <c r="AM161" s="273"/>
      <c r="AN161" s="273"/>
      <c r="AO161" s="273"/>
      <c r="AP161" s="273"/>
      <c r="AQ161" s="273"/>
      <c r="AR161" s="273"/>
      <c r="AS161" s="273"/>
      <c r="AT161" s="273"/>
      <c r="AU161" s="273"/>
      <c r="AV161" s="273"/>
    </row>
    <row r="162" spans="1:48" ht="12.75">
      <c r="A162" s="139"/>
      <c r="B162" s="132"/>
      <c r="C162" s="132"/>
      <c r="D162" s="132"/>
      <c r="E162" s="132"/>
      <c r="F162" s="132"/>
      <c r="G162" s="132"/>
      <c r="H162" s="135"/>
      <c r="I162" s="134"/>
      <c r="J162" s="132"/>
      <c r="K162" s="132"/>
      <c r="L162" s="132"/>
      <c r="M162" s="132"/>
      <c r="N162" s="132"/>
      <c r="O162" s="132"/>
      <c r="P162" s="132"/>
      <c r="Q162" s="135"/>
      <c r="R162" s="136"/>
      <c r="S162" s="132"/>
      <c r="T162" s="132"/>
      <c r="U162" s="132"/>
      <c r="V162" s="132"/>
      <c r="W162" s="132"/>
      <c r="X162" s="142"/>
      <c r="Y162" s="273"/>
      <c r="Z162" s="273"/>
      <c r="AA162" s="273"/>
      <c r="AB162" s="273"/>
      <c r="AC162" s="273"/>
      <c r="AD162" s="273"/>
      <c r="AE162" s="273"/>
      <c r="AF162" s="273"/>
      <c r="AG162" s="273"/>
      <c r="AH162" s="273"/>
      <c r="AI162" s="273"/>
      <c r="AJ162" s="273"/>
      <c r="AK162" s="273"/>
      <c r="AL162" s="273"/>
      <c r="AM162" s="273"/>
      <c r="AN162" s="273"/>
      <c r="AO162" s="273"/>
      <c r="AP162" s="273"/>
      <c r="AQ162" s="273"/>
      <c r="AR162" s="273"/>
      <c r="AS162" s="273"/>
      <c r="AT162" s="273"/>
      <c r="AU162" s="273"/>
      <c r="AV162" s="273"/>
    </row>
    <row r="163" spans="1:48" ht="12.75">
      <c r="A163" s="138"/>
      <c r="B163" s="31"/>
      <c r="C163" s="31"/>
      <c r="D163" s="31"/>
      <c r="E163" s="31"/>
      <c r="F163" s="31"/>
      <c r="G163" s="31"/>
      <c r="H163" s="129"/>
      <c r="I163" s="128"/>
      <c r="J163" s="31"/>
      <c r="K163" s="31"/>
      <c r="L163" s="31"/>
      <c r="M163" s="31"/>
      <c r="N163" s="31"/>
      <c r="O163" s="31"/>
      <c r="P163" s="31"/>
      <c r="Q163" s="129"/>
      <c r="R163" s="130"/>
      <c r="S163" s="31"/>
      <c r="T163" s="31"/>
      <c r="U163" s="31"/>
      <c r="V163" s="31"/>
      <c r="W163" s="31"/>
      <c r="X163" s="140"/>
      <c r="Y163" s="273"/>
      <c r="Z163" s="273"/>
      <c r="AA163" s="273"/>
      <c r="AB163" s="273"/>
      <c r="AC163" s="273"/>
      <c r="AD163" s="273"/>
      <c r="AE163" s="273"/>
      <c r="AF163" s="273"/>
      <c r="AG163" s="273"/>
      <c r="AH163" s="273"/>
      <c r="AI163" s="273"/>
      <c r="AJ163" s="273"/>
      <c r="AK163" s="273"/>
      <c r="AL163" s="273"/>
      <c r="AM163" s="273"/>
      <c r="AN163" s="273"/>
      <c r="AO163" s="273"/>
      <c r="AP163" s="273"/>
      <c r="AQ163" s="273"/>
      <c r="AR163" s="273"/>
      <c r="AS163" s="273"/>
      <c r="AT163" s="273"/>
      <c r="AU163" s="273"/>
      <c r="AV163" s="273"/>
    </row>
    <row r="164" spans="1:48" ht="12.75">
      <c r="A164" s="139"/>
      <c r="B164" s="132"/>
      <c r="C164" s="132"/>
      <c r="D164" s="132"/>
      <c r="E164" s="132"/>
      <c r="F164" s="132"/>
      <c r="G164" s="132"/>
      <c r="H164" s="135"/>
      <c r="I164" s="134"/>
      <c r="J164" s="132"/>
      <c r="K164" s="132"/>
      <c r="L164" s="132"/>
      <c r="M164" s="132"/>
      <c r="N164" s="132"/>
      <c r="O164" s="132"/>
      <c r="P164" s="132"/>
      <c r="Q164" s="135"/>
      <c r="R164" s="136"/>
      <c r="S164" s="132"/>
      <c r="T164" s="132"/>
      <c r="U164" s="132"/>
      <c r="V164" s="132"/>
      <c r="W164" s="132"/>
      <c r="X164" s="142"/>
      <c r="Y164" s="273"/>
      <c r="Z164" s="273"/>
      <c r="AA164" s="273"/>
      <c r="AB164" s="273"/>
      <c r="AC164" s="273"/>
      <c r="AD164" s="273"/>
      <c r="AE164" s="273"/>
      <c r="AF164" s="273"/>
      <c r="AG164" s="273"/>
      <c r="AH164" s="273"/>
      <c r="AI164" s="273"/>
      <c r="AJ164" s="273"/>
      <c r="AK164" s="273"/>
      <c r="AL164" s="273"/>
      <c r="AM164" s="273"/>
      <c r="AN164" s="273"/>
      <c r="AO164" s="273"/>
      <c r="AP164" s="273"/>
      <c r="AQ164" s="273"/>
      <c r="AR164" s="273"/>
      <c r="AS164" s="273"/>
      <c r="AT164" s="273"/>
      <c r="AU164" s="273"/>
      <c r="AV164" s="273"/>
    </row>
    <row r="165" spans="1:48" ht="12.75">
      <c r="A165" s="138"/>
      <c r="B165" s="31"/>
      <c r="C165" s="31"/>
      <c r="D165" s="31"/>
      <c r="E165" s="31"/>
      <c r="F165" s="31"/>
      <c r="G165" s="31"/>
      <c r="H165" s="129"/>
      <c r="I165" s="128"/>
      <c r="J165" s="31"/>
      <c r="K165" s="31"/>
      <c r="L165" s="31"/>
      <c r="M165" s="31"/>
      <c r="N165" s="31"/>
      <c r="O165" s="31"/>
      <c r="P165" s="31"/>
      <c r="Q165" s="129"/>
      <c r="R165" s="130"/>
      <c r="S165" s="31"/>
      <c r="T165" s="31"/>
      <c r="U165" s="31"/>
      <c r="V165" s="31"/>
      <c r="W165" s="31"/>
      <c r="X165" s="140"/>
      <c r="Y165" s="273"/>
      <c r="Z165" s="273"/>
      <c r="AA165" s="273"/>
      <c r="AB165" s="273"/>
      <c r="AC165" s="273"/>
      <c r="AD165" s="273"/>
      <c r="AE165" s="273"/>
      <c r="AF165" s="273"/>
      <c r="AG165" s="273"/>
      <c r="AH165" s="273"/>
      <c r="AI165" s="273"/>
      <c r="AJ165" s="273"/>
      <c r="AK165" s="273"/>
      <c r="AL165" s="273"/>
      <c r="AM165" s="273"/>
      <c r="AN165" s="273"/>
      <c r="AO165" s="273"/>
      <c r="AP165" s="273"/>
      <c r="AQ165" s="273"/>
      <c r="AR165" s="273"/>
      <c r="AS165" s="273"/>
      <c r="AT165" s="273"/>
      <c r="AU165" s="273"/>
      <c r="AV165" s="273"/>
    </row>
    <row r="166" spans="1:48" ht="12.75">
      <c r="A166" s="139"/>
      <c r="B166" s="132"/>
      <c r="C166" s="132"/>
      <c r="D166" s="132"/>
      <c r="E166" s="132"/>
      <c r="F166" s="132"/>
      <c r="G166" s="132"/>
      <c r="H166" s="135"/>
      <c r="I166" s="134"/>
      <c r="J166" s="132"/>
      <c r="K166" s="132"/>
      <c r="L166" s="132"/>
      <c r="M166" s="132"/>
      <c r="N166" s="132"/>
      <c r="O166" s="132"/>
      <c r="P166" s="132"/>
      <c r="Q166" s="135"/>
      <c r="R166" s="136"/>
      <c r="S166" s="132"/>
      <c r="T166" s="132"/>
      <c r="U166" s="132"/>
      <c r="V166" s="132"/>
      <c r="W166" s="132"/>
      <c r="X166" s="142"/>
      <c r="Y166" s="273"/>
      <c r="Z166" s="273"/>
      <c r="AA166" s="273"/>
      <c r="AB166" s="273"/>
      <c r="AC166" s="273"/>
      <c r="AD166" s="273"/>
      <c r="AE166" s="273"/>
      <c r="AF166" s="273"/>
      <c r="AG166" s="273"/>
      <c r="AH166" s="273"/>
      <c r="AI166" s="273"/>
      <c r="AJ166" s="273"/>
      <c r="AK166" s="273"/>
      <c r="AL166" s="273"/>
      <c r="AM166" s="273"/>
      <c r="AN166" s="273"/>
      <c r="AO166" s="273"/>
      <c r="AP166" s="273"/>
      <c r="AQ166" s="273"/>
      <c r="AR166" s="273"/>
      <c r="AS166" s="273"/>
      <c r="AT166" s="273"/>
      <c r="AU166" s="273"/>
      <c r="AV166" s="273"/>
    </row>
    <row r="167" spans="1:48" ht="12.75">
      <c r="A167" s="138"/>
      <c r="B167" s="31"/>
      <c r="C167" s="31"/>
      <c r="D167" s="31"/>
      <c r="E167" s="31"/>
      <c r="F167" s="31"/>
      <c r="G167" s="31"/>
      <c r="H167" s="129"/>
      <c r="I167" s="128"/>
      <c r="J167" s="31"/>
      <c r="K167" s="31"/>
      <c r="L167" s="31"/>
      <c r="M167" s="31"/>
      <c r="N167" s="31"/>
      <c r="O167" s="31"/>
      <c r="P167" s="31"/>
      <c r="Q167" s="129"/>
      <c r="R167" s="130"/>
      <c r="S167" s="31"/>
      <c r="T167" s="31"/>
      <c r="U167" s="31"/>
      <c r="V167" s="31"/>
      <c r="W167" s="31"/>
      <c r="X167" s="140"/>
      <c r="Y167" s="273"/>
      <c r="Z167" s="273"/>
      <c r="AA167" s="273"/>
      <c r="AB167" s="273"/>
      <c r="AC167" s="273"/>
      <c r="AD167" s="273"/>
      <c r="AE167" s="273"/>
      <c r="AF167" s="273"/>
      <c r="AG167" s="273"/>
      <c r="AH167" s="273"/>
      <c r="AI167" s="273"/>
      <c r="AJ167" s="273"/>
      <c r="AK167" s="273"/>
      <c r="AL167" s="273"/>
      <c r="AM167" s="273"/>
      <c r="AN167" s="273"/>
      <c r="AO167" s="273"/>
      <c r="AP167" s="273"/>
      <c r="AQ167" s="273"/>
      <c r="AR167" s="273"/>
      <c r="AS167" s="273"/>
      <c r="AT167" s="273"/>
      <c r="AU167" s="273"/>
      <c r="AV167" s="273"/>
    </row>
    <row r="168" spans="1:48" ht="12.75">
      <c r="A168" s="139"/>
      <c r="B168" s="132"/>
      <c r="C168" s="132"/>
      <c r="D168" s="132"/>
      <c r="E168" s="132"/>
      <c r="F168" s="132"/>
      <c r="G168" s="132"/>
      <c r="H168" s="135"/>
      <c r="I168" s="134"/>
      <c r="J168" s="132"/>
      <c r="K168" s="132"/>
      <c r="L168" s="132"/>
      <c r="M168" s="132"/>
      <c r="N168" s="132"/>
      <c r="O168" s="132"/>
      <c r="P168" s="132"/>
      <c r="Q168" s="135"/>
      <c r="R168" s="136"/>
      <c r="S168" s="132"/>
      <c r="T168" s="132"/>
      <c r="U168" s="132"/>
      <c r="V168" s="132"/>
      <c r="W168" s="132"/>
      <c r="X168" s="142"/>
      <c r="Y168" s="273"/>
      <c r="Z168" s="273"/>
      <c r="AA168" s="273"/>
      <c r="AB168" s="273"/>
      <c r="AC168" s="273"/>
      <c r="AD168" s="273"/>
      <c r="AE168" s="273"/>
      <c r="AF168" s="273"/>
      <c r="AG168" s="273"/>
      <c r="AH168" s="273"/>
      <c r="AI168" s="273"/>
      <c r="AJ168" s="273"/>
      <c r="AK168" s="273"/>
      <c r="AL168" s="273"/>
      <c r="AM168" s="273"/>
      <c r="AN168" s="273"/>
      <c r="AO168" s="273"/>
      <c r="AP168" s="273"/>
      <c r="AQ168" s="273"/>
      <c r="AR168" s="273"/>
      <c r="AS168" s="273"/>
      <c r="AT168" s="273"/>
      <c r="AU168" s="273"/>
      <c r="AV168" s="273"/>
    </row>
    <row r="169" spans="1:48" ht="12.75">
      <c r="A169" s="138"/>
      <c r="B169" s="31"/>
      <c r="C169" s="31"/>
      <c r="D169" s="31"/>
      <c r="E169" s="31"/>
      <c r="F169" s="31"/>
      <c r="G169" s="31"/>
      <c r="H169" s="129"/>
      <c r="I169" s="128"/>
      <c r="J169" s="31"/>
      <c r="K169" s="31"/>
      <c r="L169" s="31"/>
      <c r="M169" s="31"/>
      <c r="N169" s="31"/>
      <c r="O169" s="31"/>
      <c r="P169" s="31"/>
      <c r="Q169" s="129"/>
      <c r="R169" s="130"/>
      <c r="S169" s="31"/>
      <c r="T169" s="31"/>
      <c r="U169" s="31"/>
      <c r="V169" s="31"/>
      <c r="W169" s="31"/>
      <c r="X169" s="140"/>
      <c r="Y169" s="273"/>
      <c r="Z169" s="273"/>
      <c r="AA169" s="273"/>
      <c r="AB169" s="273"/>
      <c r="AC169" s="273"/>
      <c r="AD169" s="273"/>
      <c r="AE169" s="273"/>
      <c r="AF169" s="273"/>
      <c r="AG169" s="273"/>
      <c r="AH169" s="273"/>
      <c r="AI169" s="273"/>
      <c r="AJ169" s="273"/>
      <c r="AK169" s="273"/>
      <c r="AL169" s="273"/>
      <c r="AM169" s="273"/>
      <c r="AN169" s="273"/>
      <c r="AO169" s="273"/>
      <c r="AP169" s="273"/>
      <c r="AQ169" s="273"/>
      <c r="AR169" s="273"/>
      <c r="AS169" s="273"/>
      <c r="AT169" s="273"/>
      <c r="AU169" s="273"/>
      <c r="AV169" s="273"/>
    </row>
    <row r="170" spans="1:48" ht="12.75">
      <c r="A170" s="139"/>
      <c r="B170" s="132"/>
      <c r="C170" s="132"/>
      <c r="D170" s="132"/>
      <c r="E170" s="132"/>
      <c r="F170" s="132"/>
      <c r="G170" s="132"/>
      <c r="H170" s="135"/>
      <c r="I170" s="134"/>
      <c r="J170" s="132"/>
      <c r="K170" s="132"/>
      <c r="L170" s="132"/>
      <c r="M170" s="132"/>
      <c r="N170" s="132"/>
      <c r="O170" s="132"/>
      <c r="P170" s="132"/>
      <c r="Q170" s="135"/>
      <c r="R170" s="136"/>
      <c r="S170" s="132"/>
      <c r="T170" s="132"/>
      <c r="U170" s="132"/>
      <c r="V170" s="132"/>
      <c r="W170" s="132"/>
      <c r="X170" s="142"/>
      <c r="Y170" s="273"/>
      <c r="Z170" s="273"/>
      <c r="AA170" s="273"/>
      <c r="AB170" s="273"/>
      <c r="AC170" s="273"/>
      <c r="AD170" s="273"/>
      <c r="AE170" s="273"/>
      <c r="AF170" s="273"/>
      <c r="AG170" s="273"/>
      <c r="AH170" s="273"/>
      <c r="AI170" s="273"/>
      <c r="AJ170" s="273"/>
      <c r="AK170" s="273"/>
      <c r="AL170" s="273"/>
      <c r="AM170" s="273"/>
      <c r="AN170" s="273"/>
      <c r="AO170" s="273"/>
      <c r="AP170" s="273"/>
      <c r="AQ170" s="273"/>
      <c r="AR170" s="273"/>
      <c r="AS170" s="273"/>
      <c r="AT170" s="273"/>
      <c r="AU170" s="273"/>
      <c r="AV170" s="273"/>
    </row>
    <row r="171" spans="1:48" ht="12.75">
      <c r="A171" s="138"/>
      <c r="B171" s="31"/>
      <c r="C171" s="31"/>
      <c r="D171" s="31"/>
      <c r="E171" s="31"/>
      <c r="F171" s="31"/>
      <c r="G171" s="31"/>
      <c r="H171" s="129"/>
      <c r="I171" s="128"/>
      <c r="J171" s="31"/>
      <c r="K171" s="31"/>
      <c r="L171" s="31"/>
      <c r="M171" s="31"/>
      <c r="N171" s="31"/>
      <c r="O171" s="31"/>
      <c r="P171" s="31"/>
      <c r="Q171" s="129"/>
      <c r="R171" s="130"/>
      <c r="S171" s="31"/>
      <c r="T171" s="31"/>
      <c r="U171" s="31"/>
      <c r="V171" s="31"/>
      <c r="W171" s="31"/>
      <c r="X171" s="140"/>
      <c r="Y171" s="273"/>
      <c r="Z171" s="273"/>
      <c r="AA171" s="273"/>
      <c r="AB171" s="273"/>
      <c r="AC171" s="273"/>
      <c r="AD171" s="273"/>
      <c r="AE171" s="273"/>
      <c r="AF171" s="273"/>
      <c r="AG171" s="273"/>
      <c r="AH171" s="273"/>
      <c r="AI171" s="273"/>
      <c r="AJ171" s="273"/>
      <c r="AK171" s="273"/>
      <c r="AL171" s="273"/>
      <c r="AM171" s="273"/>
      <c r="AN171" s="273"/>
      <c r="AO171" s="273"/>
      <c r="AP171" s="273"/>
      <c r="AQ171" s="273"/>
      <c r="AR171" s="273"/>
      <c r="AS171" s="273"/>
      <c r="AT171" s="273"/>
      <c r="AU171" s="273"/>
      <c r="AV171" s="273"/>
    </row>
    <row r="172" spans="1:48" ht="12.75">
      <c r="A172" s="139"/>
      <c r="B172" s="132"/>
      <c r="C172" s="132"/>
      <c r="D172" s="132"/>
      <c r="E172" s="132"/>
      <c r="F172" s="132"/>
      <c r="G172" s="132"/>
      <c r="H172" s="135"/>
      <c r="I172" s="134"/>
      <c r="J172" s="132"/>
      <c r="K172" s="132"/>
      <c r="L172" s="132"/>
      <c r="M172" s="132"/>
      <c r="N172" s="132"/>
      <c r="O172" s="132"/>
      <c r="P172" s="132"/>
      <c r="Q172" s="135"/>
      <c r="R172" s="136"/>
      <c r="S172" s="132"/>
      <c r="T172" s="132"/>
      <c r="U172" s="132"/>
      <c r="V172" s="132"/>
      <c r="W172" s="132"/>
      <c r="X172" s="142"/>
      <c r="Y172" s="273"/>
      <c r="Z172" s="273"/>
      <c r="AA172" s="273"/>
      <c r="AB172" s="273"/>
      <c r="AC172" s="273"/>
      <c r="AD172" s="273"/>
      <c r="AE172" s="273"/>
      <c r="AF172" s="273"/>
      <c r="AG172" s="273"/>
      <c r="AH172" s="273"/>
      <c r="AI172" s="273"/>
      <c r="AJ172" s="273"/>
      <c r="AK172" s="273"/>
      <c r="AL172" s="273"/>
      <c r="AM172" s="273"/>
      <c r="AN172" s="273"/>
      <c r="AO172" s="273"/>
      <c r="AP172" s="273"/>
      <c r="AQ172" s="273"/>
      <c r="AR172" s="273"/>
      <c r="AS172" s="273"/>
      <c r="AT172" s="273"/>
      <c r="AU172" s="273"/>
      <c r="AV172" s="273"/>
    </row>
    <row r="173" spans="1:48" ht="12.75">
      <c r="A173" s="138"/>
      <c r="B173" s="31"/>
      <c r="C173" s="31"/>
      <c r="D173" s="31"/>
      <c r="E173" s="31"/>
      <c r="F173" s="31"/>
      <c r="G173" s="31"/>
      <c r="H173" s="129"/>
      <c r="I173" s="128"/>
      <c r="J173" s="31"/>
      <c r="K173" s="31"/>
      <c r="L173" s="31"/>
      <c r="M173" s="31"/>
      <c r="N173" s="31"/>
      <c r="O173" s="31"/>
      <c r="P173" s="31"/>
      <c r="Q173" s="129"/>
      <c r="R173" s="130"/>
      <c r="S173" s="31"/>
      <c r="T173" s="31"/>
      <c r="U173" s="31"/>
      <c r="V173" s="31"/>
      <c r="W173" s="31"/>
      <c r="X173" s="140"/>
      <c r="Y173" s="273"/>
      <c r="Z173" s="273"/>
      <c r="AA173" s="273"/>
      <c r="AB173" s="273"/>
      <c r="AC173" s="273"/>
      <c r="AD173" s="273"/>
      <c r="AE173" s="273"/>
      <c r="AF173" s="273"/>
      <c r="AG173" s="273"/>
      <c r="AH173" s="273"/>
      <c r="AI173" s="273"/>
      <c r="AJ173" s="273"/>
      <c r="AK173" s="273"/>
      <c r="AL173" s="273"/>
      <c r="AM173" s="273"/>
      <c r="AN173" s="273"/>
      <c r="AO173" s="273"/>
      <c r="AP173" s="273"/>
      <c r="AQ173" s="273"/>
      <c r="AR173" s="273"/>
      <c r="AS173" s="273"/>
      <c r="AT173" s="273"/>
      <c r="AU173" s="273"/>
      <c r="AV173" s="273"/>
    </row>
    <row r="174" spans="1:48" ht="12.75">
      <c r="A174" s="139"/>
      <c r="B174" s="132"/>
      <c r="C174" s="132"/>
      <c r="D174" s="132"/>
      <c r="E174" s="132"/>
      <c r="F174" s="132"/>
      <c r="G174" s="132"/>
      <c r="H174" s="135"/>
      <c r="I174" s="134"/>
      <c r="J174" s="132"/>
      <c r="K174" s="132"/>
      <c r="L174" s="132"/>
      <c r="M174" s="132"/>
      <c r="N174" s="132"/>
      <c r="O174" s="132"/>
      <c r="P174" s="132"/>
      <c r="Q174" s="135"/>
      <c r="R174" s="136"/>
      <c r="S174" s="132"/>
      <c r="T174" s="132"/>
      <c r="U174" s="132"/>
      <c r="V174" s="132"/>
      <c r="W174" s="132"/>
      <c r="X174" s="142"/>
      <c r="Y174" s="273"/>
      <c r="Z174" s="273"/>
      <c r="AA174" s="273"/>
      <c r="AB174" s="273"/>
      <c r="AC174" s="273"/>
      <c r="AD174" s="273"/>
      <c r="AE174" s="273"/>
      <c r="AF174" s="273"/>
      <c r="AG174" s="273"/>
      <c r="AH174" s="273"/>
      <c r="AI174" s="273"/>
      <c r="AJ174" s="273"/>
      <c r="AK174" s="273"/>
      <c r="AL174" s="273"/>
      <c r="AM174" s="273"/>
      <c r="AN174" s="273"/>
      <c r="AO174" s="273"/>
      <c r="AP174" s="273"/>
      <c r="AQ174" s="273"/>
      <c r="AR174" s="273"/>
      <c r="AS174" s="273"/>
      <c r="AT174" s="273"/>
      <c r="AU174" s="273"/>
      <c r="AV174" s="273"/>
    </row>
    <row r="175" spans="1:48" ht="12.75">
      <c r="A175" s="138"/>
      <c r="B175" s="31"/>
      <c r="C175" s="31"/>
      <c r="D175" s="31"/>
      <c r="E175" s="31"/>
      <c r="F175" s="31"/>
      <c r="G175" s="31"/>
      <c r="H175" s="129"/>
      <c r="I175" s="128"/>
      <c r="J175" s="31"/>
      <c r="K175" s="31"/>
      <c r="L175" s="31"/>
      <c r="M175" s="31"/>
      <c r="N175" s="31"/>
      <c r="O175" s="31"/>
      <c r="P175" s="31"/>
      <c r="Q175" s="129"/>
      <c r="R175" s="130"/>
      <c r="S175" s="31"/>
      <c r="T175" s="31"/>
      <c r="U175" s="31"/>
      <c r="V175" s="31"/>
      <c r="W175" s="31"/>
      <c r="X175" s="140"/>
      <c r="Y175" s="273"/>
      <c r="Z175" s="273"/>
      <c r="AA175" s="273"/>
      <c r="AB175" s="273"/>
      <c r="AC175" s="273"/>
      <c r="AD175" s="273"/>
      <c r="AE175" s="273"/>
      <c r="AF175" s="273"/>
      <c r="AG175" s="273"/>
      <c r="AH175" s="273"/>
      <c r="AI175" s="273"/>
      <c r="AJ175" s="273"/>
      <c r="AK175" s="273"/>
      <c r="AL175" s="273"/>
      <c r="AM175" s="273"/>
      <c r="AN175" s="273"/>
      <c r="AO175" s="273"/>
      <c r="AP175" s="273"/>
      <c r="AQ175" s="273"/>
      <c r="AR175" s="273"/>
      <c r="AS175" s="273"/>
      <c r="AT175" s="273"/>
      <c r="AU175" s="273"/>
      <c r="AV175" s="273"/>
    </row>
    <row r="176" spans="1:48" ht="12.75">
      <c r="A176" s="139"/>
      <c r="B176" s="132"/>
      <c r="C176" s="132"/>
      <c r="D176" s="132"/>
      <c r="E176" s="132"/>
      <c r="F176" s="132"/>
      <c r="G176" s="132"/>
      <c r="H176" s="135"/>
      <c r="I176" s="134"/>
      <c r="J176" s="132"/>
      <c r="K176" s="132"/>
      <c r="L176" s="132"/>
      <c r="M176" s="132"/>
      <c r="N176" s="132"/>
      <c r="O176" s="132"/>
      <c r="P176" s="132"/>
      <c r="Q176" s="135"/>
      <c r="R176" s="136"/>
      <c r="S176" s="132"/>
      <c r="T176" s="132"/>
      <c r="U176" s="132"/>
      <c r="V176" s="132"/>
      <c r="W176" s="132"/>
      <c r="X176" s="142"/>
      <c r="Y176" s="273"/>
      <c r="Z176" s="273"/>
      <c r="AA176" s="273"/>
      <c r="AB176" s="273"/>
      <c r="AC176" s="273"/>
      <c r="AD176" s="273"/>
      <c r="AE176" s="273"/>
      <c r="AF176" s="273"/>
      <c r="AG176" s="273"/>
      <c r="AH176" s="273"/>
      <c r="AI176" s="273"/>
      <c r="AJ176" s="273"/>
      <c r="AK176" s="273"/>
      <c r="AL176" s="273"/>
      <c r="AM176" s="273"/>
      <c r="AN176" s="273"/>
      <c r="AO176" s="273"/>
      <c r="AP176" s="273"/>
      <c r="AQ176" s="273"/>
      <c r="AR176" s="273"/>
      <c r="AS176" s="273"/>
      <c r="AT176" s="273"/>
      <c r="AU176" s="273"/>
      <c r="AV176" s="273"/>
    </row>
    <row r="177" spans="1:48" ht="12.75">
      <c r="A177" s="138"/>
      <c r="B177" s="31"/>
      <c r="C177" s="31"/>
      <c r="D177" s="31"/>
      <c r="E177" s="31"/>
      <c r="F177" s="31"/>
      <c r="G177" s="31"/>
      <c r="H177" s="129"/>
      <c r="I177" s="128"/>
      <c r="J177" s="31"/>
      <c r="K177" s="31"/>
      <c r="L177" s="31"/>
      <c r="M177" s="31"/>
      <c r="N177" s="31"/>
      <c r="O177" s="31"/>
      <c r="P177" s="31"/>
      <c r="Q177" s="129"/>
      <c r="R177" s="130"/>
      <c r="S177" s="31"/>
      <c r="T177" s="31"/>
      <c r="U177" s="31"/>
      <c r="V177" s="31"/>
      <c r="W177" s="31"/>
      <c r="X177" s="140"/>
      <c r="Y177" s="273"/>
      <c r="Z177" s="273"/>
      <c r="AA177" s="273"/>
      <c r="AB177" s="273"/>
      <c r="AC177" s="273"/>
      <c r="AD177" s="273"/>
      <c r="AE177" s="273"/>
      <c r="AF177" s="273"/>
      <c r="AG177" s="273"/>
      <c r="AH177" s="273"/>
      <c r="AI177" s="273"/>
      <c r="AJ177" s="273"/>
      <c r="AK177" s="273"/>
      <c r="AL177" s="273"/>
      <c r="AM177" s="273"/>
      <c r="AN177" s="273"/>
      <c r="AO177" s="273"/>
      <c r="AP177" s="273"/>
      <c r="AQ177" s="273"/>
      <c r="AR177" s="273"/>
      <c r="AS177" s="273"/>
      <c r="AT177" s="273"/>
      <c r="AU177" s="273"/>
      <c r="AV177" s="273"/>
    </row>
    <row r="178" spans="1:48" ht="12.75">
      <c r="A178" s="139"/>
      <c r="B178" s="132"/>
      <c r="C178" s="132"/>
      <c r="D178" s="132"/>
      <c r="E178" s="132"/>
      <c r="F178" s="132"/>
      <c r="G178" s="132"/>
      <c r="H178" s="135"/>
      <c r="I178" s="134"/>
      <c r="J178" s="132"/>
      <c r="K178" s="132"/>
      <c r="L178" s="132"/>
      <c r="M178" s="132"/>
      <c r="N178" s="132"/>
      <c r="O178" s="132"/>
      <c r="P178" s="132"/>
      <c r="Q178" s="135"/>
      <c r="R178" s="136"/>
      <c r="S178" s="132"/>
      <c r="T178" s="132"/>
      <c r="U178" s="132"/>
      <c r="V178" s="132"/>
      <c r="W178" s="132"/>
      <c r="X178" s="142"/>
      <c r="Y178" s="273"/>
      <c r="Z178" s="273"/>
      <c r="AA178" s="273"/>
      <c r="AB178" s="273"/>
      <c r="AC178" s="273"/>
      <c r="AD178" s="273"/>
      <c r="AE178" s="273"/>
      <c r="AF178" s="273"/>
      <c r="AG178" s="273"/>
      <c r="AH178" s="273"/>
      <c r="AI178" s="273"/>
      <c r="AJ178" s="273"/>
      <c r="AK178" s="273"/>
      <c r="AL178" s="273"/>
      <c r="AM178" s="273"/>
      <c r="AN178" s="273"/>
      <c r="AO178" s="273"/>
      <c r="AP178" s="273"/>
      <c r="AQ178" s="273"/>
      <c r="AR178" s="273"/>
      <c r="AS178" s="273"/>
      <c r="AT178" s="273"/>
      <c r="AU178" s="273"/>
      <c r="AV178" s="273"/>
    </row>
    <row r="179" spans="1:48" ht="12.75">
      <c r="A179" s="138"/>
      <c r="B179" s="31"/>
      <c r="C179" s="31"/>
      <c r="D179" s="31"/>
      <c r="E179" s="31"/>
      <c r="F179" s="31"/>
      <c r="G179" s="31"/>
      <c r="H179" s="129"/>
      <c r="I179" s="128"/>
      <c r="J179" s="31"/>
      <c r="K179" s="31"/>
      <c r="L179" s="31"/>
      <c r="M179" s="31"/>
      <c r="N179" s="31"/>
      <c r="O179" s="31"/>
      <c r="P179" s="31"/>
      <c r="Q179" s="129"/>
      <c r="R179" s="130"/>
      <c r="S179" s="31"/>
      <c r="T179" s="31"/>
      <c r="U179" s="31"/>
      <c r="V179" s="31"/>
      <c r="W179" s="31"/>
      <c r="X179" s="140"/>
      <c r="Y179" s="273"/>
      <c r="Z179" s="273"/>
      <c r="AA179" s="273"/>
      <c r="AB179" s="273"/>
      <c r="AC179" s="273"/>
      <c r="AD179" s="273"/>
      <c r="AE179" s="273"/>
      <c r="AF179" s="273"/>
      <c r="AG179" s="273"/>
      <c r="AH179" s="273"/>
      <c r="AI179" s="273"/>
      <c r="AJ179" s="273"/>
      <c r="AK179" s="273"/>
      <c r="AL179" s="273"/>
      <c r="AM179" s="273"/>
      <c r="AN179" s="273"/>
      <c r="AO179" s="273"/>
      <c r="AP179" s="273"/>
      <c r="AQ179" s="273"/>
      <c r="AR179" s="273"/>
      <c r="AS179" s="273"/>
      <c r="AT179" s="273"/>
      <c r="AU179" s="273"/>
      <c r="AV179" s="273"/>
    </row>
    <row r="180" spans="1:48" ht="12.75">
      <c r="A180" s="139"/>
      <c r="B180" s="132"/>
      <c r="C180" s="132"/>
      <c r="D180" s="132"/>
      <c r="E180" s="132"/>
      <c r="F180" s="132"/>
      <c r="G180" s="132"/>
      <c r="H180" s="135"/>
      <c r="I180" s="134"/>
      <c r="J180" s="132"/>
      <c r="K180" s="132"/>
      <c r="L180" s="132"/>
      <c r="M180" s="132"/>
      <c r="N180" s="132"/>
      <c r="O180" s="132"/>
      <c r="P180" s="132"/>
      <c r="Q180" s="135"/>
      <c r="R180" s="136"/>
      <c r="S180" s="132"/>
      <c r="T180" s="132"/>
      <c r="U180" s="132"/>
      <c r="V180" s="132"/>
      <c r="W180" s="132"/>
      <c r="X180" s="142"/>
      <c r="Y180" s="273"/>
      <c r="Z180" s="273"/>
      <c r="AA180" s="273"/>
      <c r="AB180" s="273"/>
      <c r="AC180" s="273"/>
      <c r="AD180" s="273"/>
      <c r="AE180" s="273"/>
      <c r="AF180" s="273"/>
      <c r="AG180" s="273"/>
      <c r="AH180" s="273"/>
      <c r="AI180" s="273"/>
      <c r="AJ180" s="273"/>
      <c r="AK180" s="273"/>
      <c r="AL180" s="273"/>
      <c r="AM180" s="273"/>
      <c r="AN180" s="273"/>
      <c r="AO180" s="273"/>
      <c r="AP180" s="273"/>
      <c r="AQ180" s="273"/>
      <c r="AR180" s="273"/>
      <c r="AS180" s="273"/>
      <c r="AT180" s="273"/>
      <c r="AU180" s="273"/>
      <c r="AV180" s="273"/>
    </row>
    <row r="181" spans="1:48" ht="12.75">
      <c r="A181" s="138"/>
      <c r="B181" s="31"/>
      <c r="C181" s="31"/>
      <c r="D181" s="31"/>
      <c r="E181" s="31"/>
      <c r="F181" s="31"/>
      <c r="G181" s="31"/>
      <c r="H181" s="129"/>
      <c r="I181" s="128"/>
      <c r="J181" s="31"/>
      <c r="K181" s="31"/>
      <c r="L181" s="31"/>
      <c r="M181" s="31"/>
      <c r="N181" s="31"/>
      <c r="O181" s="31"/>
      <c r="P181" s="31"/>
      <c r="Q181" s="129"/>
      <c r="R181" s="130"/>
      <c r="S181" s="31"/>
      <c r="T181" s="31"/>
      <c r="U181" s="31"/>
      <c r="V181" s="31"/>
      <c r="W181" s="31"/>
      <c r="X181" s="140"/>
      <c r="Y181" s="273"/>
      <c r="Z181" s="273"/>
      <c r="AA181" s="273"/>
      <c r="AB181" s="273"/>
      <c r="AC181" s="273"/>
      <c r="AD181" s="273"/>
      <c r="AE181" s="273"/>
      <c r="AF181" s="273"/>
      <c r="AG181" s="273"/>
      <c r="AH181" s="273"/>
      <c r="AI181" s="273"/>
      <c r="AJ181" s="273"/>
      <c r="AK181" s="273"/>
      <c r="AL181" s="273"/>
      <c r="AM181" s="273"/>
      <c r="AN181" s="273"/>
      <c r="AO181" s="273"/>
      <c r="AP181" s="273"/>
      <c r="AQ181" s="273"/>
      <c r="AR181" s="273"/>
      <c r="AS181" s="273"/>
      <c r="AT181" s="273"/>
      <c r="AU181" s="273"/>
      <c r="AV181" s="273"/>
    </row>
    <row r="182" spans="1:48" ht="12.75">
      <c r="A182" s="139"/>
      <c r="B182" s="132"/>
      <c r="C182" s="132"/>
      <c r="D182" s="132"/>
      <c r="E182" s="132"/>
      <c r="F182" s="132"/>
      <c r="G182" s="132"/>
      <c r="H182" s="135"/>
      <c r="I182" s="134"/>
      <c r="J182" s="132"/>
      <c r="K182" s="132"/>
      <c r="L182" s="132"/>
      <c r="M182" s="132"/>
      <c r="N182" s="132"/>
      <c r="O182" s="132"/>
      <c r="P182" s="132"/>
      <c r="Q182" s="135"/>
      <c r="R182" s="136"/>
      <c r="S182" s="132"/>
      <c r="T182" s="132"/>
      <c r="U182" s="132"/>
      <c r="V182" s="132"/>
      <c r="W182" s="132"/>
      <c r="X182" s="142"/>
      <c r="Y182" s="273"/>
      <c r="Z182" s="273"/>
      <c r="AA182" s="273"/>
      <c r="AB182" s="273"/>
      <c r="AC182" s="273"/>
      <c r="AD182" s="273"/>
      <c r="AE182" s="273"/>
      <c r="AF182" s="273"/>
      <c r="AG182" s="273"/>
      <c r="AH182" s="273"/>
      <c r="AI182" s="273"/>
      <c r="AJ182" s="273"/>
      <c r="AK182" s="273"/>
      <c r="AL182" s="273"/>
      <c r="AM182" s="273"/>
      <c r="AN182" s="273"/>
      <c r="AO182" s="273"/>
      <c r="AP182" s="273"/>
      <c r="AQ182" s="273"/>
      <c r="AR182" s="273"/>
      <c r="AS182" s="273"/>
      <c r="AT182" s="273"/>
      <c r="AU182" s="273"/>
      <c r="AV182" s="273"/>
    </row>
    <row r="183" spans="1:48" ht="12.75">
      <c r="A183" s="138"/>
      <c r="B183" s="31"/>
      <c r="C183" s="31"/>
      <c r="D183" s="31"/>
      <c r="E183" s="31"/>
      <c r="F183" s="31"/>
      <c r="G183" s="31"/>
      <c r="H183" s="129"/>
      <c r="I183" s="128"/>
      <c r="J183" s="31"/>
      <c r="K183" s="31"/>
      <c r="L183" s="31"/>
      <c r="M183" s="31"/>
      <c r="N183" s="31"/>
      <c r="O183" s="31"/>
      <c r="P183" s="31"/>
      <c r="Q183" s="129"/>
      <c r="R183" s="130"/>
      <c r="S183" s="31"/>
      <c r="T183" s="31"/>
      <c r="U183" s="31"/>
      <c r="V183" s="31"/>
      <c r="W183" s="31"/>
      <c r="X183" s="140"/>
      <c r="Y183" s="273"/>
      <c r="Z183" s="273"/>
      <c r="AA183" s="273"/>
      <c r="AB183" s="273"/>
      <c r="AC183" s="273"/>
      <c r="AD183" s="273"/>
      <c r="AE183" s="273"/>
      <c r="AF183" s="273"/>
      <c r="AG183" s="273"/>
      <c r="AH183" s="273"/>
      <c r="AI183" s="273"/>
      <c r="AJ183" s="273"/>
      <c r="AK183" s="273"/>
      <c r="AL183" s="273"/>
      <c r="AM183" s="273"/>
      <c r="AN183" s="273"/>
      <c r="AO183" s="273"/>
      <c r="AP183" s="273"/>
      <c r="AQ183" s="273"/>
      <c r="AR183" s="273"/>
      <c r="AS183" s="273"/>
      <c r="AT183" s="273"/>
      <c r="AU183" s="273"/>
      <c r="AV183" s="273"/>
    </row>
    <row r="184" spans="1:48" ht="12.75">
      <c r="A184" s="139"/>
      <c r="B184" s="132"/>
      <c r="C184" s="132"/>
      <c r="D184" s="132"/>
      <c r="E184" s="132"/>
      <c r="F184" s="132"/>
      <c r="G184" s="132"/>
      <c r="H184" s="135"/>
      <c r="I184" s="134"/>
      <c r="J184" s="132"/>
      <c r="K184" s="132"/>
      <c r="L184" s="132"/>
      <c r="M184" s="132"/>
      <c r="N184" s="132"/>
      <c r="O184" s="132"/>
      <c r="P184" s="132"/>
      <c r="Q184" s="135"/>
      <c r="R184" s="136"/>
      <c r="S184" s="132"/>
      <c r="T184" s="132"/>
      <c r="U184" s="132"/>
      <c r="V184" s="132"/>
      <c r="W184" s="132"/>
      <c r="X184" s="142"/>
      <c r="Y184" s="273"/>
      <c r="Z184" s="273"/>
      <c r="AA184" s="273"/>
      <c r="AB184" s="273"/>
      <c r="AC184" s="273"/>
      <c r="AD184" s="273"/>
      <c r="AE184" s="273"/>
      <c r="AF184" s="273"/>
      <c r="AG184" s="273"/>
      <c r="AH184" s="273"/>
      <c r="AI184" s="273"/>
      <c r="AJ184" s="273"/>
      <c r="AK184" s="273"/>
      <c r="AL184" s="273"/>
      <c r="AM184" s="273"/>
      <c r="AN184" s="273"/>
      <c r="AO184" s="273"/>
      <c r="AP184" s="273"/>
      <c r="AQ184" s="273"/>
      <c r="AR184" s="273"/>
      <c r="AS184" s="273"/>
      <c r="AT184" s="273"/>
      <c r="AU184" s="273"/>
      <c r="AV184" s="273"/>
    </row>
    <row r="185" spans="1:48" ht="12.75">
      <c r="A185" s="138"/>
      <c r="B185" s="31"/>
      <c r="C185" s="31"/>
      <c r="D185" s="31"/>
      <c r="E185" s="31"/>
      <c r="F185" s="31"/>
      <c r="G185" s="31"/>
      <c r="H185" s="129"/>
      <c r="I185" s="128"/>
      <c r="J185" s="31"/>
      <c r="K185" s="31"/>
      <c r="L185" s="31"/>
      <c r="M185" s="31"/>
      <c r="N185" s="31"/>
      <c r="O185" s="31"/>
      <c r="P185" s="31"/>
      <c r="Q185" s="129"/>
      <c r="R185" s="130"/>
      <c r="S185" s="31"/>
      <c r="T185" s="31"/>
      <c r="U185" s="31"/>
      <c r="V185" s="31"/>
      <c r="W185" s="31"/>
      <c r="X185" s="140"/>
      <c r="Y185" s="273"/>
      <c r="Z185" s="273"/>
      <c r="AA185" s="273"/>
      <c r="AB185" s="273"/>
      <c r="AC185" s="273"/>
      <c r="AD185" s="273"/>
      <c r="AE185" s="273"/>
      <c r="AF185" s="273"/>
      <c r="AG185" s="273"/>
      <c r="AH185" s="273"/>
      <c r="AI185" s="273"/>
      <c r="AJ185" s="273"/>
      <c r="AK185" s="273"/>
      <c r="AL185" s="273"/>
      <c r="AM185" s="273"/>
      <c r="AN185" s="273"/>
      <c r="AO185" s="273"/>
      <c r="AP185" s="273"/>
      <c r="AQ185" s="273"/>
      <c r="AR185" s="273"/>
      <c r="AS185" s="273"/>
      <c r="AT185" s="273"/>
      <c r="AU185" s="273"/>
      <c r="AV185" s="273"/>
    </row>
    <row r="186" spans="1:48" ht="12.75">
      <c r="A186" s="139"/>
      <c r="B186" s="132"/>
      <c r="C186" s="132"/>
      <c r="D186" s="132"/>
      <c r="E186" s="132"/>
      <c r="F186" s="132"/>
      <c r="G186" s="132"/>
      <c r="H186" s="135"/>
      <c r="I186" s="134"/>
      <c r="J186" s="132"/>
      <c r="K186" s="132"/>
      <c r="L186" s="132"/>
      <c r="M186" s="132"/>
      <c r="N186" s="132"/>
      <c r="O186" s="132"/>
      <c r="P186" s="132"/>
      <c r="Q186" s="135"/>
      <c r="R186" s="136"/>
      <c r="S186" s="132"/>
      <c r="T186" s="132"/>
      <c r="U186" s="132"/>
      <c r="V186" s="132"/>
      <c r="W186" s="132"/>
      <c r="X186" s="142"/>
      <c r="Y186" s="273"/>
      <c r="Z186" s="273"/>
      <c r="AA186" s="273"/>
      <c r="AB186" s="273"/>
      <c r="AC186" s="273"/>
      <c r="AD186" s="273"/>
      <c r="AE186" s="273"/>
      <c r="AF186" s="273"/>
      <c r="AG186" s="273"/>
      <c r="AH186" s="273"/>
      <c r="AI186" s="273"/>
      <c r="AJ186" s="273"/>
      <c r="AK186" s="273"/>
      <c r="AL186" s="273"/>
      <c r="AM186" s="273"/>
      <c r="AN186" s="273"/>
      <c r="AO186" s="273"/>
      <c r="AP186" s="273"/>
      <c r="AQ186" s="273"/>
      <c r="AR186" s="273"/>
      <c r="AS186" s="273"/>
      <c r="AT186" s="273"/>
      <c r="AU186" s="273"/>
      <c r="AV186" s="273"/>
    </row>
    <row r="187" spans="1:48" ht="12.75">
      <c r="A187" s="138"/>
      <c r="B187" s="31"/>
      <c r="C187" s="31"/>
      <c r="D187" s="31"/>
      <c r="E187" s="31"/>
      <c r="F187" s="31"/>
      <c r="G187" s="31"/>
      <c r="H187" s="129"/>
      <c r="I187" s="128"/>
      <c r="J187" s="31"/>
      <c r="K187" s="31"/>
      <c r="L187" s="31"/>
      <c r="M187" s="31"/>
      <c r="N187" s="31"/>
      <c r="O187" s="31"/>
      <c r="P187" s="31"/>
      <c r="Q187" s="129"/>
      <c r="R187" s="130"/>
      <c r="S187" s="31"/>
      <c r="T187" s="31"/>
      <c r="U187" s="31"/>
      <c r="V187" s="31"/>
      <c r="W187" s="31"/>
      <c r="X187" s="140"/>
      <c r="Y187" s="273"/>
      <c r="Z187" s="273"/>
      <c r="AA187" s="273"/>
      <c r="AB187" s="273"/>
      <c r="AC187" s="273"/>
      <c r="AD187" s="273"/>
      <c r="AE187" s="273"/>
      <c r="AF187" s="273"/>
      <c r="AG187" s="273"/>
      <c r="AH187" s="273"/>
      <c r="AI187" s="273"/>
      <c r="AJ187" s="273"/>
      <c r="AK187" s="273"/>
      <c r="AL187" s="273"/>
      <c r="AM187" s="273"/>
      <c r="AN187" s="273"/>
      <c r="AO187" s="273"/>
      <c r="AP187" s="273"/>
      <c r="AQ187" s="273"/>
      <c r="AR187" s="273"/>
      <c r="AS187" s="273"/>
      <c r="AT187" s="273"/>
      <c r="AU187" s="273"/>
      <c r="AV187" s="273"/>
    </row>
    <row r="188" spans="1:48" ht="12.75">
      <c r="A188" s="139"/>
      <c r="B188" s="132"/>
      <c r="C188" s="132"/>
      <c r="D188" s="132"/>
      <c r="E188" s="132"/>
      <c r="F188" s="132"/>
      <c r="G188" s="132"/>
      <c r="H188" s="135"/>
      <c r="I188" s="134"/>
      <c r="J188" s="132"/>
      <c r="K188" s="132"/>
      <c r="L188" s="132"/>
      <c r="M188" s="132"/>
      <c r="N188" s="132"/>
      <c r="O188" s="132"/>
      <c r="P188" s="132"/>
      <c r="Q188" s="135"/>
      <c r="R188" s="136"/>
      <c r="S188" s="132"/>
      <c r="T188" s="132"/>
      <c r="U188" s="132"/>
      <c r="V188" s="132"/>
      <c r="W188" s="132"/>
      <c r="X188" s="142"/>
      <c r="Y188" s="273"/>
      <c r="Z188" s="273"/>
      <c r="AA188" s="273"/>
      <c r="AB188" s="273"/>
      <c r="AC188" s="273"/>
      <c r="AD188" s="273"/>
      <c r="AE188" s="273"/>
      <c r="AF188" s="273"/>
      <c r="AG188" s="273"/>
      <c r="AH188" s="273"/>
      <c r="AI188" s="273"/>
      <c r="AJ188" s="273"/>
      <c r="AK188" s="273"/>
      <c r="AL188" s="273"/>
      <c r="AM188" s="273"/>
      <c r="AN188" s="273"/>
      <c r="AO188" s="273"/>
      <c r="AP188" s="273"/>
      <c r="AQ188" s="273"/>
      <c r="AR188" s="273"/>
      <c r="AS188" s="273"/>
      <c r="AT188" s="273"/>
      <c r="AU188" s="273"/>
      <c r="AV188" s="273"/>
    </row>
    <row r="189" spans="1:48" ht="12.75">
      <c r="A189" s="138"/>
      <c r="B189" s="31"/>
      <c r="C189" s="31"/>
      <c r="D189" s="31"/>
      <c r="E189" s="31"/>
      <c r="F189" s="31"/>
      <c r="G189" s="31"/>
      <c r="H189" s="129"/>
      <c r="I189" s="128"/>
      <c r="J189" s="31"/>
      <c r="K189" s="31"/>
      <c r="L189" s="31"/>
      <c r="M189" s="31"/>
      <c r="N189" s="31"/>
      <c r="O189" s="31"/>
      <c r="P189" s="31"/>
      <c r="Q189" s="129"/>
      <c r="R189" s="130"/>
      <c r="S189" s="31"/>
      <c r="T189" s="31"/>
      <c r="U189" s="31"/>
      <c r="V189" s="31"/>
      <c r="W189" s="31"/>
      <c r="X189" s="140"/>
      <c r="Y189" s="273"/>
      <c r="Z189" s="273"/>
      <c r="AA189" s="273"/>
      <c r="AB189" s="273"/>
      <c r="AC189" s="273"/>
      <c r="AD189" s="273"/>
      <c r="AE189" s="273"/>
      <c r="AF189" s="273"/>
      <c r="AG189" s="273"/>
      <c r="AH189" s="273"/>
      <c r="AI189" s="273"/>
      <c r="AJ189" s="273"/>
      <c r="AK189" s="273"/>
      <c r="AL189" s="273"/>
      <c r="AM189" s="273"/>
      <c r="AN189" s="273"/>
      <c r="AO189" s="273"/>
      <c r="AP189" s="273"/>
      <c r="AQ189" s="273"/>
      <c r="AR189" s="273"/>
      <c r="AS189" s="273"/>
      <c r="AT189" s="273"/>
      <c r="AU189" s="273"/>
      <c r="AV189" s="273"/>
    </row>
    <row r="190" spans="1:48" ht="12.75">
      <c r="A190" s="139"/>
      <c r="B190" s="132"/>
      <c r="C190" s="132"/>
      <c r="D190" s="132"/>
      <c r="E190" s="132"/>
      <c r="F190" s="132"/>
      <c r="G190" s="132"/>
      <c r="H190" s="135"/>
      <c r="I190" s="134"/>
      <c r="J190" s="132"/>
      <c r="K190" s="132"/>
      <c r="L190" s="132"/>
      <c r="M190" s="132"/>
      <c r="N190" s="132"/>
      <c r="O190" s="132"/>
      <c r="P190" s="132"/>
      <c r="Q190" s="135"/>
      <c r="R190" s="136"/>
      <c r="S190" s="132"/>
      <c r="T190" s="132"/>
      <c r="U190" s="132"/>
      <c r="V190" s="132"/>
      <c r="W190" s="132"/>
      <c r="X190" s="142"/>
      <c r="Y190" s="273"/>
      <c r="Z190" s="273"/>
      <c r="AA190" s="273"/>
      <c r="AB190" s="273"/>
      <c r="AC190" s="273"/>
      <c r="AD190" s="273"/>
      <c r="AE190" s="273"/>
      <c r="AF190" s="273"/>
      <c r="AG190" s="273"/>
      <c r="AH190" s="273"/>
      <c r="AI190" s="273"/>
      <c r="AJ190" s="273"/>
      <c r="AK190" s="273"/>
      <c r="AL190" s="273"/>
      <c r="AM190" s="273"/>
      <c r="AN190" s="273"/>
      <c r="AO190" s="273"/>
      <c r="AP190" s="273"/>
      <c r="AQ190" s="273"/>
      <c r="AR190" s="273"/>
      <c r="AS190" s="273"/>
      <c r="AT190" s="273"/>
      <c r="AU190" s="273"/>
      <c r="AV190" s="273"/>
    </row>
    <row r="191" spans="1:48" ht="12.75">
      <c r="A191" s="138"/>
      <c r="B191" s="31"/>
      <c r="C191" s="31"/>
      <c r="D191" s="31"/>
      <c r="E191" s="31"/>
      <c r="F191" s="31"/>
      <c r="G191" s="31"/>
      <c r="H191" s="129"/>
      <c r="I191" s="128"/>
      <c r="J191" s="31"/>
      <c r="K191" s="31"/>
      <c r="L191" s="31"/>
      <c r="M191" s="31"/>
      <c r="N191" s="31"/>
      <c r="O191" s="31"/>
      <c r="P191" s="31"/>
      <c r="Q191" s="129"/>
      <c r="R191" s="130"/>
      <c r="S191" s="31"/>
      <c r="T191" s="31"/>
      <c r="U191" s="31"/>
      <c r="V191" s="31"/>
      <c r="W191" s="31"/>
      <c r="X191" s="140"/>
      <c r="Y191" s="273"/>
      <c r="Z191" s="273"/>
      <c r="AA191" s="273"/>
      <c r="AB191" s="273"/>
      <c r="AC191" s="273"/>
      <c r="AD191" s="273"/>
      <c r="AE191" s="273"/>
      <c r="AF191" s="273"/>
      <c r="AG191" s="273"/>
      <c r="AH191" s="273"/>
      <c r="AI191" s="273"/>
      <c r="AJ191" s="273"/>
      <c r="AK191" s="273"/>
      <c r="AL191" s="273"/>
      <c r="AM191" s="273"/>
      <c r="AN191" s="273"/>
      <c r="AO191" s="273"/>
      <c r="AP191" s="273"/>
      <c r="AQ191" s="273"/>
      <c r="AR191" s="273"/>
      <c r="AS191" s="273"/>
      <c r="AT191" s="273"/>
      <c r="AU191" s="273"/>
      <c r="AV191" s="273"/>
    </row>
    <row r="192" spans="1:48" ht="12.75">
      <c r="A192" s="139"/>
      <c r="B192" s="132"/>
      <c r="C192" s="132"/>
      <c r="D192" s="132"/>
      <c r="E192" s="132"/>
      <c r="F192" s="132"/>
      <c r="G192" s="132"/>
      <c r="H192" s="135"/>
      <c r="I192" s="134"/>
      <c r="J192" s="132"/>
      <c r="K192" s="132"/>
      <c r="L192" s="132"/>
      <c r="M192" s="132"/>
      <c r="N192" s="132"/>
      <c r="O192" s="132"/>
      <c r="P192" s="132"/>
      <c r="Q192" s="135"/>
      <c r="R192" s="136"/>
      <c r="S192" s="132"/>
      <c r="T192" s="132"/>
      <c r="U192" s="132"/>
      <c r="V192" s="132"/>
      <c r="W192" s="132"/>
      <c r="X192" s="142"/>
      <c r="Y192" s="273"/>
      <c r="Z192" s="273"/>
      <c r="AA192" s="273"/>
      <c r="AB192" s="273"/>
      <c r="AC192" s="273"/>
      <c r="AD192" s="273"/>
      <c r="AE192" s="273"/>
      <c r="AF192" s="273"/>
      <c r="AG192" s="273"/>
      <c r="AH192" s="273"/>
      <c r="AI192" s="273"/>
      <c r="AJ192" s="273"/>
      <c r="AK192" s="273"/>
      <c r="AL192" s="273"/>
      <c r="AM192" s="273"/>
      <c r="AN192" s="273"/>
      <c r="AO192" s="273"/>
      <c r="AP192" s="273"/>
      <c r="AQ192" s="273"/>
      <c r="AR192" s="273"/>
      <c r="AS192" s="273"/>
      <c r="AT192" s="273"/>
      <c r="AU192" s="273"/>
      <c r="AV192" s="273"/>
    </row>
    <row r="193" spans="1:48" ht="12.75">
      <c r="A193" s="138"/>
      <c r="B193" s="31"/>
      <c r="C193" s="31"/>
      <c r="D193" s="31"/>
      <c r="E193" s="31"/>
      <c r="F193" s="31"/>
      <c r="G193" s="31"/>
      <c r="H193" s="129"/>
      <c r="I193" s="128"/>
      <c r="J193" s="31"/>
      <c r="K193" s="31"/>
      <c r="L193" s="31"/>
      <c r="M193" s="31"/>
      <c r="N193" s="31"/>
      <c r="O193" s="31"/>
      <c r="P193" s="31"/>
      <c r="Q193" s="129"/>
      <c r="R193" s="130"/>
      <c r="S193" s="31"/>
      <c r="T193" s="31"/>
      <c r="U193" s="31"/>
      <c r="V193" s="31"/>
      <c r="W193" s="31"/>
      <c r="X193" s="140"/>
      <c r="Y193" s="273"/>
      <c r="Z193" s="273"/>
      <c r="AA193" s="273"/>
      <c r="AB193" s="273"/>
      <c r="AC193" s="273"/>
      <c r="AD193" s="273"/>
      <c r="AE193" s="273"/>
      <c r="AF193" s="273"/>
      <c r="AG193" s="273"/>
      <c r="AH193" s="273"/>
      <c r="AI193" s="273"/>
      <c r="AJ193" s="273"/>
      <c r="AK193" s="273"/>
      <c r="AL193" s="273"/>
      <c r="AM193" s="273"/>
      <c r="AN193" s="273"/>
      <c r="AO193" s="273"/>
      <c r="AP193" s="273"/>
      <c r="AQ193" s="273"/>
      <c r="AR193" s="273"/>
      <c r="AS193" s="273"/>
      <c r="AT193" s="273"/>
      <c r="AU193" s="273"/>
      <c r="AV193" s="273"/>
    </row>
    <row r="194" spans="1:48" ht="12.75">
      <c r="A194" s="139"/>
      <c r="B194" s="132"/>
      <c r="C194" s="132"/>
      <c r="D194" s="132"/>
      <c r="E194" s="132"/>
      <c r="F194" s="132"/>
      <c r="G194" s="132"/>
      <c r="H194" s="135"/>
      <c r="I194" s="134"/>
      <c r="J194" s="132"/>
      <c r="K194" s="132"/>
      <c r="L194" s="132"/>
      <c r="M194" s="132"/>
      <c r="N194" s="132"/>
      <c r="O194" s="132"/>
      <c r="P194" s="132"/>
      <c r="Q194" s="135"/>
      <c r="R194" s="136"/>
      <c r="S194" s="132"/>
      <c r="T194" s="132"/>
      <c r="U194" s="132"/>
      <c r="V194" s="132"/>
      <c r="W194" s="132"/>
      <c r="X194" s="142"/>
      <c r="Y194" s="273"/>
      <c r="Z194" s="273"/>
      <c r="AA194" s="273"/>
      <c r="AB194" s="273"/>
      <c r="AC194" s="273"/>
      <c r="AD194" s="273"/>
      <c r="AE194" s="273"/>
      <c r="AF194" s="273"/>
      <c r="AG194" s="273"/>
      <c r="AH194" s="273"/>
      <c r="AI194" s="273"/>
      <c r="AJ194" s="273"/>
      <c r="AK194" s="273"/>
      <c r="AL194" s="273"/>
      <c r="AM194" s="273"/>
      <c r="AN194" s="273"/>
      <c r="AO194" s="273"/>
      <c r="AP194" s="273"/>
      <c r="AQ194" s="273"/>
      <c r="AR194" s="273"/>
      <c r="AS194" s="273"/>
      <c r="AT194" s="273"/>
      <c r="AU194" s="273"/>
      <c r="AV194" s="273"/>
    </row>
    <row r="195" spans="1:48" ht="12.75">
      <c r="A195" s="138"/>
      <c r="B195" s="31"/>
      <c r="C195" s="31"/>
      <c r="D195" s="31"/>
      <c r="E195" s="31"/>
      <c r="F195" s="31"/>
      <c r="G195" s="31"/>
      <c r="H195" s="129"/>
      <c r="I195" s="128"/>
      <c r="J195" s="31"/>
      <c r="K195" s="31"/>
      <c r="L195" s="31"/>
      <c r="M195" s="31"/>
      <c r="N195" s="31"/>
      <c r="O195" s="31"/>
      <c r="P195" s="31"/>
      <c r="Q195" s="129"/>
      <c r="R195" s="130"/>
      <c r="S195" s="31"/>
      <c r="T195" s="31"/>
      <c r="U195" s="31"/>
      <c r="V195" s="31"/>
      <c r="W195" s="31"/>
      <c r="X195" s="140"/>
      <c r="Y195" s="273"/>
      <c r="Z195" s="273"/>
      <c r="AA195" s="273"/>
      <c r="AB195" s="273"/>
      <c r="AC195" s="273"/>
      <c r="AD195" s="273"/>
      <c r="AE195" s="273"/>
      <c r="AF195" s="273"/>
      <c r="AG195" s="273"/>
      <c r="AH195" s="273"/>
      <c r="AI195" s="273"/>
      <c r="AJ195" s="273"/>
      <c r="AK195" s="273"/>
      <c r="AL195" s="273"/>
      <c r="AM195" s="273"/>
      <c r="AN195" s="273"/>
      <c r="AO195" s="273"/>
      <c r="AP195" s="273"/>
      <c r="AQ195" s="273"/>
      <c r="AR195" s="273"/>
      <c r="AS195" s="273"/>
      <c r="AT195" s="273"/>
      <c r="AU195" s="273"/>
      <c r="AV195" s="273"/>
    </row>
    <row r="196" spans="1:48" ht="12.75">
      <c r="A196" s="139"/>
      <c r="B196" s="132"/>
      <c r="C196" s="132"/>
      <c r="D196" s="132"/>
      <c r="E196" s="132"/>
      <c r="F196" s="132"/>
      <c r="G196" s="132"/>
      <c r="H196" s="135"/>
      <c r="I196" s="134"/>
      <c r="J196" s="132"/>
      <c r="K196" s="132"/>
      <c r="L196" s="132"/>
      <c r="M196" s="132"/>
      <c r="N196" s="132"/>
      <c r="O196" s="132"/>
      <c r="P196" s="132"/>
      <c r="Q196" s="135"/>
      <c r="R196" s="136"/>
      <c r="S196" s="132"/>
      <c r="T196" s="132"/>
      <c r="U196" s="132"/>
      <c r="V196" s="132"/>
      <c r="W196" s="132"/>
      <c r="X196" s="142"/>
      <c r="Y196" s="273"/>
      <c r="Z196" s="273"/>
      <c r="AA196" s="273"/>
      <c r="AB196" s="273"/>
      <c r="AC196" s="273"/>
      <c r="AD196" s="273"/>
      <c r="AE196" s="273"/>
      <c r="AF196" s="273"/>
      <c r="AG196" s="273"/>
      <c r="AH196" s="273"/>
      <c r="AI196" s="273"/>
      <c r="AJ196" s="273"/>
      <c r="AK196" s="273"/>
      <c r="AL196" s="273"/>
      <c r="AM196" s="273"/>
      <c r="AN196" s="273"/>
      <c r="AO196" s="273"/>
      <c r="AP196" s="273"/>
      <c r="AQ196" s="273"/>
      <c r="AR196" s="273"/>
      <c r="AS196" s="273"/>
      <c r="AT196" s="273"/>
      <c r="AU196" s="273"/>
      <c r="AV196" s="273"/>
    </row>
    <row r="197" spans="1:48" ht="12.75">
      <c r="A197" s="138"/>
      <c r="B197" s="31"/>
      <c r="C197" s="31"/>
      <c r="D197" s="31"/>
      <c r="E197" s="31"/>
      <c r="F197" s="31"/>
      <c r="G197" s="31"/>
      <c r="H197" s="129"/>
      <c r="I197" s="128"/>
      <c r="J197" s="31"/>
      <c r="K197" s="31"/>
      <c r="L197" s="31"/>
      <c r="M197" s="31"/>
      <c r="N197" s="31"/>
      <c r="O197" s="31"/>
      <c r="P197" s="31"/>
      <c r="Q197" s="129"/>
      <c r="R197" s="130"/>
      <c r="S197" s="31"/>
      <c r="T197" s="31"/>
      <c r="U197" s="31"/>
      <c r="V197" s="31"/>
      <c r="W197" s="31"/>
      <c r="X197" s="140"/>
      <c r="Y197" s="273"/>
      <c r="Z197" s="273"/>
      <c r="AA197" s="273"/>
      <c r="AB197" s="273"/>
      <c r="AC197" s="273"/>
      <c r="AD197" s="273"/>
      <c r="AE197" s="273"/>
      <c r="AF197" s="273"/>
      <c r="AG197" s="273"/>
      <c r="AH197" s="273"/>
      <c r="AI197" s="273"/>
      <c r="AJ197" s="273"/>
      <c r="AK197" s="273"/>
      <c r="AL197" s="273"/>
      <c r="AM197" s="273"/>
      <c r="AN197" s="273"/>
      <c r="AO197" s="273"/>
      <c r="AP197" s="273"/>
      <c r="AQ197" s="273"/>
      <c r="AR197" s="273"/>
      <c r="AS197" s="273"/>
      <c r="AT197" s="273"/>
      <c r="AU197" s="273"/>
      <c r="AV197" s="273"/>
    </row>
    <row r="198" spans="1:48" ht="12.75">
      <c r="A198" s="139"/>
      <c r="B198" s="132"/>
      <c r="C198" s="132"/>
      <c r="D198" s="132"/>
      <c r="E198" s="132"/>
      <c r="F198" s="132"/>
      <c r="G198" s="132"/>
      <c r="H198" s="135"/>
      <c r="I198" s="134"/>
      <c r="J198" s="132"/>
      <c r="K198" s="132"/>
      <c r="L198" s="132"/>
      <c r="M198" s="132"/>
      <c r="N198" s="132"/>
      <c r="O198" s="132"/>
      <c r="P198" s="132"/>
      <c r="Q198" s="135"/>
      <c r="R198" s="136"/>
      <c r="S198" s="132"/>
      <c r="T198" s="132"/>
      <c r="U198" s="132"/>
      <c r="V198" s="132"/>
      <c r="W198" s="132"/>
      <c r="X198" s="142"/>
      <c r="Y198" s="273"/>
      <c r="Z198" s="273"/>
      <c r="AA198" s="273"/>
      <c r="AB198" s="273"/>
      <c r="AC198" s="273"/>
      <c r="AD198" s="273"/>
      <c r="AE198" s="273"/>
      <c r="AF198" s="273"/>
      <c r="AG198" s="273"/>
      <c r="AH198" s="273"/>
      <c r="AI198" s="273"/>
      <c r="AJ198" s="273"/>
      <c r="AK198" s="273"/>
      <c r="AL198" s="273"/>
      <c r="AM198" s="273"/>
      <c r="AN198" s="273"/>
      <c r="AO198" s="273"/>
      <c r="AP198" s="273"/>
      <c r="AQ198" s="273"/>
      <c r="AR198" s="273"/>
      <c r="AS198" s="273"/>
      <c r="AT198" s="273"/>
      <c r="AU198" s="273"/>
      <c r="AV198" s="273"/>
    </row>
    <row r="199" spans="1:48" ht="12.75">
      <c r="A199" s="138"/>
      <c r="B199" s="31"/>
      <c r="C199" s="31"/>
      <c r="D199" s="31"/>
      <c r="E199" s="31"/>
      <c r="F199" s="31"/>
      <c r="G199" s="31"/>
      <c r="H199" s="129"/>
      <c r="I199" s="128"/>
      <c r="J199" s="31"/>
      <c r="K199" s="31"/>
      <c r="L199" s="31"/>
      <c r="M199" s="31"/>
      <c r="N199" s="31"/>
      <c r="O199" s="31"/>
      <c r="P199" s="31"/>
      <c r="Q199" s="129"/>
      <c r="R199" s="130"/>
      <c r="S199" s="31"/>
      <c r="T199" s="31"/>
      <c r="U199" s="31"/>
      <c r="V199" s="31"/>
      <c r="W199" s="31"/>
      <c r="X199" s="140"/>
      <c r="Y199" s="273"/>
      <c r="Z199" s="273"/>
      <c r="AA199" s="273"/>
      <c r="AB199" s="273"/>
      <c r="AC199" s="273"/>
      <c r="AD199" s="273"/>
      <c r="AE199" s="273"/>
      <c r="AF199" s="273"/>
      <c r="AG199" s="273"/>
      <c r="AH199" s="273"/>
      <c r="AI199" s="273"/>
      <c r="AJ199" s="273"/>
      <c r="AK199" s="273"/>
      <c r="AL199" s="273"/>
      <c r="AM199" s="273"/>
      <c r="AN199" s="273"/>
      <c r="AO199" s="273"/>
      <c r="AP199" s="273"/>
      <c r="AQ199" s="273"/>
      <c r="AR199" s="273"/>
      <c r="AS199" s="273"/>
      <c r="AT199" s="273"/>
      <c r="AU199" s="273"/>
      <c r="AV199" s="273"/>
    </row>
    <row r="200" spans="1:48" ht="12.75">
      <c r="A200" s="139"/>
      <c r="B200" s="132"/>
      <c r="C200" s="132"/>
      <c r="D200" s="132"/>
      <c r="E200" s="132"/>
      <c r="F200" s="132"/>
      <c r="G200" s="132"/>
      <c r="H200" s="135"/>
      <c r="I200" s="134"/>
      <c r="J200" s="132"/>
      <c r="K200" s="132"/>
      <c r="L200" s="132"/>
      <c r="M200" s="132"/>
      <c r="N200" s="132"/>
      <c r="O200" s="132"/>
      <c r="P200" s="132"/>
      <c r="Q200" s="135"/>
      <c r="R200" s="136"/>
      <c r="S200" s="132"/>
      <c r="T200" s="132"/>
      <c r="U200" s="132"/>
      <c r="V200" s="132"/>
      <c r="W200" s="132"/>
      <c r="X200" s="142"/>
      <c r="Y200" s="273"/>
      <c r="Z200" s="273"/>
      <c r="AA200" s="273"/>
      <c r="AB200" s="273"/>
      <c r="AC200" s="273"/>
      <c r="AD200" s="273"/>
      <c r="AE200" s="273"/>
      <c r="AF200" s="273"/>
      <c r="AG200" s="273"/>
      <c r="AH200" s="273"/>
      <c r="AI200" s="273"/>
      <c r="AJ200" s="273"/>
      <c r="AK200" s="273"/>
      <c r="AL200" s="273"/>
      <c r="AM200" s="273"/>
      <c r="AN200" s="273"/>
      <c r="AO200" s="273"/>
      <c r="AP200" s="273"/>
      <c r="AQ200" s="273"/>
      <c r="AR200" s="273"/>
      <c r="AS200" s="273"/>
      <c r="AT200" s="273"/>
      <c r="AU200" s="273"/>
      <c r="AV200" s="273"/>
    </row>
    <row r="201" spans="1:48" ht="12.75">
      <c r="A201" s="138"/>
      <c r="B201" s="31"/>
      <c r="C201" s="31"/>
      <c r="D201" s="31"/>
      <c r="E201" s="31"/>
      <c r="F201" s="31"/>
      <c r="G201" s="31"/>
      <c r="H201" s="129"/>
      <c r="I201" s="128"/>
      <c r="J201" s="31"/>
      <c r="K201" s="31"/>
      <c r="L201" s="31"/>
      <c r="M201" s="31"/>
      <c r="N201" s="31"/>
      <c r="O201" s="31"/>
      <c r="P201" s="31"/>
      <c r="Q201" s="129"/>
      <c r="R201" s="130"/>
      <c r="S201" s="31"/>
      <c r="T201" s="31"/>
      <c r="U201" s="31"/>
      <c r="V201" s="31"/>
      <c r="W201" s="31"/>
      <c r="X201" s="140"/>
      <c r="Y201" s="273"/>
      <c r="Z201" s="273"/>
      <c r="AA201" s="273"/>
      <c r="AB201" s="273"/>
      <c r="AC201" s="273"/>
      <c r="AD201" s="273"/>
      <c r="AE201" s="273"/>
      <c r="AF201" s="273"/>
      <c r="AG201" s="273"/>
      <c r="AH201" s="273"/>
      <c r="AI201" s="273"/>
      <c r="AJ201" s="273"/>
      <c r="AK201" s="273"/>
      <c r="AL201" s="273"/>
      <c r="AM201" s="273"/>
      <c r="AN201" s="273"/>
      <c r="AO201" s="273"/>
      <c r="AP201" s="273"/>
      <c r="AQ201" s="273"/>
      <c r="AR201" s="273"/>
      <c r="AS201" s="273"/>
      <c r="AT201" s="273"/>
      <c r="AU201" s="273"/>
      <c r="AV201" s="273"/>
    </row>
    <row r="202" spans="1:48" ht="12.75">
      <c r="A202" s="139"/>
      <c r="B202" s="132"/>
      <c r="C202" s="132"/>
      <c r="D202" s="132"/>
      <c r="E202" s="132"/>
      <c r="F202" s="132"/>
      <c r="G202" s="132"/>
      <c r="H202" s="135"/>
      <c r="I202" s="134"/>
      <c r="J202" s="132"/>
      <c r="K202" s="132"/>
      <c r="L202" s="132"/>
      <c r="M202" s="132"/>
      <c r="N202" s="132"/>
      <c r="O202" s="132"/>
      <c r="P202" s="132"/>
      <c r="Q202" s="135"/>
      <c r="R202" s="136"/>
      <c r="S202" s="132"/>
      <c r="T202" s="132"/>
      <c r="U202" s="132"/>
      <c r="V202" s="132"/>
      <c r="W202" s="132"/>
      <c r="X202" s="142"/>
      <c r="Y202" s="273"/>
      <c r="Z202" s="273"/>
      <c r="AA202" s="273"/>
      <c r="AB202" s="273"/>
      <c r="AC202" s="273"/>
      <c r="AD202" s="273"/>
      <c r="AE202" s="273"/>
      <c r="AF202" s="273"/>
      <c r="AG202" s="273"/>
      <c r="AH202" s="273"/>
      <c r="AI202" s="273"/>
      <c r="AJ202" s="273"/>
      <c r="AK202" s="273"/>
      <c r="AL202" s="273"/>
      <c r="AM202" s="273"/>
      <c r="AN202" s="273"/>
      <c r="AO202" s="273"/>
      <c r="AP202" s="273"/>
      <c r="AQ202" s="273"/>
      <c r="AR202" s="273"/>
      <c r="AS202" s="273"/>
      <c r="AT202" s="273"/>
      <c r="AU202" s="273"/>
      <c r="AV202" s="273"/>
    </row>
    <row r="203" spans="1:48" ht="12.75">
      <c r="A203" s="138"/>
      <c r="B203" s="31"/>
      <c r="C203" s="31"/>
      <c r="D203" s="31"/>
      <c r="E203" s="31"/>
      <c r="F203" s="31"/>
      <c r="G203" s="31"/>
      <c r="H203" s="129"/>
      <c r="I203" s="128"/>
      <c r="J203" s="31"/>
      <c r="K203" s="31"/>
      <c r="L203" s="31"/>
      <c r="M203" s="31"/>
      <c r="N203" s="31"/>
      <c r="O203" s="31"/>
      <c r="P203" s="31"/>
      <c r="Q203" s="129"/>
      <c r="R203" s="130"/>
      <c r="S203" s="31"/>
      <c r="T203" s="31"/>
      <c r="U203" s="31"/>
      <c r="V203" s="31"/>
      <c r="W203" s="31"/>
      <c r="X203" s="140"/>
      <c r="Y203" s="273"/>
      <c r="Z203" s="273"/>
      <c r="AA203" s="273"/>
      <c r="AB203" s="273"/>
      <c r="AC203" s="273"/>
      <c r="AD203" s="273"/>
      <c r="AE203" s="273"/>
      <c r="AF203" s="273"/>
      <c r="AG203" s="273"/>
      <c r="AH203" s="273"/>
      <c r="AI203" s="273"/>
      <c r="AJ203" s="273"/>
      <c r="AK203" s="273"/>
      <c r="AL203" s="273"/>
      <c r="AM203" s="273"/>
      <c r="AN203" s="273"/>
      <c r="AO203" s="273"/>
      <c r="AP203" s="273"/>
      <c r="AQ203" s="273"/>
      <c r="AR203" s="273"/>
      <c r="AS203" s="273"/>
      <c r="AT203" s="273"/>
      <c r="AU203" s="273"/>
      <c r="AV203" s="273"/>
    </row>
    <row r="204" spans="1:48" ht="12.75">
      <c r="A204" s="139"/>
      <c r="B204" s="132"/>
      <c r="C204" s="132"/>
      <c r="D204" s="132"/>
      <c r="E204" s="132"/>
      <c r="F204" s="132"/>
      <c r="G204" s="132"/>
      <c r="H204" s="135"/>
      <c r="I204" s="134"/>
      <c r="J204" s="132"/>
      <c r="K204" s="132"/>
      <c r="L204" s="132"/>
      <c r="M204" s="132"/>
      <c r="N204" s="132"/>
      <c r="O204" s="132"/>
      <c r="P204" s="132"/>
      <c r="Q204" s="135"/>
      <c r="R204" s="136"/>
      <c r="S204" s="132"/>
      <c r="T204" s="132"/>
      <c r="U204" s="132"/>
      <c r="V204" s="132"/>
      <c r="W204" s="132"/>
      <c r="X204" s="142"/>
      <c r="Y204" s="273"/>
      <c r="Z204" s="273"/>
      <c r="AA204" s="273"/>
      <c r="AB204" s="273"/>
      <c r="AC204" s="273"/>
      <c r="AD204" s="273"/>
      <c r="AE204" s="273"/>
      <c r="AF204" s="273"/>
      <c r="AG204" s="273"/>
      <c r="AH204" s="273"/>
      <c r="AI204" s="273"/>
      <c r="AJ204" s="273"/>
      <c r="AK204" s="273"/>
      <c r="AL204" s="273"/>
      <c r="AM204" s="273"/>
      <c r="AN204" s="273"/>
      <c r="AO204" s="273"/>
      <c r="AP204" s="273"/>
      <c r="AQ204" s="273"/>
      <c r="AR204" s="273"/>
      <c r="AS204" s="273"/>
      <c r="AT204" s="273"/>
      <c r="AU204" s="273"/>
      <c r="AV204" s="273"/>
    </row>
    <row r="205" spans="1:48" ht="12.75">
      <c r="A205" s="138"/>
      <c r="B205" s="31"/>
      <c r="C205" s="31"/>
      <c r="D205" s="31"/>
      <c r="E205" s="31"/>
      <c r="F205" s="31"/>
      <c r="G205" s="31"/>
      <c r="H205" s="129"/>
      <c r="I205" s="128"/>
      <c r="J205" s="31"/>
      <c r="K205" s="31"/>
      <c r="L205" s="31"/>
      <c r="M205" s="31"/>
      <c r="N205" s="31"/>
      <c r="O205" s="31"/>
      <c r="P205" s="31"/>
      <c r="Q205" s="129"/>
      <c r="R205" s="130"/>
      <c r="S205" s="31"/>
      <c r="T205" s="31"/>
      <c r="U205" s="31"/>
      <c r="V205" s="31"/>
      <c r="W205" s="31"/>
      <c r="X205" s="140"/>
      <c r="Y205" s="273"/>
      <c r="Z205" s="273"/>
      <c r="AA205" s="273"/>
      <c r="AB205" s="273"/>
      <c r="AC205" s="273"/>
      <c r="AD205" s="273"/>
      <c r="AE205" s="273"/>
      <c r="AF205" s="273"/>
      <c r="AG205" s="273"/>
      <c r="AH205" s="273"/>
      <c r="AI205" s="273"/>
      <c r="AJ205" s="273"/>
      <c r="AK205" s="273"/>
      <c r="AL205" s="273"/>
      <c r="AM205" s="273"/>
      <c r="AN205" s="273"/>
      <c r="AO205" s="273"/>
      <c r="AP205" s="273"/>
      <c r="AQ205" s="273"/>
      <c r="AR205" s="273"/>
      <c r="AS205" s="273"/>
      <c r="AT205" s="273"/>
      <c r="AU205" s="273"/>
      <c r="AV205" s="273"/>
    </row>
    <row r="206" spans="1:48" ht="12.75">
      <c r="A206" s="139"/>
      <c r="B206" s="132"/>
      <c r="C206" s="132"/>
      <c r="D206" s="132"/>
      <c r="E206" s="132"/>
      <c r="F206" s="132"/>
      <c r="G206" s="132"/>
      <c r="H206" s="135"/>
      <c r="I206" s="134"/>
      <c r="J206" s="132"/>
      <c r="K206" s="132"/>
      <c r="L206" s="132"/>
      <c r="M206" s="132"/>
      <c r="N206" s="132"/>
      <c r="O206" s="132"/>
      <c r="P206" s="132"/>
      <c r="Q206" s="135"/>
      <c r="R206" s="136"/>
      <c r="S206" s="132"/>
      <c r="T206" s="132"/>
      <c r="U206" s="132"/>
      <c r="V206" s="132"/>
      <c r="W206" s="132"/>
      <c r="X206" s="142"/>
      <c r="Y206" s="273"/>
      <c r="Z206" s="273"/>
      <c r="AA206" s="273"/>
      <c r="AB206" s="273"/>
      <c r="AC206" s="273"/>
      <c r="AD206" s="273"/>
      <c r="AE206" s="273"/>
      <c r="AF206" s="273"/>
      <c r="AG206" s="273"/>
      <c r="AH206" s="273"/>
      <c r="AI206" s="273"/>
      <c r="AJ206" s="273"/>
      <c r="AK206" s="273"/>
      <c r="AL206" s="273"/>
      <c r="AM206" s="273"/>
      <c r="AN206" s="273"/>
      <c r="AO206" s="273"/>
      <c r="AP206" s="273"/>
      <c r="AQ206" s="273"/>
      <c r="AR206" s="273"/>
      <c r="AS206" s="273"/>
      <c r="AT206" s="273"/>
      <c r="AU206" s="273"/>
      <c r="AV206" s="273"/>
    </row>
    <row r="207" spans="1:48" ht="12.75">
      <c r="A207" s="138"/>
      <c r="B207" s="31"/>
      <c r="C207" s="31"/>
      <c r="D207" s="31"/>
      <c r="E207" s="31"/>
      <c r="F207" s="31"/>
      <c r="G207" s="31"/>
      <c r="H207" s="129"/>
      <c r="I207" s="128"/>
      <c r="J207" s="31"/>
      <c r="K207" s="31"/>
      <c r="L207" s="31"/>
      <c r="M207" s="31"/>
      <c r="N207" s="31"/>
      <c r="O207" s="31"/>
      <c r="P207" s="31"/>
      <c r="Q207" s="129"/>
      <c r="R207" s="130"/>
      <c r="S207" s="31"/>
      <c r="T207" s="31"/>
      <c r="U207" s="31"/>
      <c r="V207" s="31"/>
      <c r="W207" s="31"/>
      <c r="X207" s="140"/>
      <c r="Y207" s="273"/>
      <c r="Z207" s="273"/>
      <c r="AA207" s="273"/>
      <c r="AB207" s="273"/>
      <c r="AC207" s="273"/>
      <c r="AD207" s="273"/>
      <c r="AE207" s="273"/>
      <c r="AF207" s="273"/>
      <c r="AG207" s="273"/>
      <c r="AH207" s="273"/>
      <c r="AI207" s="273"/>
      <c r="AJ207" s="273"/>
      <c r="AK207" s="273"/>
      <c r="AL207" s="273"/>
      <c r="AM207" s="273"/>
      <c r="AN207" s="273"/>
      <c r="AO207" s="273"/>
      <c r="AP207" s="273"/>
      <c r="AQ207" s="273"/>
      <c r="AR207" s="273"/>
      <c r="AS207" s="273"/>
      <c r="AT207" s="273"/>
      <c r="AU207" s="273"/>
      <c r="AV207" s="273"/>
    </row>
    <row r="208" spans="1:48" ht="12.75">
      <c r="A208" s="139"/>
      <c r="B208" s="132"/>
      <c r="C208" s="132"/>
      <c r="D208" s="132"/>
      <c r="E208" s="132"/>
      <c r="F208" s="132"/>
      <c r="G208" s="132"/>
      <c r="H208" s="135"/>
      <c r="I208" s="134"/>
      <c r="J208" s="132"/>
      <c r="K208" s="132"/>
      <c r="L208" s="132"/>
      <c r="M208" s="132"/>
      <c r="N208" s="132"/>
      <c r="O208" s="132"/>
      <c r="P208" s="132"/>
      <c r="Q208" s="135"/>
      <c r="R208" s="136"/>
      <c r="S208" s="132"/>
      <c r="T208" s="132"/>
      <c r="U208" s="132"/>
      <c r="V208" s="132"/>
      <c r="W208" s="132"/>
      <c r="X208" s="142"/>
      <c r="Y208" s="273"/>
      <c r="Z208" s="273"/>
      <c r="AA208" s="273"/>
      <c r="AB208" s="273"/>
      <c r="AC208" s="273"/>
      <c r="AD208" s="273"/>
      <c r="AE208" s="273"/>
      <c r="AF208" s="273"/>
      <c r="AG208" s="273"/>
      <c r="AH208" s="273"/>
      <c r="AI208" s="273"/>
      <c r="AJ208" s="273"/>
      <c r="AK208" s="273"/>
      <c r="AL208" s="273"/>
      <c r="AM208" s="273"/>
      <c r="AN208" s="273"/>
      <c r="AO208" s="273"/>
      <c r="AP208" s="273"/>
      <c r="AQ208" s="273"/>
      <c r="AR208" s="273"/>
      <c r="AS208" s="273"/>
      <c r="AT208" s="273"/>
      <c r="AU208" s="273"/>
      <c r="AV208" s="273"/>
    </row>
    <row r="209" spans="1:48" ht="12.75">
      <c r="A209" s="138"/>
      <c r="B209" s="31"/>
      <c r="C209" s="31"/>
      <c r="D209" s="31"/>
      <c r="E209" s="31"/>
      <c r="F209" s="31"/>
      <c r="G209" s="31"/>
      <c r="H209" s="129"/>
      <c r="I209" s="128"/>
      <c r="J209" s="31"/>
      <c r="K209" s="31"/>
      <c r="L209" s="31"/>
      <c r="M209" s="31"/>
      <c r="N209" s="31"/>
      <c r="O209" s="31"/>
      <c r="P209" s="31"/>
      <c r="Q209" s="129"/>
      <c r="R209" s="130"/>
      <c r="S209" s="31"/>
      <c r="T209" s="31"/>
      <c r="U209" s="31"/>
      <c r="V209" s="31"/>
      <c r="W209" s="31"/>
      <c r="X209" s="140"/>
      <c r="Y209" s="273"/>
      <c r="Z209" s="273"/>
      <c r="AA209" s="273"/>
      <c r="AB209" s="273"/>
      <c r="AC209" s="273"/>
      <c r="AD209" s="273"/>
      <c r="AE209" s="273"/>
      <c r="AF209" s="273"/>
      <c r="AG209" s="273"/>
      <c r="AH209" s="273"/>
      <c r="AI209" s="273"/>
      <c r="AJ209" s="273"/>
      <c r="AK209" s="273"/>
      <c r="AL209" s="273"/>
      <c r="AM209" s="273"/>
      <c r="AN209" s="273"/>
      <c r="AO209" s="273"/>
      <c r="AP209" s="273"/>
      <c r="AQ209" s="273"/>
      <c r="AR209" s="273"/>
      <c r="AS209" s="273"/>
      <c r="AT209" s="273"/>
      <c r="AU209" s="273"/>
      <c r="AV209" s="273"/>
    </row>
    <row r="210" spans="1:48" ht="12.75">
      <c r="A210" s="139"/>
      <c r="B210" s="132"/>
      <c r="C210" s="132"/>
      <c r="D210" s="132"/>
      <c r="E210" s="132"/>
      <c r="F210" s="132"/>
      <c r="G210" s="132"/>
      <c r="H210" s="135"/>
      <c r="I210" s="134"/>
      <c r="J210" s="132"/>
      <c r="K210" s="132"/>
      <c r="L210" s="132"/>
      <c r="M210" s="132"/>
      <c r="N210" s="132"/>
      <c r="O210" s="132"/>
      <c r="P210" s="132"/>
      <c r="Q210" s="135"/>
      <c r="R210" s="136"/>
      <c r="S210" s="132"/>
      <c r="T210" s="132"/>
      <c r="U210" s="132"/>
      <c r="V210" s="132"/>
      <c r="W210" s="132"/>
      <c r="X210" s="142"/>
      <c r="Y210" s="273"/>
      <c r="Z210" s="273"/>
      <c r="AA210" s="273"/>
      <c r="AB210" s="273"/>
      <c r="AC210" s="273"/>
      <c r="AD210" s="273"/>
      <c r="AE210" s="273"/>
      <c r="AF210" s="273"/>
      <c r="AG210" s="273"/>
      <c r="AH210" s="273"/>
      <c r="AI210" s="273"/>
      <c r="AJ210" s="273"/>
      <c r="AK210" s="273"/>
      <c r="AL210" s="273"/>
      <c r="AM210" s="273"/>
      <c r="AN210" s="273"/>
      <c r="AO210" s="273"/>
      <c r="AP210" s="273"/>
      <c r="AQ210" s="273"/>
      <c r="AR210" s="273"/>
      <c r="AS210" s="273"/>
      <c r="AT210" s="273"/>
      <c r="AU210" s="273"/>
      <c r="AV210" s="273"/>
    </row>
    <row r="211" spans="1:48" ht="12.75">
      <c r="A211" s="138"/>
      <c r="B211" s="31"/>
      <c r="C211" s="31"/>
      <c r="D211" s="31"/>
      <c r="E211" s="31"/>
      <c r="F211" s="31"/>
      <c r="G211" s="31"/>
      <c r="H211" s="129"/>
      <c r="I211" s="128"/>
      <c r="J211" s="31"/>
      <c r="K211" s="31"/>
      <c r="L211" s="31"/>
      <c r="M211" s="31"/>
      <c r="N211" s="31"/>
      <c r="O211" s="31"/>
      <c r="P211" s="31"/>
      <c r="Q211" s="129"/>
      <c r="R211" s="130"/>
      <c r="S211" s="31"/>
      <c r="T211" s="31"/>
      <c r="U211" s="31"/>
      <c r="V211" s="31"/>
      <c r="W211" s="31"/>
      <c r="X211" s="140"/>
      <c r="Y211" s="273"/>
      <c r="Z211" s="273"/>
      <c r="AA211" s="273"/>
      <c r="AB211" s="273"/>
      <c r="AC211" s="273"/>
      <c r="AD211" s="273"/>
      <c r="AE211" s="273"/>
      <c r="AF211" s="273"/>
      <c r="AG211" s="273"/>
      <c r="AH211" s="273"/>
      <c r="AI211" s="273"/>
      <c r="AJ211" s="273"/>
      <c r="AK211" s="273"/>
      <c r="AL211" s="273"/>
      <c r="AM211" s="273"/>
      <c r="AN211" s="273"/>
      <c r="AO211" s="273"/>
      <c r="AP211" s="273"/>
      <c r="AQ211" s="273"/>
      <c r="AR211" s="273"/>
      <c r="AS211" s="273"/>
      <c r="AT211" s="273"/>
      <c r="AU211" s="273"/>
      <c r="AV211" s="273"/>
    </row>
    <row r="212" spans="1:48" ht="12.75">
      <c r="A212" s="139"/>
      <c r="B212" s="132"/>
      <c r="C212" s="132"/>
      <c r="D212" s="132"/>
      <c r="E212" s="132"/>
      <c r="F212" s="132"/>
      <c r="G212" s="132"/>
      <c r="H212" s="135"/>
      <c r="I212" s="134"/>
      <c r="J212" s="132"/>
      <c r="K212" s="132"/>
      <c r="L212" s="132"/>
      <c r="M212" s="132"/>
      <c r="N212" s="132"/>
      <c r="O212" s="132"/>
      <c r="P212" s="132"/>
      <c r="Q212" s="135"/>
      <c r="R212" s="136"/>
      <c r="S212" s="132"/>
      <c r="T212" s="132"/>
      <c r="U212" s="132"/>
      <c r="V212" s="132"/>
      <c r="W212" s="132"/>
      <c r="X212" s="142"/>
      <c r="Y212" s="273"/>
      <c r="Z212" s="273"/>
      <c r="AA212" s="273"/>
      <c r="AB212" s="273"/>
      <c r="AC212" s="273"/>
      <c r="AD212" s="273"/>
      <c r="AE212" s="273"/>
      <c r="AF212" s="273"/>
      <c r="AG212" s="273"/>
      <c r="AH212" s="273"/>
      <c r="AI212" s="273"/>
      <c r="AJ212" s="273"/>
      <c r="AK212" s="273"/>
      <c r="AL212" s="273"/>
      <c r="AM212" s="273"/>
      <c r="AN212" s="273"/>
      <c r="AO212" s="273"/>
      <c r="AP212" s="273"/>
      <c r="AQ212" s="273"/>
      <c r="AR212" s="273"/>
      <c r="AS212" s="273"/>
      <c r="AT212" s="273"/>
      <c r="AU212" s="273"/>
      <c r="AV212" s="273"/>
    </row>
    <row r="213" spans="1:48" ht="12.75">
      <c r="A213" s="138"/>
      <c r="B213" s="31"/>
      <c r="C213" s="31"/>
      <c r="D213" s="31"/>
      <c r="E213" s="31"/>
      <c r="F213" s="31"/>
      <c r="G213" s="31"/>
      <c r="H213" s="129"/>
      <c r="I213" s="128"/>
      <c r="J213" s="31"/>
      <c r="K213" s="31"/>
      <c r="L213" s="31"/>
      <c r="M213" s="31"/>
      <c r="N213" s="31"/>
      <c r="O213" s="31"/>
      <c r="P213" s="31"/>
      <c r="Q213" s="129"/>
      <c r="R213" s="130"/>
      <c r="S213" s="31"/>
      <c r="T213" s="31"/>
      <c r="U213" s="31"/>
      <c r="V213" s="31"/>
      <c r="W213" s="31"/>
      <c r="X213" s="140"/>
      <c r="Y213" s="273"/>
      <c r="Z213" s="273"/>
      <c r="AA213" s="273"/>
      <c r="AB213" s="273"/>
      <c r="AC213" s="273"/>
      <c r="AD213" s="273"/>
      <c r="AE213" s="273"/>
      <c r="AF213" s="273"/>
      <c r="AG213" s="273"/>
      <c r="AH213" s="273"/>
      <c r="AI213" s="273"/>
      <c r="AJ213" s="273"/>
      <c r="AK213" s="273"/>
      <c r="AL213" s="273"/>
      <c r="AM213" s="273"/>
      <c r="AN213" s="273"/>
      <c r="AO213" s="273"/>
      <c r="AP213" s="273"/>
      <c r="AQ213" s="273"/>
      <c r="AR213" s="273"/>
      <c r="AS213" s="273"/>
      <c r="AT213" s="273"/>
      <c r="AU213" s="273"/>
      <c r="AV213" s="273"/>
    </row>
    <row r="214" spans="1:48" ht="12.75">
      <c r="A214" s="139"/>
      <c r="B214" s="132"/>
      <c r="C214" s="132"/>
      <c r="D214" s="132"/>
      <c r="E214" s="132"/>
      <c r="F214" s="132"/>
      <c r="G214" s="132"/>
      <c r="H214" s="135"/>
      <c r="I214" s="134"/>
      <c r="J214" s="132"/>
      <c r="K214" s="132"/>
      <c r="L214" s="132"/>
      <c r="M214" s="132"/>
      <c r="N214" s="132"/>
      <c r="O214" s="132"/>
      <c r="P214" s="132"/>
      <c r="Q214" s="135"/>
      <c r="R214" s="136"/>
      <c r="S214" s="132"/>
      <c r="T214" s="132"/>
      <c r="U214" s="132"/>
      <c r="V214" s="132"/>
      <c r="W214" s="132"/>
      <c r="X214" s="142"/>
      <c r="Y214" s="273"/>
      <c r="Z214" s="273"/>
      <c r="AA214" s="273"/>
      <c r="AB214" s="273"/>
      <c r="AC214" s="273"/>
      <c r="AD214" s="273"/>
      <c r="AE214" s="273"/>
      <c r="AF214" s="273"/>
      <c r="AG214" s="273"/>
      <c r="AH214" s="273"/>
      <c r="AI214" s="273"/>
      <c r="AJ214" s="273"/>
      <c r="AK214" s="273"/>
      <c r="AL214" s="273"/>
      <c r="AM214" s="273"/>
      <c r="AN214" s="273"/>
      <c r="AO214" s="273"/>
      <c r="AP214" s="273"/>
      <c r="AQ214" s="273"/>
      <c r="AR214" s="273"/>
      <c r="AS214" s="273"/>
      <c r="AT214" s="273"/>
      <c r="AU214" s="273"/>
      <c r="AV214" s="273"/>
    </row>
    <row r="215" spans="1:48" ht="12.75">
      <c r="A215" s="138"/>
      <c r="B215" s="31"/>
      <c r="C215" s="31"/>
      <c r="D215" s="31"/>
      <c r="E215" s="31"/>
      <c r="F215" s="31"/>
      <c r="G215" s="31"/>
      <c r="H215" s="129"/>
      <c r="I215" s="128"/>
      <c r="J215" s="31"/>
      <c r="K215" s="31"/>
      <c r="L215" s="31"/>
      <c r="M215" s="31"/>
      <c r="N215" s="31"/>
      <c r="O215" s="31"/>
      <c r="P215" s="31"/>
      <c r="Q215" s="129"/>
      <c r="R215" s="130"/>
      <c r="S215" s="31"/>
      <c r="T215" s="31"/>
      <c r="U215" s="31"/>
      <c r="V215" s="31"/>
      <c r="W215" s="31"/>
      <c r="X215" s="140"/>
      <c r="Y215" s="273"/>
      <c r="Z215" s="273"/>
      <c r="AA215" s="273"/>
      <c r="AB215" s="273"/>
      <c r="AC215" s="273"/>
      <c r="AD215" s="273"/>
      <c r="AE215" s="273"/>
      <c r="AF215" s="273"/>
      <c r="AG215" s="273"/>
      <c r="AH215" s="273"/>
      <c r="AI215" s="273"/>
      <c r="AJ215" s="273"/>
      <c r="AK215" s="273"/>
      <c r="AL215" s="273"/>
      <c r="AM215" s="273"/>
      <c r="AN215" s="273"/>
      <c r="AO215" s="273"/>
      <c r="AP215" s="273"/>
      <c r="AQ215" s="273"/>
      <c r="AR215" s="273"/>
      <c r="AS215" s="273"/>
      <c r="AT215" s="273"/>
      <c r="AU215" s="273"/>
      <c r="AV215" s="273"/>
    </row>
    <row r="216" spans="1:48" ht="12.75">
      <c r="A216" s="139"/>
      <c r="B216" s="132"/>
      <c r="C216" s="132"/>
      <c r="D216" s="132"/>
      <c r="E216" s="132"/>
      <c r="F216" s="132"/>
      <c r="G216" s="132"/>
      <c r="H216" s="135"/>
      <c r="I216" s="134"/>
      <c r="J216" s="132"/>
      <c r="K216" s="132"/>
      <c r="L216" s="132"/>
      <c r="M216" s="132"/>
      <c r="N216" s="132"/>
      <c r="O216" s="132"/>
      <c r="P216" s="132"/>
      <c r="Q216" s="135"/>
      <c r="R216" s="136"/>
      <c r="S216" s="132"/>
      <c r="T216" s="132"/>
      <c r="U216" s="132"/>
      <c r="V216" s="132"/>
      <c r="W216" s="132"/>
      <c r="X216" s="142"/>
      <c r="Y216" s="273"/>
      <c r="Z216" s="273"/>
      <c r="AA216" s="273"/>
      <c r="AB216" s="273"/>
      <c r="AC216" s="273"/>
      <c r="AD216" s="273"/>
      <c r="AE216" s="273"/>
      <c r="AF216" s="273"/>
      <c r="AG216" s="273"/>
      <c r="AH216" s="273"/>
      <c r="AI216" s="273"/>
      <c r="AJ216" s="273"/>
      <c r="AK216" s="273"/>
      <c r="AL216" s="273"/>
      <c r="AM216" s="273"/>
      <c r="AN216" s="273"/>
      <c r="AO216" s="273"/>
      <c r="AP216" s="273"/>
      <c r="AQ216" s="273"/>
      <c r="AR216" s="273"/>
      <c r="AS216" s="273"/>
      <c r="AT216" s="273"/>
      <c r="AU216" s="273"/>
      <c r="AV216" s="273"/>
    </row>
    <row r="217" spans="1:48" ht="12.75">
      <c r="A217" s="138"/>
      <c r="B217" s="31"/>
      <c r="C217" s="31"/>
      <c r="D217" s="31"/>
      <c r="E217" s="31"/>
      <c r="F217" s="31"/>
      <c r="G217" s="31"/>
      <c r="H217" s="129"/>
      <c r="I217" s="128"/>
      <c r="J217" s="31"/>
      <c r="K217" s="31"/>
      <c r="L217" s="31"/>
      <c r="M217" s="31"/>
      <c r="N217" s="31"/>
      <c r="O217" s="31"/>
      <c r="P217" s="31"/>
      <c r="Q217" s="129"/>
      <c r="R217" s="130"/>
      <c r="S217" s="31"/>
      <c r="T217" s="31"/>
      <c r="U217" s="31"/>
      <c r="V217" s="31"/>
      <c r="W217" s="31"/>
      <c r="X217" s="140"/>
      <c r="Y217" s="273"/>
      <c r="Z217" s="273"/>
      <c r="AA217" s="273"/>
      <c r="AB217" s="273"/>
      <c r="AC217" s="273"/>
      <c r="AD217" s="273"/>
      <c r="AE217" s="273"/>
      <c r="AF217" s="273"/>
      <c r="AG217" s="273"/>
      <c r="AH217" s="273"/>
      <c r="AI217" s="273"/>
      <c r="AJ217" s="273"/>
      <c r="AK217" s="273"/>
      <c r="AL217" s="273"/>
      <c r="AM217" s="273"/>
      <c r="AN217" s="273"/>
      <c r="AO217" s="273"/>
      <c r="AP217" s="273"/>
      <c r="AQ217" s="273"/>
      <c r="AR217" s="273"/>
      <c r="AS217" s="273"/>
      <c r="AT217" s="273"/>
      <c r="AU217" s="273"/>
      <c r="AV217" s="273"/>
    </row>
    <row r="218" spans="1:48" ht="12.75">
      <c r="A218" s="139"/>
      <c r="B218" s="132"/>
      <c r="C218" s="132"/>
      <c r="D218" s="132"/>
      <c r="E218" s="132"/>
      <c r="F218" s="132"/>
      <c r="G218" s="132"/>
      <c r="H218" s="135"/>
      <c r="I218" s="134"/>
      <c r="J218" s="132"/>
      <c r="K218" s="132"/>
      <c r="L218" s="132"/>
      <c r="M218" s="132"/>
      <c r="N218" s="132"/>
      <c r="O218" s="132"/>
      <c r="P218" s="132"/>
      <c r="Q218" s="135"/>
      <c r="R218" s="136"/>
      <c r="S218" s="132"/>
      <c r="T218" s="132"/>
      <c r="U218" s="132"/>
      <c r="V218" s="132"/>
      <c r="W218" s="132"/>
      <c r="X218" s="142"/>
      <c r="Y218" s="273"/>
      <c r="Z218" s="273"/>
      <c r="AA218" s="273"/>
      <c r="AB218" s="273"/>
      <c r="AC218" s="273"/>
      <c r="AD218" s="273"/>
      <c r="AE218" s="273"/>
      <c r="AF218" s="273"/>
      <c r="AG218" s="273"/>
      <c r="AH218" s="273"/>
      <c r="AI218" s="273"/>
      <c r="AJ218" s="273"/>
      <c r="AK218" s="273"/>
      <c r="AL218" s="273"/>
      <c r="AM218" s="273"/>
      <c r="AN218" s="273"/>
      <c r="AO218" s="273"/>
      <c r="AP218" s="273"/>
      <c r="AQ218" s="273"/>
      <c r="AR218" s="273"/>
      <c r="AS218" s="273"/>
      <c r="AT218" s="273"/>
      <c r="AU218" s="273"/>
      <c r="AV218" s="273"/>
    </row>
    <row r="219" spans="1:48" ht="12.75">
      <c r="A219" s="138"/>
      <c r="B219" s="31"/>
      <c r="C219" s="31"/>
      <c r="D219" s="31"/>
      <c r="E219" s="31"/>
      <c r="F219" s="31"/>
      <c r="G219" s="31"/>
      <c r="H219" s="129"/>
      <c r="I219" s="128"/>
      <c r="J219" s="31"/>
      <c r="K219" s="31"/>
      <c r="L219" s="31"/>
      <c r="M219" s="31"/>
      <c r="N219" s="31"/>
      <c r="O219" s="31"/>
      <c r="P219" s="31"/>
      <c r="Q219" s="129"/>
      <c r="R219" s="130"/>
      <c r="S219" s="31"/>
      <c r="T219" s="31"/>
      <c r="U219" s="31"/>
      <c r="V219" s="31"/>
      <c r="W219" s="31"/>
      <c r="X219" s="140"/>
      <c r="Y219" s="273"/>
      <c r="Z219" s="273"/>
      <c r="AA219" s="273"/>
      <c r="AB219" s="273"/>
      <c r="AC219" s="273"/>
      <c r="AD219" s="273"/>
      <c r="AE219" s="273"/>
      <c r="AF219" s="273"/>
      <c r="AG219" s="273"/>
      <c r="AH219" s="273"/>
      <c r="AI219" s="273"/>
      <c r="AJ219" s="273"/>
      <c r="AK219" s="273"/>
      <c r="AL219" s="273"/>
      <c r="AM219" s="273"/>
      <c r="AN219" s="273"/>
      <c r="AO219" s="273"/>
      <c r="AP219" s="273"/>
      <c r="AQ219" s="273"/>
      <c r="AR219" s="273"/>
      <c r="AS219" s="273"/>
      <c r="AT219" s="273"/>
      <c r="AU219" s="273"/>
      <c r="AV219" s="273"/>
    </row>
    <row r="220" spans="1:48" ht="12.75">
      <c r="A220" s="139"/>
      <c r="B220" s="132"/>
      <c r="C220" s="132"/>
      <c r="D220" s="132"/>
      <c r="E220" s="132"/>
      <c r="F220" s="132"/>
      <c r="G220" s="132"/>
      <c r="H220" s="135"/>
      <c r="I220" s="134"/>
      <c r="J220" s="132"/>
      <c r="K220" s="132"/>
      <c r="L220" s="132"/>
      <c r="M220" s="132"/>
      <c r="N220" s="132"/>
      <c r="O220" s="132"/>
      <c r="P220" s="132"/>
      <c r="Q220" s="135"/>
      <c r="R220" s="136"/>
      <c r="S220" s="132"/>
      <c r="T220" s="132"/>
      <c r="U220" s="132"/>
      <c r="V220" s="132"/>
      <c r="W220" s="132"/>
      <c r="X220" s="142"/>
      <c r="Y220" s="273"/>
      <c r="Z220" s="273"/>
      <c r="AA220" s="273"/>
      <c r="AB220" s="273"/>
      <c r="AC220" s="273"/>
      <c r="AD220" s="273"/>
      <c r="AE220" s="273"/>
      <c r="AF220" s="273"/>
      <c r="AG220" s="273"/>
      <c r="AH220" s="273"/>
      <c r="AI220" s="273"/>
      <c r="AJ220" s="273"/>
      <c r="AK220" s="273"/>
      <c r="AL220" s="273"/>
      <c r="AM220" s="273"/>
      <c r="AN220" s="273"/>
      <c r="AO220" s="273"/>
      <c r="AP220" s="273"/>
      <c r="AQ220" s="273"/>
      <c r="AR220" s="273"/>
      <c r="AS220" s="273"/>
      <c r="AT220" s="273"/>
      <c r="AU220" s="273"/>
      <c r="AV220" s="273"/>
    </row>
    <row r="221" spans="1:48" ht="12.75">
      <c r="A221" s="138"/>
      <c r="B221" s="31"/>
      <c r="C221" s="31"/>
      <c r="D221" s="31"/>
      <c r="E221" s="31"/>
      <c r="F221" s="31"/>
      <c r="G221" s="31"/>
      <c r="H221" s="129"/>
      <c r="I221" s="128"/>
      <c r="J221" s="31"/>
      <c r="K221" s="31"/>
      <c r="L221" s="31"/>
      <c r="M221" s="31"/>
      <c r="N221" s="31"/>
      <c r="O221" s="31"/>
      <c r="P221" s="31"/>
      <c r="Q221" s="129"/>
      <c r="R221" s="130"/>
      <c r="S221" s="31"/>
      <c r="T221" s="31"/>
      <c r="U221" s="31"/>
      <c r="V221" s="31"/>
      <c r="W221" s="31"/>
      <c r="X221" s="140"/>
      <c r="Y221" s="273"/>
      <c r="Z221" s="273"/>
      <c r="AA221" s="273"/>
      <c r="AB221" s="273"/>
      <c r="AC221" s="273"/>
      <c r="AD221" s="273"/>
      <c r="AE221" s="273"/>
      <c r="AF221" s="273"/>
      <c r="AG221" s="273"/>
      <c r="AH221" s="273"/>
      <c r="AI221" s="273"/>
      <c r="AJ221" s="273"/>
      <c r="AK221" s="273"/>
      <c r="AL221" s="273"/>
      <c r="AM221" s="273"/>
      <c r="AN221" s="273"/>
      <c r="AO221" s="273"/>
      <c r="AP221" s="273"/>
      <c r="AQ221" s="273"/>
      <c r="AR221" s="273"/>
      <c r="AS221" s="273"/>
      <c r="AT221" s="273"/>
      <c r="AU221" s="273"/>
      <c r="AV221" s="273"/>
    </row>
    <row r="222" spans="1:48" ht="12.75">
      <c r="A222" s="139"/>
      <c r="B222" s="132"/>
      <c r="C222" s="132"/>
      <c r="D222" s="132"/>
      <c r="E222" s="132"/>
      <c r="F222" s="132"/>
      <c r="G222" s="132"/>
      <c r="H222" s="135"/>
      <c r="I222" s="134"/>
      <c r="J222" s="132"/>
      <c r="K222" s="132"/>
      <c r="L222" s="132"/>
      <c r="M222" s="132"/>
      <c r="N222" s="132"/>
      <c r="O222" s="132"/>
      <c r="P222" s="132"/>
      <c r="Q222" s="135"/>
      <c r="R222" s="136"/>
      <c r="S222" s="132"/>
      <c r="T222" s="132"/>
      <c r="U222" s="132"/>
      <c r="V222" s="132"/>
      <c r="W222" s="132"/>
      <c r="X222" s="142"/>
      <c r="Y222" s="273"/>
      <c r="Z222" s="273"/>
      <c r="AA222" s="273"/>
      <c r="AB222" s="273"/>
      <c r="AC222" s="273"/>
      <c r="AD222" s="273"/>
      <c r="AE222" s="273"/>
      <c r="AF222" s="273"/>
      <c r="AG222" s="273"/>
      <c r="AH222" s="273"/>
      <c r="AI222" s="273"/>
      <c r="AJ222" s="273"/>
      <c r="AK222" s="273"/>
      <c r="AL222" s="273"/>
      <c r="AM222" s="273"/>
      <c r="AN222" s="273"/>
      <c r="AO222" s="273"/>
      <c r="AP222" s="273"/>
      <c r="AQ222" s="273"/>
      <c r="AR222" s="273"/>
      <c r="AS222" s="273"/>
      <c r="AT222" s="273"/>
      <c r="AU222" s="273"/>
      <c r="AV222" s="273"/>
    </row>
    <row r="223" spans="1:48" ht="12.75">
      <c r="A223" s="138"/>
      <c r="B223" s="31"/>
      <c r="C223" s="31"/>
      <c r="D223" s="31"/>
      <c r="E223" s="31"/>
      <c r="F223" s="31"/>
      <c r="G223" s="31"/>
      <c r="H223" s="129"/>
      <c r="I223" s="128"/>
      <c r="J223" s="31"/>
      <c r="K223" s="31"/>
      <c r="L223" s="31"/>
      <c r="M223" s="31"/>
      <c r="N223" s="31"/>
      <c r="O223" s="31"/>
      <c r="P223" s="31"/>
      <c r="Q223" s="129"/>
      <c r="R223" s="130"/>
      <c r="S223" s="31"/>
      <c r="T223" s="31"/>
      <c r="U223" s="31"/>
      <c r="V223" s="31"/>
      <c r="W223" s="31"/>
      <c r="X223" s="140"/>
      <c r="Y223" s="273"/>
      <c r="Z223" s="273"/>
      <c r="AA223" s="273"/>
      <c r="AB223" s="273"/>
      <c r="AC223" s="273"/>
      <c r="AD223" s="273"/>
      <c r="AE223" s="273"/>
      <c r="AF223" s="273"/>
      <c r="AG223" s="273"/>
      <c r="AH223" s="273"/>
      <c r="AI223" s="273"/>
      <c r="AJ223" s="273"/>
      <c r="AK223" s="273"/>
      <c r="AL223" s="273"/>
      <c r="AM223" s="273"/>
      <c r="AN223" s="273"/>
      <c r="AO223" s="273"/>
      <c r="AP223" s="273"/>
      <c r="AQ223" s="273"/>
      <c r="AR223" s="273"/>
      <c r="AS223" s="273"/>
      <c r="AT223" s="273"/>
      <c r="AU223" s="273"/>
      <c r="AV223" s="273"/>
    </row>
    <row r="224" spans="1:48" ht="12.75">
      <c r="A224" s="139"/>
      <c r="B224" s="132"/>
      <c r="C224" s="132"/>
      <c r="D224" s="132"/>
      <c r="E224" s="132"/>
      <c r="F224" s="132"/>
      <c r="G224" s="132"/>
      <c r="H224" s="135"/>
      <c r="I224" s="134"/>
      <c r="J224" s="132"/>
      <c r="K224" s="132"/>
      <c r="L224" s="132"/>
      <c r="M224" s="132"/>
      <c r="N224" s="132"/>
      <c r="O224" s="132"/>
      <c r="P224" s="132"/>
      <c r="Q224" s="135"/>
      <c r="R224" s="136"/>
      <c r="S224" s="132"/>
      <c r="T224" s="132"/>
      <c r="U224" s="132"/>
      <c r="V224" s="132"/>
      <c r="W224" s="132"/>
      <c r="X224" s="142"/>
      <c r="Y224" s="273"/>
      <c r="Z224" s="273"/>
      <c r="AA224" s="273"/>
      <c r="AB224" s="273"/>
      <c r="AC224" s="273"/>
      <c r="AD224" s="273"/>
      <c r="AE224" s="273"/>
      <c r="AF224" s="273"/>
      <c r="AG224" s="273"/>
      <c r="AH224" s="273"/>
      <c r="AI224" s="273"/>
      <c r="AJ224" s="273"/>
      <c r="AK224" s="273"/>
      <c r="AL224" s="273"/>
      <c r="AM224" s="273"/>
      <c r="AN224" s="273"/>
      <c r="AO224" s="273"/>
      <c r="AP224" s="273"/>
      <c r="AQ224" s="273"/>
      <c r="AR224" s="273"/>
      <c r="AS224" s="273"/>
      <c r="AT224" s="273"/>
      <c r="AU224" s="273"/>
      <c r="AV224" s="273"/>
    </row>
    <row r="225" spans="1:48" ht="12.75">
      <c r="A225" s="138"/>
      <c r="B225" s="31"/>
      <c r="C225" s="31"/>
      <c r="D225" s="31"/>
      <c r="E225" s="31"/>
      <c r="F225" s="31"/>
      <c r="G225" s="31"/>
      <c r="H225" s="129"/>
      <c r="I225" s="128"/>
      <c r="J225" s="31"/>
      <c r="K225" s="31"/>
      <c r="L225" s="31"/>
      <c r="M225" s="31"/>
      <c r="N225" s="31"/>
      <c r="O225" s="31"/>
      <c r="P225" s="31"/>
      <c r="Q225" s="129"/>
      <c r="R225" s="130"/>
      <c r="S225" s="31"/>
      <c r="T225" s="31"/>
      <c r="U225" s="31"/>
      <c r="V225" s="31"/>
      <c r="W225" s="31"/>
      <c r="X225" s="140"/>
      <c r="Y225" s="273"/>
      <c r="Z225" s="273"/>
      <c r="AA225" s="273"/>
      <c r="AB225" s="273"/>
      <c r="AC225" s="273"/>
      <c r="AD225" s="273"/>
      <c r="AE225" s="273"/>
      <c r="AF225" s="273"/>
      <c r="AG225" s="273"/>
      <c r="AH225" s="273"/>
      <c r="AI225" s="273"/>
      <c r="AJ225" s="273"/>
      <c r="AK225" s="273"/>
      <c r="AL225" s="273"/>
      <c r="AM225" s="273"/>
      <c r="AN225" s="273"/>
      <c r="AO225" s="273"/>
      <c r="AP225" s="273"/>
      <c r="AQ225" s="273"/>
      <c r="AR225" s="273"/>
      <c r="AS225" s="273"/>
      <c r="AT225" s="273"/>
      <c r="AU225" s="273"/>
      <c r="AV225" s="273"/>
    </row>
    <row r="226" spans="1:48" ht="12.75">
      <c r="A226" s="139"/>
      <c r="B226" s="132"/>
      <c r="C226" s="132"/>
      <c r="D226" s="132"/>
      <c r="E226" s="132"/>
      <c r="F226" s="132"/>
      <c r="G226" s="132"/>
      <c r="H226" s="135"/>
      <c r="I226" s="134"/>
      <c r="J226" s="132"/>
      <c r="K226" s="132"/>
      <c r="L226" s="132"/>
      <c r="M226" s="132"/>
      <c r="N226" s="132"/>
      <c r="O226" s="132"/>
      <c r="P226" s="132"/>
      <c r="Q226" s="135"/>
      <c r="R226" s="136"/>
      <c r="S226" s="132"/>
      <c r="T226" s="132"/>
      <c r="U226" s="132"/>
      <c r="V226" s="132"/>
      <c r="W226" s="132"/>
      <c r="X226" s="142"/>
      <c r="Y226" s="273"/>
      <c r="Z226" s="273"/>
      <c r="AA226" s="273"/>
      <c r="AB226" s="273"/>
      <c r="AC226" s="273"/>
      <c r="AD226" s="273"/>
      <c r="AE226" s="273"/>
      <c r="AF226" s="273"/>
      <c r="AG226" s="273"/>
      <c r="AH226" s="273"/>
      <c r="AI226" s="273"/>
      <c r="AJ226" s="273"/>
      <c r="AK226" s="273"/>
      <c r="AL226" s="273"/>
      <c r="AM226" s="273"/>
      <c r="AN226" s="273"/>
      <c r="AO226" s="273"/>
      <c r="AP226" s="273"/>
      <c r="AQ226" s="273"/>
      <c r="AR226" s="273"/>
      <c r="AS226" s="273"/>
      <c r="AT226" s="273"/>
      <c r="AU226" s="273"/>
      <c r="AV226" s="273"/>
    </row>
    <row r="227" spans="1:48" ht="12.75">
      <c r="A227" s="138"/>
      <c r="B227" s="31"/>
      <c r="C227" s="31"/>
      <c r="D227" s="31"/>
      <c r="E227" s="31"/>
      <c r="F227" s="31"/>
      <c r="G227" s="31"/>
      <c r="H227" s="129"/>
      <c r="I227" s="128"/>
      <c r="J227" s="31"/>
      <c r="K227" s="31"/>
      <c r="L227" s="31"/>
      <c r="M227" s="31"/>
      <c r="N227" s="31"/>
      <c r="O227" s="31"/>
      <c r="P227" s="31"/>
      <c r="Q227" s="129"/>
      <c r="R227" s="130"/>
      <c r="S227" s="31"/>
      <c r="T227" s="31"/>
      <c r="U227" s="31"/>
      <c r="V227" s="31"/>
      <c r="W227" s="31"/>
      <c r="X227" s="140"/>
      <c r="Y227" s="273"/>
      <c r="Z227" s="273"/>
      <c r="AA227" s="273"/>
      <c r="AB227" s="273"/>
      <c r="AC227" s="273"/>
      <c r="AD227" s="273"/>
      <c r="AE227" s="273"/>
      <c r="AF227" s="273"/>
      <c r="AG227" s="273"/>
      <c r="AH227" s="273"/>
      <c r="AI227" s="273"/>
      <c r="AJ227" s="273"/>
      <c r="AK227" s="273"/>
      <c r="AL227" s="273"/>
      <c r="AM227" s="273"/>
      <c r="AN227" s="273"/>
      <c r="AO227" s="273"/>
      <c r="AP227" s="273"/>
      <c r="AQ227" s="273"/>
      <c r="AR227" s="273"/>
      <c r="AS227" s="273"/>
      <c r="AT227" s="273"/>
      <c r="AU227" s="273"/>
      <c r="AV227" s="273"/>
    </row>
    <row r="228" spans="1:48" ht="12.75">
      <c r="A228" s="139"/>
      <c r="B228" s="132"/>
      <c r="C228" s="132"/>
      <c r="D228" s="132"/>
      <c r="E228" s="132"/>
      <c r="F228" s="132"/>
      <c r="G228" s="132"/>
      <c r="H228" s="135"/>
      <c r="I228" s="134"/>
      <c r="J228" s="132"/>
      <c r="K228" s="132"/>
      <c r="L228" s="132"/>
      <c r="M228" s="132"/>
      <c r="N228" s="132"/>
      <c r="O228" s="132"/>
      <c r="P228" s="132"/>
      <c r="Q228" s="135"/>
      <c r="R228" s="136"/>
      <c r="S228" s="132"/>
      <c r="T228" s="132"/>
      <c r="U228" s="132"/>
      <c r="V228" s="132"/>
      <c r="W228" s="132"/>
      <c r="X228" s="142"/>
      <c r="Y228" s="273"/>
      <c r="Z228" s="273"/>
      <c r="AA228" s="273"/>
      <c r="AB228" s="273"/>
      <c r="AC228" s="273"/>
      <c r="AD228" s="273"/>
      <c r="AE228" s="273"/>
      <c r="AF228" s="273"/>
      <c r="AG228" s="273"/>
      <c r="AH228" s="273"/>
      <c r="AI228" s="273"/>
      <c r="AJ228" s="273"/>
      <c r="AK228" s="273"/>
      <c r="AL228" s="273"/>
      <c r="AM228" s="273"/>
      <c r="AN228" s="273"/>
      <c r="AO228" s="273"/>
      <c r="AP228" s="273"/>
      <c r="AQ228" s="273"/>
      <c r="AR228" s="273"/>
      <c r="AS228" s="273"/>
      <c r="AT228" s="273"/>
      <c r="AU228" s="273"/>
      <c r="AV228" s="273"/>
    </row>
    <row r="229" spans="1:48" ht="12.75">
      <c r="A229" s="138"/>
      <c r="B229" s="31"/>
      <c r="C229" s="31"/>
      <c r="D229" s="31"/>
      <c r="E229" s="31"/>
      <c r="F229" s="31"/>
      <c r="G229" s="31"/>
      <c r="H229" s="129"/>
      <c r="I229" s="128"/>
      <c r="J229" s="31"/>
      <c r="K229" s="31"/>
      <c r="L229" s="31"/>
      <c r="M229" s="31"/>
      <c r="N229" s="31"/>
      <c r="O229" s="31"/>
      <c r="P229" s="31"/>
      <c r="Q229" s="129"/>
      <c r="R229" s="130"/>
      <c r="S229" s="31"/>
      <c r="T229" s="31"/>
      <c r="U229" s="31"/>
      <c r="V229" s="31"/>
      <c r="W229" s="31"/>
      <c r="X229" s="140"/>
      <c r="Y229" s="273"/>
      <c r="Z229" s="273"/>
      <c r="AA229" s="273"/>
      <c r="AB229" s="273"/>
      <c r="AC229" s="273"/>
      <c r="AD229" s="273"/>
      <c r="AE229" s="273"/>
      <c r="AF229" s="273"/>
      <c r="AG229" s="273"/>
      <c r="AH229" s="273"/>
      <c r="AI229" s="273"/>
      <c r="AJ229" s="273"/>
      <c r="AK229" s="273"/>
      <c r="AL229" s="273"/>
      <c r="AM229" s="273"/>
      <c r="AN229" s="273"/>
      <c r="AO229" s="273"/>
      <c r="AP229" s="273"/>
      <c r="AQ229" s="273"/>
      <c r="AR229" s="273"/>
      <c r="AS229" s="273"/>
      <c r="AT229" s="273"/>
      <c r="AU229" s="273"/>
      <c r="AV229" s="273"/>
    </row>
    <row r="230" spans="1:48" ht="12.75">
      <c r="A230" s="139"/>
      <c r="B230" s="132"/>
      <c r="C230" s="132"/>
      <c r="D230" s="132"/>
      <c r="E230" s="132"/>
      <c r="F230" s="132"/>
      <c r="G230" s="132"/>
      <c r="H230" s="135"/>
      <c r="I230" s="134"/>
      <c r="J230" s="132"/>
      <c r="K230" s="132"/>
      <c r="L230" s="132"/>
      <c r="M230" s="132"/>
      <c r="N230" s="132"/>
      <c r="O230" s="132"/>
      <c r="P230" s="132"/>
      <c r="Q230" s="135"/>
      <c r="R230" s="136"/>
      <c r="S230" s="132"/>
      <c r="T230" s="132"/>
      <c r="U230" s="132"/>
      <c r="V230" s="132"/>
      <c r="W230" s="132"/>
      <c r="X230" s="142"/>
      <c r="Y230" s="273"/>
      <c r="Z230" s="273"/>
      <c r="AA230" s="273"/>
      <c r="AB230" s="273"/>
      <c r="AC230" s="273"/>
      <c r="AD230" s="273"/>
      <c r="AE230" s="273"/>
      <c r="AF230" s="273"/>
      <c r="AG230" s="273"/>
      <c r="AH230" s="273"/>
      <c r="AI230" s="273"/>
      <c r="AJ230" s="273"/>
      <c r="AK230" s="273"/>
      <c r="AL230" s="273"/>
      <c r="AM230" s="273"/>
      <c r="AN230" s="273"/>
      <c r="AO230" s="273"/>
      <c r="AP230" s="273"/>
      <c r="AQ230" s="273"/>
      <c r="AR230" s="273"/>
      <c r="AS230" s="273"/>
      <c r="AT230" s="273"/>
      <c r="AU230" s="273"/>
      <c r="AV230" s="273"/>
    </row>
    <row r="231" spans="1:48" ht="12.75">
      <c r="A231" s="138"/>
      <c r="B231" s="31"/>
      <c r="C231" s="31"/>
      <c r="D231" s="31"/>
      <c r="E231" s="31"/>
      <c r="F231" s="31"/>
      <c r="G231" s="31"/>
      <c r="H231" s="129"/>
      <c r="I231" s="128"/>
      <c r="J231" s="31"/>
      <c r="K231" s="31"/>
      <c r="L231" s="31"/>
      <c r="M231" s="31"/>
      <c r="N231" s="31"/>
      <c r="O231" s="31"/>
      <c r="P231" s="31"/>
      <c r="Q231" s="129"/>
      <c r="R231" s="130"/>
      <c r="S231" s="31"/>
      <c r="T231" s="31"/>
      <c r="U231" s="31"/>
      <c r="V231" s="31"/>
      <c r="W231" s="31"/>
      <c r="X231" s="140"/>
      <c r="Y231" s="273"/>
      <c r="Z231" s="273"/>
      <c r="AA231" s="273"/>
      <c r="AB231" s="273"/>
      <c r="AC231" s="273"/>
      <c r="AD231" s="273"/>
      <c r="AE231" s="273"/>
      <c r="AF231" s="273"/>
      <c r="AG231" s="273"/>
      <c r="AH231" s="273"/>
      <c r="AI231" s="273"/>
      <c r="AJ231" s="273"/>
      <c r="AK231" s="273"/>
      <c r="AL231" s="273"/>
      <c r="AM231" s="273"/>
      <c r="AN231" s="273"/>
      <c r="AO231" s="273"/>
      <c r="AP231" s="273"/>
      <c r="AQ231" s="273"/>
      <c r="AR231" s="273"/>
      <c r="AS231" s="273"/>
      <c r="AT231" s="273"/>
      <c r="AU231" s="273"/>
      <c r="AV231" s="273"/>
    </row>
    <row r="232" spans="1:48" ht="12.75">
      <c r="A232" s="139"/>
      <c r="B232" s="132"/>
      <c r="C232" s="132"/>
      <c r="D232" s="132"/>
      <c r="E232" s="132"/>
      <c r="F232" s="132"/>
      <c r="G232" s="132"/>
      <c r="H232" s="135"/>
      <c r="I232" s="134"/>
      <c r="J232" s="132"/>
      <c r="K232" s="132"/>
      <c r="L232" s="132"/>
      <c r="M232" s="132"/>
      <c r="N232" s="132"/>
      <c r="O232" s="132"/>
      <c r="P232" s="132"/>
      <c r="Q232" s="135"/>
      <c r="R232" s="136"/>
      <c r="S232" s="132"/>
      <c r="T232" s="132"/>
      <c r="U232" s="132"/>
      <c r="V232" s="132"/>
      <c r="W232" s="132"/>
      <c r="X232" s="142"/>
      <c r="Y232" s="273"/>
      <c r="Z232" s="273"/>
      <c r="AA232" s="273"/>
      <c r="AB232" s="273"/>
      <c r="AC232" s="273"/>
      <c r="AD232" s="273"/>
      <c r="AE232" s="273"/>
      <c r="AF232" s="273"/>
      <c r="AG232" s="273"/>
      <c r="AH232" s="273"/>
      <c r="AI232" s="273"/>
      <c r="AJ232" s="273"/>
      <c r="AK232" s="273"/>
      <c r="AL232" s="273"/>
      <c r="AM232" s="273"/>
      <c r="AN232" s="273"/>
      <c r="AO232" s="273"/>
      <c r="AP232" s="273"/>
      <c r="AQ232" s="273"/>
      <c r="AR232" s="273"/>
      <c r="AS232" s="273"/>
      <c r="AT232" s="273"/>
      <c r="AU232" s="273"/>
      <c r="AV232" s="273"/>
    </row>
    <row r="233" spans="1:48" ht="12.75">
      <c r="A233" s="138"/>
      <c r="B233" s="31"/>
      <c r="C233" s="31"/>
      <c r="D233" s="31"/>
      <c r="E233" s="31"/>
      <c r="F233" s="31"/>
      <c r="G233" s="31"/>
      <c r="H233" s="129"/>
      <c r="I233" s="128"/>
      <c r="J233" s="31"/>
      <c r="K233" s="31"/>
      <c r="L233" s="31"/>
      <c r="M233" s="31"/>
      <c r="N233" s="31"/>
      <c r="O233" s="31"/>
      <c r="P233" s="31"/>
      <c r="Q233" s="129"/>
      <c r="R233" s="130"/>
      <c r="S233" s="31"/>
      <c r="T233" s="31"/>
      <c r="U233" s="31"/>
      <c r="V233" s="31"/>
      <c r="W233" s="31"/>
      <c r="X233" s="140"/>
      <c r="Y233" s="273"/>
      <c r="Z233" s="273"/>
      <c r="AA233" s="273"/>
      <c r="AB233" s="273"/>
      <c r="AC233" s="273"/>
      <c r="AD233" s="273"/>
      <c r="AE233" s="273"/>
      <c r="AF233" s="273"/>
      <c r="AG233" s="273"/>
      <c r="AH233" s="273"/>
      <c r="AI233" s="273"/>
      <c r="AJ233" s="273"/>
      <c r="AK233" s="273"/>
      <c r="AL233" s="273"/>
      <c r="AM233" s="273"/>
      <c r="AN233" s="273"/>
      <c r="AO233" s="273"/>
      <c r="AP233" s="273"/>
      <c r="AQ233" s="273"/>
      <c r="AR233" s="273"/>
      <c r="AS233" s="273"/>
      <c r="AT233" s="273"/>
      <c r="AU233" s="273"/>
      <c r="AV233" s="273"/>
    </row>
    <row r="234" spans="1:48" ht="12.75">
      <c r="A234" s="139"/>
      <c r="B234" s="132"/>
      <c r="C234" s="132"/>
      <c r="D234" s="132"/>
      <c r="E234" s="132"/>
      <c r="F234" s="132"/>
      <c r="G234" s="132"/>
      <c r="H234" s="135"/>
      <c r="I234" s="134"/>
      <c r="J234" s="132"/>
      <c r="K234" s="132"/>
      <c r="L234" s="132"/>
      <c r="M234" s="132"/>
      <c r="N234" s="132"/>
      <c r="O234" s="132"/>
      <c r="P234" s="132"/>
      <c r="Q234" s="135"/>
      <c r="R234" s="136"/>
      <c r="S234" s="132"/>
      <c r="T234" s="132"/>
      <c r="U234" s="132"/>
      <c r="V234" s="132"/>
      <c r="W234" s="132"/>
      <c r="X234" s="142"/>
      <c r="Y234" s="273"/>
      <c r="Z234" s="273"/>
      <c r="AA234" s="273"/>
      <c r="AB234" s="273"/>
      <c r="AC234" s="273"/>
      <c r="AD234" s="273"/>
      <c r="AE234" s="273"/>
      <c r="AF234" s="273"/>
      <c r="AG234" s="273"/>
      <c r="AH234" s="273"/>
      <c r="AI234" s="273"/>
      <c r="AJ234" s="273"/>
      <c r="AK234" s="273"/>
      <c r="AL234" s="273"/>
      <c r="AM234" s="273"/>
      <c r="AN234" s="273"/>
      <c r="AO234" s="273"/>
      <c r="AP234" s="273"/>
      <c r="AQ234" s="273"/>
      <c r="AR234" s="273"/>
      <c r="AS234" s="273"/>
      <c r="AT234" s="273"/>
      <c r="AU234" s="273"/>
      <c r="AV234" s="273"/>
    </row>
    <row r="235" spans="1:48" ht="12.75">
      <c r="A235" s="138"/>
      <c r="B235" s="31"/>
      <c r="C235" s="31"/>
      <c r="D235" s="31"/>
      <c r="E235" s="31"/>
      <c r="F235" s="31"/>
      <c r="G235" s="31"/>
      <c r="H235" s="129"/>
      <c r="I235" s="128"/>
      <c r="J235" s="31"/>
      <c r="K235" s="31"/>
      <c r="L235" s="31"/>
      <c r="M235" s="31"/>
      <c r="N235" s="31"/>
      <c r="O235" s="31"/>
      <c r="P235" s="31"/>
      <c r="Q235" s="129"/>
      <c r="R235" s="130"/>
      <c r="S235" s="31"/>
      <c r="T235" s="31"/>
      <c r="U235" s="31"/>
      <c r="V235" s="31"/>
      <c r="W235" s="31"/>
      <c r="X235" s="140"/>
      <c r="Y235" s="273"/>
      <c r="Z235" s="273"/>
      <c r="AA235" s="273"/>
      <c r="AB235" s="273"/>
      <c r="AC235" s="273"/>
      <c r="AD235" s="273"/>
      <c r="AE235" s="273"/>
      <c r="AF235" s="273"/>
      <c r="AG235" s="273"/>
      <c r="AH235" s="273"/>
      <c r="AI235" s="273"/>
      <c r="AJ235" s="273"/>
      <c r="AK235" s="273"/>
      <c r="AL235" s="273"/>
      <c r="AM235" s="273"/>
      <c r="AN235" s="273"/>
      <c r="AO235" s="273"/>
      <c r="AP235" s="273"/>
      <c r="AQ235" s="273"/>
      <c r="AR235" s="273"/>
      <c r="AS235" s="273"/>
      <c r="AT235" s="273"/>
      <c r="AU235" s="273"/>
      <c r="AV235" s="273"/>
    </row>
    <row r="236" spans="1:48" ht="12.75">
      <c r="A236" s="139"/>
      <c r="B236" s="132"/>
      <c r="C236" s="132"/>
      <c r="D236" s="132"/>
      <c r="E236" s="132"/>
      <c r="F236" s="132"/>
      <c r="G236" s="132"/>
      <c r="H236" s="135"/>
      <c r="I236" s="134"/>
      <c r="J236" s="132"/>
      <c r="K236" s="132"/>
      <c r="L236" s="132"/>
      <c r="M236" s="132"/>
      <c r="N236" s="132"/>
      <c r="O236" s="132"/>
      <c r="P236" s="132"/>
      <c r="Q236" s="135"/>
      <c r="R236" s="136"/>
      <c r="S236" s="132"/>
      <c r="T236" s="132"/>
      <c r="U236" s="132"/>
      <c r="V236" s="132"/>
      <c r="W236" s="132"/>
      <c r="X236" s="142"/>
      <c r="Y236" s="273"/>
      <c r="Z236" s="273"/>
      <c r="AA236" s="273"/>
      <c r="AB236" s="273"/>
      <c r="AC236" s="273"/>
      <c r="AD236" s="273"/>
      <c r="AE236" s="273"/>
      <c r="AF236" s="273"/>
      <c r="AG236" s="273"/>
      <c r="AH236" s="273"/>
      <c r="AI236" s="273"/>
      <c r="AJ236" s="273"/>
      <c r="AK236" s="273"/>
      <c r="AL236" s="273"/>
      <c r="AM236" s="273"/>
      <c r="AN236" s="273"/>
      <c r="AO236" s="273"/>
      <c r="AP236" s="273"/>
      <c r="AQ236" s="273"/>
      <c r="AR236" s="273"/>
      <c r="AS236" s="273"/>
      <c r="AT236" s="273"/>
      <c r="AU236" s="273"/>
      <c r="AV236" s="273"/>
    </row>
    <row r="237" spans="1:48" ht="12.75">
      <c r="A237" s="138"/>
      <c r="B237" s="31"/>
      <c r="C237" s="31"/>
      <c r="D237" s="31"/>
      <c r="E237" s="31"/>
      <c r="F237" s="31"/>
      <c r="G237" s="31"/>
      <c r="H237" s="129"/>
      <c r="I237" s="128"/>
      <c r="J237" s="31"/>
      <c r="K237" s="31"/>
      <c r="L237" s="31"/>
      <c r="M237" s="31"/>
      <c r="N237" s="31"/>
      <c r="O237" s="31"/>
      <c r="P237" s="31"/>
      <c r="Q237" s="129"/>
      <c r="R237" s="130"/>
      <c r="S237" s="31"/>
      <c r="T237" s="31"/>
      <c r="U237" s="31"/>
      <c r="V237" s="31"/>
      <c r="W237" s="31"/>
      <c r="X237" s="140"/>
      <c r="Y237" s="273"/>
      <c r="Z237" s="273"/>
      <c r="AA237" s="273"/>
      <c r="AB237" s="273"/>
      <c r="AC237" s="273"/>
      <c r="AD237" s="273"/>
      <c r="AE237" s="273"/>
      <c r="AF237" s="273"/>
      <c r="AG237" s="273"/>
      <c r="AH237" s="273"/>
      <c r="AI237" s="273"/>
      <c r="AJ237" s="273"/>
      <c r="AK237" s="273"/>
      <c r="AL237" s="273"/>
      <c r="AM237" s="273"/>
      <c r="AN237" s="273"/>
      <c r="AO237" s="273"/>
      <c r="AP237" s="273"/>
      <c r="AQ237" s="273"/>
      <c r="AR237" s="273"/>
      <c r="AS237" s="273"/>
      <c r="AT237" s="273"/>
      <c r="AU237" s="273"/>
      <c r="AV237" s="273"/>
    </row>
    <row r="238" spans="1:48" ht="12.75">
      <c r="A238" s="139"/>
      <c r="B238" s="132"/>
      <c r="C238" s="132"/>
      <c r="D238" s="132"/>
      <c r="E238" s="132"/>
      <c r="F238" s="132"/>
      <c r="G238" s="132"/>
      <c r="H238" s="135"/>
      <c r="I238" s="134"/>
      <c r="J238" s="132"/>
      <c r="K238" s="132"/>
      <c r="L238" s="132"/>
      <c r="M238" s="132"/>
      <c r="N238" s="132"/>
      <c r="O238" s="132"/>
      <c r="P238" s="132"/>
      <c r="Q238" s="135"/>
      <c r="R238" s="136"/>
      <c r="S238" s="132"/>
      <c r="T238" s="132"/>
      <c r="U238" s="132"/>
      <c r="V238" s="132"/>
      <c r="W238" s="132"/>
      <c r="X238" s="142"/>
      <c r="Y238" s="273"/>
      <c r="Z238" s="273"/>
      <c r="AA238" s="273"/>
      <c r="AB238" s="273"/>
      <c r="AC238" s="273"/>
      <c r="AD238" s="273"/>
      <c r="AE238" s="273"/>
      <c r="AF238" s="273"/>
      <c r="AG238" s="273"/>
      <c r="AH238" s="273"/>
      <c r="AI238" s="273"/>
      <c r="AJ238" s="273"/>
      <c r="AK238" s="273"/>
      <c r="AL238" s="273"/>
      <c r="AM238" s="273"/>
      <c r="AN238" s="273"/>
      <c r="AO238" s="273"/>
      <c r="AP238" s="273"/>
      <c r="AQ238" s="273"/>
      <c r="AR238" s="273"/>
      <c r="AS238" s="273"/>
      <c r="AT238" s="273"/>
      <c r="AU238" s="273"/>
      <c r="AV238" s="273"/>
    </row>
    <row r="239" spans="1:48" ht="12.75">
      <c r="A239" s="138"/>
      <c r="B239" s="31"/>
      <c r="C239" s="31"/>
      <c r="D239" s="31"/>
      <c r="E239" s="31"/>
      <c r="F239" s="31"/>
      <c r="G239" s="31"/>
      <c r="H239" s="129"/>
      <c r="I239" s="128"/>
      <c r="J239" s="31"/>
      <c r="K239" s="31"/>
      <c r="L239" s="31"/>
      <c r="M239" s="31"/>
      <c r="N239" s="31"/>
      <c r="O239" s="31"/>
      <c r="P239" s="31"/>
      <c r="Q239" s="129"/>
      <c r="R239" s="130"/>
      <c r="S239" s="31"/>
      <c r="T239" s="31"/>
      <c r="U239" s="31"/>
      <c r="V239" s="31"/>
      <c r="W239" s="31"/>
      <c r="X239" s="140"/>
      <c r="Y239" s="273"/>
      <c r="Z239" s="273"/>
      <c r="AA239" s="273"/>
      <c r="AB239" s="273"/>
      <c r="AC239" s="273"/>
      <c r="AD239" s="273"/>
      <c r="AE239" s="273"/>
      <c r="AF239" s="273"/>
      <c r="AG239" s="273"/>
      <c r="AH239" s="273"/>
      <c r="AI239" s="273"/>
      <c r="AJ239" s="273"/>
      <c r="AK239" s="273"/>
      <c r="AL239" s="273"/>
      <c r="AM239" s="273"/>
      <c r="AN239" s="273"/>
      <c r="AO239" s="273"/>
      <c r="AP239" s="273"/>
      <c r="AQ239" s="273"/>
      <c r="AR239" s="273"/>
      <c r="AS239" s="273"/>
      <c r="AT239" s="273"/>
      <c r="AU239" s="273"/>
      <c r="AV239" s="273"/>
    </row>
    <row r="240" spans="1:48" ht="12.75">
      <c r="A240" s="139"/>
      <c r="B240" s="132"/>
      <c r="C240" s="132"/>
      <c r="D240" s="132"/>
      <c r="E240" s="132"/>
      <c r="F240" s="132"/>
      <c r="G240" s="132"/>
      <c r="H240" s="135"/>
      <c r="I240" s="134"/>
      <c r="J240" s="132"/>
      <c r="K240" s="132"/>
      <c r="L240" s="132"/>
      <c r="M240" s="132"/>
      <c r="N240" s="132"/>
      <c r="O240" s="132"/>
      <c r="P240" s="132"/>
      <c r="Q240" s="135"/>
      <c r="R240" s="136"/>
      <c r="S240" s="132"/>
      <c r="T240" s="132"/>
      <c r="U240" s="132"/>
      <c r="V240" s="132"/>
      <c r="W240" s="132"/>
      <c r="X240" s="142"/>
      <c r="Y240" s="273"/>
      <c r="Z240" s="273"/>
      <c r="AA240" s="273"/>
      <c r="AB240" s="273"/>
      <c r="AC240" s="273"/>
      <c r="AD240" s="273"/>
      <c r="AE240" s="273"/>
      <c r="AF240" s="273"/>
      <c r="AG240" s="273"/>
      <c r="AH240" s="273"/>
      <c r="AI240" s="273"/>
      <c r="AJ240" s="273"/>
      <c r="AK240" s="273"/>
      <c r="AL240" s="273"/>
      <c r="AM240" s="273"/>
      <c r="AN240" s="273"/>
      <c r="AO240" s="273"/>
      <c r="AP240" s="273"/>
      <c r="AQ240" s="273"/>
      <c r="AR240" s="273"/>
      <c r="AS240" s="273"/>
      <c r="AT240" s="273"/>
      <c r="AU240" s="273"/>
      <c r="AV240" s="273"/>
    </row>
    <row r="241" spans="1:48" ht="12.75">
      <c r="A241" s="138"/>
      <c r="B241" s="31"/>
      <c r="C241" s="31"/>
      <c r="D241" s="31"/>
      <c r="E241" s="31"/>
      <c r="F241" s="31"/>
      <c r="G241" s="31"/>
      <c r="H241" s="129"/>
      <c r="I241" s="128"/>
      <c r="J241" s="31"/>
      <c r="K241" s="31"/>
      <c r="L241" s="31"/>
      <c r="M241" s="31"/>
      <c r="N241" s="31"/>
      <c r="O241" s="31"/>
      <c r="P241" s="31"/>
      <c r="Q241" s="129"/>
      <c r="R241" s="130"/>
      <c r="S241" s="31"/>
      <c r="T241" s="31"/>
      <c r="U241" s="31"/>
      <c r="V241" s="31"/>
      <c r="W241" s="31"/>
      <c r="X241" s="140"/>
      <c r="Y241" s="273"/>
      <c r="Z241" s="273"/>
      <c r="AA241" s="273"/>
      <c r="AB241" s="273"/>
      <c r="AC241" s="273"/>
      <c r="AD241" s="273"/>
      <c r="AE241" s="273"/>
      <c r="AF241" s="273"/>
      <c r="AG241" s="273"/>
      <c r="AH241" s="273"/>
      <c r="AI241" s="273"/>
      <c r="AJ241" s="273"/>
      <c r="AK241" s="273"/>
      <c r="AL241" s="273"/>
      <c r="AM241" s="273"/>
      <c r="AN241" s="273"/>
      <c r="AO241" s="273"/>
      <c r="AP241" s="273"/>
      <c r="AQ241" s="273"/>
      <c r="AR241" s="273"/>
      <c r="AS241" s="273"/>
      <c r="AT241" s="273"/>
      <c r="AU241" s="273"/>
      <c r="AV241" s="273"/>
    </row>
    <row r="242" spans="1:48" ht="12.75">
      <c r="A242" s="139"/>
      <c r="B242" s="132"/>
      <c r="C242" s="132"/>
      <c r="D242" s="132"/>
      <c r="E242" s="132"/>
      <c r="F242" s="132"/>
      <c r="G242" s="132"/>
      <c r="H242" s="135"/>
      <c r="I242" s="134"/>
      <c r="J242" s="132"/>
      <c r="K242" s="132"/>
      <c r="L242" s="132"/>
      <c r="M242" s="132"/>
      <c r="N242" s="132"/>
      <c r="O242" s="132"/>
      <c r="P242" s="132"/>
      <c r="Q242" s="135"/>
      <c r="R242" s="136"/>
      <c r="S242" s="132"/>
      <c r="T242" s="132"/>
      <c r="U242" s="132"/>
      <c r="V242" s="132"/>
      <c r="W242" s="132"/>
      <c r="X242" s="142"/>
      <c r="Y242" s="273"/>
      <c r="Z242" s="273"/>
      <c r="AA242" s="273"/>
      <c r="AB242" s="273"/>
      <c r="AC242" s="273"/>
      <c r="AD242" s="273"/>
      <c r="AE242" s="273"/>
      <c r="AF242" s="273"/>
      <c r="AG242" s="273"/>
      <c r="AH242" s="273"/>
      <c r="AI242" s="273"/>
      <c r="AJ242" s="273"/>
      <c r="AK242" s="273"/>
      <c r="AL242" s="273"/>
      <c r="AM242" s="273"/>
      <c r="AN242" s="273"/>
      <c r="AO242" s="273"/>
      <c r="AP242" s="273"/>
      <c r="AQ242" s="273"/>
      <c r="AR242" s="273"/>
      <c r="AS242" s="273"/>
      <c r="AT242" s="273"/>
      <c r="AU242" s="273"/>
      <c r="AV242" s="273"/>
    </row>
    <row r="243" spans="1:48" ht="12.75">
      <c r="A243" s="138"/>
      <c r="B243" s="31"/>
      <c r="C243" s="31"/>
      <c r="D243" s="31"/>
      <c r="E243" s="31"/>
      <c r="F243" s="31"/>
      <c r="G243" s="31"/>
      <c r="H243" s="129"/>
      <c r="I243" s="128"/>
      <c r="J243" s="31"/>
      <c r="K243" s="31"/>
      <c r="L243" s="31"/>
      <c r="M243" s="31"/>
      <c r="N243" s="31"/>
      <c r="O243" s="31"/>
      <c r="P243" s="31"/>
      <c r="Q243" s="129"/>
      <c r="R243" s="130"/>
      <c r="S243" s="31"/>
      <c r="T243" s="31"/>
      <c r="U243" s="31"/>
      <c r="V243" s="31"/>
      <c r="W243" s="31"/>
      <c r="X243" s="140"/>
      <c r="Y243" s="273"/>
      <c r="Z243" s="273"/>
      <c r="AA243" s="273"/>
      <c r="AB243" s="273"/>
      <c r="AC243" s="273"/>
      <c r="AD243" s="273"/>
      <c r="AE243" s="273"/>
      <c r="AF243" s="273"/>
      <c r="AG243" s="273"/>
      <c r="AH243" s="273"/>
      <c r="AI243" s="273"/>
      <c r="AJ243" s="273"/>
      <c r="AK243" s="273"/>
      <c r="AL243" s="273"/>
      <c r="AM243" s="273"/>
      <c r="AN243" s="273"/>
      <c r="AO243" s="273"/>
      <c r="AP243" s="273"/>
      <c r="AQ243" s="273"/>
      <c r="AR243" s="273"/>
      <c r="AS243" s="273"/>
      <c r="AT243" s="273"/>
      <c r="AU243" s="273"/>
      <c r="AV243" s="273"/>
    </row>
    <row r="244" spans="1:48" ht="12.75">
      <c r="A244" s="139"/>
      <c r="B244" s="132"/>
      <c r="C244" s="132"/>
      <c r="D244" s="132"/>
      <c r="E244" s="132"/>
      <c r="F244" s="132"/>
      <c r="G244" s="132"/>
      <c r="H244" s="135"/>
      <c r="I244" s="134"/>
      <c r="J244" s="132"/>
      <c r="K244" s="132"/>
      <c r="L244" s="132"/>
      <c r="M244" s="132"/>
      <c r="N244" s="132"/>
      <c r="O244" s="132"/>
      <c r="P244" s="132"/>
      <c r="Q244" s="135"/>
      <c r="R244" s="136"/>
      <c r="S244" s="132"/>
      <c r="T244" s="132"/>
      <c r="U244" s="132"/>
      <c r="V244" s="132"/>
      <c r="W244" s="132"/>
      <c r="X244" s="142"/>
      <c r="Y244" s="273"/>
      <c r="Z244" s="273"/>
      <c r="AA244" s="273"/>
      <c r="AB244" s="273"/>
      <c r="AC244" s="273"/>
      <c r="AD244" s="273"/>
      <c r="AE244" s="273"/>
      <c r="AF244" s="273"/>
      <c r="AG244" s="273"/>
      <c r="AH244" s="273"/>
      <c r="AI244" s="273"/>
      <c r="AJ244" s="273"/>
      <c r="AK244" s="273"/>
      <c r="AL244" s="273"/>
      <c r="AM244" s="273"/>
      <c r="AN244" s="273"/>
      <c r="AO244" s="273"/>
      <c r="AP244" s="273"/>
      <c r="AQ244" s="273"/>
      <c r="AR244" s="273"/>
      <c r="AS244" s="273"/>
      <c r="AT244" s="273"/>
      <c r="AU244" s="273"/>
      <c r="AV244" s="273"/>
    </row>
    <row r="245" spans="1:48" ht="12.75">
      <c r="A245" s="138"/>
      <c r="B245" s="31"/>
      <c r="C245" s="31"/>
      <c r="D245" s="31"/>
      <c r="E245" s="31"/>
      <c r="F245" s="31"/>
      <c r="G245" s="31"/>
      <c r="H245" s="129"/>
      <c r="I245" s="128"/>
      <c r="J245" s="31"/>
      <c r="K245" s="31"/>
      <c r="L245" s="31"/>
      <c r="M245" s="31"/>
      <c r="N245" s="31"/>
      <c r="O245" s="31"/>
      <c r="P245" s="31"/>
      <c r="Q245" s="129"/>
      <c r="R245" s="130"/>
      <c r="S245" s="31"/>
      <c r="T245" s="31"/>
      <c r="U245" s="31"/>
      <c r="V245" s="31"/>
      <c r="W245" s="31"/>
      <c r="X245" s="140"/>
      <c r="Y245" s="273"/>
      <c r="Z245" s="273"/>
      <c r="AA245" s="273"/>
      <c r="AB245" s="273"/>
      <c r="AC245" s="273"/>
      <c r="AD245" s="273"/>
      <c r="AE245" s="273"/>
      <c r="AF245" s="273"/>
      <c r="AG245" s="273"/>
      <c r="AH245" s="273"/>
      <c r="AI245" s="273"/>
      <c r="AJ245" s="273"/>
      <c r="AK245" s="273"/>
      <c r="AL245" s="273"/>
      <c r="AM245" s="273"/>
      <c r="AN245" s="273"/>
      <c r="AO245" s="273"/>
      <c r="AP245" s="273"/>
      <c r="AQ245" s="273"/>
      <c r="AR245" s="273"/>
      <c r="AS245" s="273"/>
      <c r="AT245" s="273"/>
      <c r="AU245" s="273"/>
      <c r="AV245" s="273"/>
    </row>
    <row r="246" spans="1:48" ht="12.75">
      <c r="A246" s="139"/>
      <c r="B246" s="132"/>
      <c r="C246" s="132"/>
      <c r="D246" s="132"/>
      <c r="E246" s="132"/>
      <c r="F246" s="132"/>
      <c r="G246" s="132"/>
      <c r="H246" s="135"/>
      <c r="I246" s="134"/>
      <c r="J246" s="132"/>
      <c r="K246" s="132"/>
      <c r="L246" s="132"/>
      <c r="M246" s="132"/>
      <c r="N246" s="132"/>
      <c r="O246" s="132"/>
      <c r="P246" s="132"/>
      <c r="Q246" s="135"/>
      <c r="R246" s="136"/>
      <c r="S246" s="132"/>
      <c r="T246" s="132"/>
      <c r="U246" s="132"/>
      <c r="V246" s="132"/>
      <c r="W246" s="132"/>
      <c r="X246" s="142"/>
      <c r="Y246" s="273"/>
      <c r="Z246" s="273"/>
      <c r="AA246" s="273"/>
      <c r="AB246" s="273"/>
      <c r="AC246" s="273"/>
      <c r="AD246" s="273"/>
      <c r="AE246" s="273"/>
      <c r="AF246" s="273"/>
      <c r="AG246" s="273"/>
      <c r="AH246" s="273"/>
      <c r="AI246" s="273"/>
      <c r="AJ246" s="273"/>
      <c r="AK246" s="273"/>
      <c r="AL246" s="273"/>
      <c r="AM246" s="273"/>
      <c r="AN246" s="273"/>
      <c r="AO246" s="273"/>
      <c r="AP246" s="273"/>
      <c r="AQ246" s="273"/>
      <c r="AR246" s="273"/>
      <c r="AS246" s="273"/>
      <c r="AT246" s="273"/>
      <c r="AU246" s="273"/>
      <c r="AV246" s="273"/>
    </row>
    <row r="247" spans="1:48" ht="12.75">
      <c r="A247" s="138"/>
      <c r="B247" s="31"/>
      <c r="C247" s="31"/>
      <c r="D247" s="31"/>
      <c r="E247" s="31"/>
      <c r="F247" s="31"/>
      <c r="G247" s="31"/>
      <c r="H247" s="129"/>
      <c r="I247" s="128"/>
      <c r="J247" s="31"/>
      <c r="K247" s="31"/>
      <c r="L247" s="31"/>
      <c r="M247" s="31"/>
      <c r="N247" s="31"/>
      <c r="O247" s="31"/>
      <c r="P247" s="31"/>
      <c r="Q247" s="129"/>
      <c r="R247" s="130"/>
      <c r="S247" s="31"/>
      <c r="T247" s="31"/>
      <c r="U247" s="31"/>
      <c r="V247" s="31"/>
      <c r="W247" s="31"/>
      <c r="X247" s="140"/>
      <c r="Y247" s="273"/>
      <c r="Z247" s="273"/>
      <c r="AA247" s="273"/>
      <c r="AB247" s="273"/>
      <c r="AC247" s="273"/>
      <c r="AD247" s="273"/>
      <c r="AE247" s="273"/>
      <c r="AF247" s="273"/>
      <c r="AG247" s="273"/>
      <c r="AH247" s="273"/>
      <c r="AI247" s="273"/>
      <c r="AJ247" s="273"/>
      <c r="AK247" s="273"/>
      <c r="AL247" s="273"/>
      <c r="AM247" s="273"/>
      <c r="AN247" s="273"/>
      <c r="AO247" s="273"/>
      <c r="AP247" s="273"/>
      <c r="AQ247" s="273"/>
      <c r="AR247" s="273"/>
      <c r="AS247" s="273"/>
      <c r="AT247" s="273"/>
      <c r="AU247" s="273"/>
      <c r="AV247" s="273"/>
    </row>
    <row r="248" spans="1:48" ht="12.75">
      <c r="A248" s="139"/>
      <c r="B248" s="132"/>
      <c r="C248" s="132"/>
      <c r="D248" s="132"/>
      <c r="E248" s="132"/>
      <c r="F248" s="132"/>
      <c r="G248" s="132"/>
      <c r="H248" s="135"/>
      <c r="I248" s="134"/>
      <c r="J248" s="132"/>
      <c r="K248" s="132"/>
      <c r="L248" s="132"/>
      <c r="M248" s="132"/>
      <c r="N248" s="132"/>
      <c r="O248" s="132"/>
      <c r="P248" s="132"/>
      <c r="Q248" s="135"/>
      <c r="R248" s="136"/>
      <c r="S248" s="132"/>
      <c r="T248" s="132"/>
      <c r="U248" s="132"/>
      <c r="V248" s="132"/>
      <c r="W248" s="132"/>
      <c r="X248" s="142"/>
      <c r="Y248" s="273"/>
      <c r="Z248" s="273"/>
      <c r="AA248" s="273"/>
      <c r="AB248" s="273"/>
      <c r="AC248" s="273"/>
      <c r="AD248" s="273"/>
      <c r="AE248" s="273"/>
      <c r="AF248" s="273"/>
      <c r="AG248" s="273"/>
      <c r="AH248" s="273"/>
      <c r="AI248" s="273"/>
      <c r="AJ248" s="273"/>
      <c r="AK248" s="273"/>
      <c r="AL248" s="273"/>
      <c r="AM248" s="273"/>
      <c r="AN248" s="273"/>
      <c r="AO248" s="273"/>
      <c r="AP248" s="273"/>
      <c r="AQ248" s="273"/>
      <c r="AR248" s="273"/>
      <c r="AS248" s="273"/>
      <c r="AT248" s="273"/>
      <c r="AU248" s="273"/>
      <c r="AV248" s="273"/>
    </row>
    <row r="249" spans="1:48" ht="12.75">
      <c r="A249" s="138"/>
      <c r="B249" s="31"/>
      <c r="C249" s="31"/>
      <c r="D249" s="31"/>
      <c r="E249" s="31"/>
      <c r="F249" s="31"/>
      <c r="G249" s="31"/>
      <c r="H249" s="129"/>
      <c r="I249" s="128"/>
      <c r="J249" s="31"/>
      <c r="K249" s="31"/>
      <c r="L249" s="31"/>
      <c r="M249" s="31"/>
      <c r="N249" s="31"/>
      <c r="O249" s="31"/>
      <c r="P249" s="31"/>
      <c r="Q249" s="129"/>
      <c r="R249" s="130"/>
      <c r="S249" s="31"/>
      <c r="T249" s="31"/>
      <c r="U249" s="31"/>
      <c r="V249" s="31"/>
      <c r="W249" s="31"/>
      <c r="X249" s="140"/>
      <c r="Y249" s="273"/>
      <c r="Z249" s="273"/>
      <c r="AA249" s="273"/>
      <c r="AB249" s="273"/>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row>
    <row r="250" spans="1:48" ht="12.75">
      <c r="A250" s="139"/>
      <c r="B250" s="132"/>
      <c r="C250" s="132"/>
      <c r="D250" s="132"/>
      <c r="E250" s="132"/>
      <c r="F250" s="132"/>
      <c r="G250" s="132"/>
      <c r="H250" s="135"/>
      <c r="I250" s="134"/>
      <c r="J250" s="132"/>
      <c r="K250" s="132"/>
      <c r="L250" s="132"/>
      <c r="M250" s="132"/>
      <c r="N250" s="132"/>
      <c r="O250" s="132"/>
      <c r="P250" s="132"/>
      <c r="Q250" s="135"/>
      <c r="R250" s="136"/>
      <c r="S250" s="132"/>
      <c r="T250" s="132"/>
      <c r="U250" s="132"/>
      <c r="V250" s="132"/>
      <c r="W250" s="132"/>
      <c r="X250" s="142"/>
      <c r="Y250" s="273"/>
      <c r="Z250" s="273"/>
      <c r="AA250" s="273"/>
      <c r="AB250" s="273"/>
      <c r="AC250" s="273"/>
      <c r="AD250" s="273"/>
      <c r="AE250" s="273"/>
      <c r="AF250" s="273"/>
      <c r="AG250" s="273"/>
      <c r="AH250" s="273"/>
      <c r="AI250" s="273"/>
      <c r="AJ250" s="273"/>
      <c r="AK250" s="273"/>
      <c r="AL250" s="273"/>
      <c r="AM250" s="273"/>
      <c r="AN250" s="273"/>
      <c r="AO250" s="273"/>
      <c r="AP250" s="273"/>
      <c r="AQ250" s="273"/>
      <c r="AR250" s="273"/>
      <c r="AS250" s="273"/>
      <c r="AT250" s="273"/>
      <c r="AU250" s="273"/>
      <c r="AV250" s="273"/>
    </row>
    <row r="251" spans="1:48" ht="12.75">
      <c r="A251" s="138"/>
      <c r="B251" s="31"/>
      <c r="C251" s="31"/>
      <c r="D251" s="31"/>
      <c r="E251" s="31"/>
      <c r="F251" s="31"/>
      <c r="G251" s="31"/>
      <c r="H251" s="129"/>
      <c r="I251" s="128"/>
      <c r="J251" s="31"/>
      <c r="K251" s="31"/>
      <c r="L251" s="31"/>
      <c r="M251" s="31"/>
      <c r="N251" s="31"/>
      <c r="O251" s="31"/>
      <c r="P251" s="31"/>
      <c r="Q251" s="129"/>
      <c r="R251" s="130"/>
      <c r="S251" s="31"/>
      <c r="T251" s="31"/>
      <c r="U251" s="31"/>
      <c r="V251" s="31"/>
      <c r="W251" s="31"/>
      <c r="X251" s="140"/>
      <c r="Y251" s="273"/>
      <c r="Z251" s="273"/>
      <c r="AA251" s="273"/>
      <c r="AB251" s="273"/>
      <c r="AC251" s="273"/>
      <c r="AD251" s="273"/>
      <c r="AE251" s="273"/>
      <c r="AF251" s="273"/>
      <c r="AG251" s="273"/>
      <c r="AH251" s="273"/>
      <c r="AI251" s="273"/>
      <c r="AJ251" s="273"/>
      <c r="AK251" s="273"/>
      <c r="AL251" s="273"/>
      <c r="AM251" s="273"/>
      <c r="AN251" s="273"/>
      <c r="AO251" s="273"/>
      <c r="AP251" s="273"/>
      <c r="AQ251" s="273"/>
      <c r="AR251" s="273"/>
      <c r="AS251" s="273"/>
      <c r="AT251" s="273"/>
      <c r="AU251" s="273"/>
      <c r="AV251" s="273"/>
    </row>
    <row r="252" spans="1:48" ht="12.75">
      <c r="A252" s="139"/>
      <c r="B252" s="132"/>
      <c r="C252" s="132"/>
      <c r="D252" s="132"/>
      <c r="E252" s="132"/>
      <c r="F252" s="132"/>
      <c r="G252" s="132"/>
      <c r="H252" s="135"/>
      <c r="I252" s="134"/>
      <c r="J252" s="132"/>
      <c r="K252" s="132"/>
      <c r="L252" s="132"/>
      <c r="M252" s="132"/>
      <c r="N252" s="132"/>
      <c r="O252" s="132"/>
      <c r="P252" s="132"/>
      <c r="Q252" s="135"/>
      <c r="R252" s="136"/>
      <c r="S252" s="132"/>
      <c r="T252" s="132"/>
      <c r="U252" s="132"/>
      <c r="V252" s="132"/>
      <c r="W252" s="132"/>
      <c r="X252" s="142"/>
      <c r="Y252" s="273"/>
      <c r="Z252" s="273"/>
      <c r="AA252" s="273"/>
      <c r="AB252" s="273"/>
      <c r="AC252" s="273"/>
      <c r="AD252" s="273"/>
      <c r="AE252" s="273"/>
      <c r="AF252" s="273"/>
      <c r="AG252" s="273"/>
      <c r="AH252" s="273"/>
      <c r="AI252" s="273"/>
      <c r="AJ252" s="273"/>
      <c r="AK252" s="273"/>
      <c r="AL252" s="273"/>
      <c r="AM252" s="273"/>
      <c r="AN252" s="273"/>
      <c r="AO252" s="273"/>
      <c r="AP252" s="273"/>
      <c r="AQ252" s="273"/>
      <c r="AR252" s="273"/>
      <c r="AS252" s="273"/>
      <c r="AT252" s="273"/>
      <c r="AU252" s="273"/>
      <c r="AV252" s="273"/>
    </row>
    <row r="253" spans="1:48" ht="12.75">
      <c r="A253" s="138"/>
      <c r="B253" s="31"/>
      <c r="C253" s="31"/>
      <c r="D253" s="31"/>
      <c r="E253" s="31"/>
      <c r="F253" s="31"/>
      <c r="G253" s="31"/>
      <c r="H253" s="129"/>
      <c r="I253" s="128"/>
      <c r="J253" s="31"/>
      <c r="K253" s="31"/>
      <c r="L253" s="31"/>
      <c r="M253" s="31"/>
      <c r="N253" s="31"/>
      <c r="O253" s="31"/>
      <c r="P253" s="31"/>
      <c r="Q253" s="129"/>
      <c r="R253" s="130"/>
      <c r="S253" s="31"/>
      <c r="T253" s="31"/>
      <c r="U253" s="31"/>
      <c r="V253" s="31"/>
      <c r="W253" s="31"/>
      <c r="X253" s="140"/>
      <c r="Y253" s="273"/>
      <c r="Z253" s="273"/>
      <c r="AA253" s="273"/>
      <c r="AB253" s="273"/>
      <c r="AC253" s="273"/>
      <c r="AD253" s="273"/>
      <c r="AE253" s="273"/>
      <c r="AF253" s="273"/>
      <c r="AG253" s="273"/>
      <c r="AH253" s="273"/>
      <c r="AI253" s="273"/>
      <c r="AJ253" s="273"/>
      <c r="AK253" s="273"/>
      <c r="AL253" s="273"/>
      <c r="AM253" s="273"/>
      <c r="AN253" s="273"/>
      <c r="AO253" s="273"/>
      <c r="AP253" s="273"/>
      <c r="AQ253" s="273"/>
      <c r="AR253" s="273"/>
      <c r="AS253" s="273"/>
      <c r="AT253" s="273"/>
      <c r="AU253" s="273"/>
      <c r="AV253" s="273"/>
    </row>
    <row r="254" spans="1:48" ht="12.75">
      <c r="A254" s="139"/>
      <c r="B254" s="132"/>
      <c r="C254" s="132"/>
      <c r="D254" s="132"/>
      <c r="E254" s="132"/>
      <c r="F254" s="132"/>
      <c r="G254" s="132"/>
      <c r="H254" s="135"/>
      <c r="I254" s="134"/>
      <c r="J254" s="132"/>
      <c r="K254" s="132"/>
      <c r="L254" s="132"/>
      <c r="M254" s="132"/>
      <c r="N254" s="132"/>
      <c r="O254" s="132"/>
      <c r="P254" s="132"/>
      <c r="Q254" s="135"/>
      <c r="R254" s="136"/>
      <c r="S254" s="132"/>
      <c r="T254" s="132"/>
      <c r="U254" s="132"/>
      <c r="V254" s="132"/>
      <c r="W254" s="132"/>
      <c r="X254" s="142"/>
      <c r="Y254" s="273"/>
      <c r="Z254" s="273"/>
      <c r="AA254" s="273"/>
      <c r="AB254" s="273"/>
      <c r="AC254" s="273"/>
      <c r="AD254" s="273"/>
      <c r="AE254" s="273"/>
      <c r="AF254" s="273"/>
      <c r="AG254" s="273"/>
      <c r="AH254" s="273"/>
      <c r="AI254" s="273"/>
      <c r="AJ254" s="273"/>
      <c r="AK254" s="273"/>
      <c r="AL254" s="273"/>
      <c r="AM254" s="273"/>
      <c r="AN254" s="273"/>
      <c r="AO254" s="273"/>
      <c r="AP254" s="273"/>
      <c r="AQ254" s="273"/>
      <c r="AR254" s="273"/>
      <c r="AS254" s="273"/>
      <c r="AT254" s="273"/>
      <c r="AU254" s="273"/>
      <c r="AV254" s="273"/>
    </row>
    <row r="255" spans="1:48" ht="12.75">
      <c r="A255" s="138"/>
      <c r="B255" s="31"/>
      <c r="C255" s="31"/>
      <c r="D255" s="31"/>
      <c r="E255" s="31"/>
      <c r="F255" s="31"/>
      <c r="G255" s="31"/>
      <c r="H255" s="129"/>
      <c r="I255" s="128"/>
      <c r="J255" s="31"/>
      <c r="K255" s="31"/>
      <c r="L255" s="31"/>
      <c r="M255" s="31"/>
      <c r="N255" s="31"/>
      <c r="O255" s="31"/>
      <c r="P255" s="31"/>
      <c r="Q255" s="129"/>
      <c r="R255" s="130"/>
      <c r="S255" s="31"/>
      <c r="T255" s="31"/>
      <c r="U255" s="31"/>
      <c r="V255" s="31"/>
      <c r="W255" s="31"/>
      <c r="X255" s="140"/>
      <c r="Y255" s="273"/>
      <c r="Z255" s="273"/>
      <c r="AA255" s="273"/>
      <c r="AB255" s="273"/>
      <c r="AC255" s="273"/>
      <c r="AD255" s="273"/>
      <c r="AE255" s="273"/>
      <c r="AF255" s="273"/>
      <c r="AG255" s="273"/>
      <c r="AH255" s="273"/>
      <c r="AI255" s="273"/>
      <c r="AJ255" s="273"/>
      <c r="AK255" s="273"/>
      <c r="AL255" s="273"/>
      <c r="AM255" s="273"/>
      <c r="AN255" s="273"/>
      <c r="AO255" s="273"/>
      <c r="AP255" s="273"/>
      <c r="AQ255" s="273"/>
      <c r="AR255" s="273"/>
      <c r="AS255" s="273"/>
      <c r="AT255" s="273"/>
      <c r="AU255" s="273"/>
      <c r="AV255" s="273"/>
    </row>
    <row r="256" spans="1:48" ht="12.75">
      <c r="A256" s="139"/>
      <c r="B256" s="132"/>
      <c r="C256" s="132"/>
      <c r="D256" s="132"/>
      <c r="E256" s="132"/>
      <c r="F256" s="132"/>
      <c r="G256" s="132"/>
      <c r="H256" s="135"/>
      <c r="I256" s="134"/>
      <c r="J256" s="132"/>
      <c r="K256" s="132"/>
      <c r="L256" s="132"/>
      <c r="M256" s="132"/>
      <c r="N256" s="132"/>
      <c r="O256" s="132"/>
      <c r="P256" s="132"/>
      <c r="Q256" s="135"/>
      <c r="R256" s="136"/>
      <c r="S256" s="132"/>
      <c r="T256" s="132"/>
      <c r="U256" s="132"/>
      <c r="V256" s="132"/>
      <c r="W256" s="132"/>
      <c r="X256" s="142"/>
      <c r="Y256" s="273"/>
      <c r="Z256" s="273"/>
      <c r="AA256" s="273"/>
      <c r="AB256" s="273"/>
      <c r="AC256" s="273"/>
      <c r="AD256" s="273"/>
      <c r="AE256" s="273"/>
      <c r="AF256" s="273"/>
      <c r="AG256" s="273"/>
      <c r="AH256" s="273"/>
      <c r="AI256" s="273"/>
      <c r="AJ256" s="273"/>
      <c r="AK256" s="273"/>
      <c r="AL256" s="273"/>
      <c r="AM256" s="273"/>
      <c r="AN256" s="273"/>
      <c r="AO256" s="273"/>
      <c r="AP256" s="273"/>
      <c r="AQ256" s="273"/>
      <c r="AR256" s="273"/>
      <c r="AS256" s="273"/>
      <c r="AT256" s="273"/>
      <c r="AU256" s="273"/>
      <c r="AV256" s="273"/>
    </row>
    <row r="257" spans="1:48" ht="12.75">
      <c r="A257" s="138"/>
      <c r="B257" s="31"/>
      <c r="C257" s="31"/>
      <c r="D257" s="31"/>
      <c r="E257" s="31"/>
      <c r="F257" s="31"/>
      <c r="G257" s="31"/>
      <c r="H257" s="129"/>
      <c r="I257" s="128"/>
      <c r="J257" s="31"/>
      <c r="K257" s="31"/>
      <c r="L257" s="31"/>
      <c r="M257" s="31"/>
      <c r="N257" s="31"/>
      <c r="O257" s="31"/>
      <c r="P257" s="31"/>
      <c r="Q257" s="129"/>
      <c r="R257" s="130"/>
      <c r="S257" s="31"/>
      <c r="T257" s="31"/>
      <c r="U257" s="31"/>
      <c r="V257" s="31"/>
      <c r="W257" s="31"/>
      <c r="X257" s="140"/>
      <c r="Y257" s="273"/>
      <c r="Z257" s="273"/>
      <c r="AA257" s="273"/>
      <c r="AB257" s="273"/>
      <c r="AC257" s="273"/>
      <c r="AD257" s="273"/>
      <c r="AE257" s="273"/>
      <c r="AF257" s="273"/>
      <c r="AG257" s="273"/>
      <c r="AH257" s="273"/>
      <c r="AI257" s="273"/>
      <c r="AJ257" s="273"/>
      <c r="AK257" s="273"/>
      <c r="AL257" s="273"/>
      <c r="AM257" s="273"/>
      <c r="AN257" s="273"/>
      <c r="AO257" s="273"/>
      <c r="AP257" s="273"/>
      <c r="AQ257" s="273"/>
      <c r="AR257" s="273"/>
      <c r="AS257" s="273"/>
      <c r="AT257" s="273"/>
      <c r="AU257" s="273"/>
      <c r="AV257" s="273"/>
    </row>
    <row r="258" spans="1:48" ht="12.75">
      <c r="A258" s="139"/>
      <c r="B258" s="132"/>
      <c r="C258" s="132"/>
      <c r="D258" s="132"/>
      <c r="E258" s="132"/>
      <c r="F258" s="132"/>
      <c r="G258" s="132"/>
      <c r="H258" s="135"/>
      <c r="I258" s="134"/>
      <c r="J258" s="132"/>
      <c r="K258" s="132"/>
      <c r="L258" s="132"/>
      <c r="M258" s="132"/>
      <c r="N258" s="132"/>
      <c r="O258" s="132"/>
      <c r="P258" s="132"/>
      <c r="Q258" s="135"/>
      <c r="R258" s="136"/>
      <c r="S258" s="132"/>
      <c r="T258" s="132"/>
      <c r="U258" s="132"/>
      <c r="V258" s="132"/>
      <c r="W258" s="132"/>
      <c r="X258" s="142"/>
      <c r="Y258" s="273"/>
      <c r="Z258" s="273"/>
      <c r="AA258" s="273"/>
      <c r="AB258" s="273"/>
      <c r="AC258" s="273"/>
      <c r="AD258" s="273"/>
      <c r="AE258" s="273"/>
      <c r="AF258" s="273"/>
      <c r="AG258" s="273"/>
      <c r="AH258" s="273"/>
      <c r="AI258" s="273"/>
      <c r="AJ258" s="273"/>
      <c r="AK258" s="273"/>
      <c r="AL258" s="273"/>
      <c r="AM258" s="273"/>
      <c r="AN258" s="273"/>
      <c r="AO258" s="273"/>
      <c r="AP258" s="273"/>
      <c r="AQ258" s="273"/>
      <c r="AR258" s="273"/>
      <c r="AS258" s="273"/>
      <c r="AT258" s="273"/>
      <c r="AU258" s="273"/>
      <c r="AV258" s="273"/>
    </row>
    <row r="259" spans="1:48" ht="12.75">
      <c r="A259" s="138"/>
      <c r="B259" s="31"/>
      <c r="C259" s="31"/>
      <c r="D259" s="31"/>
      <c r="E259" s="31"/>
      <c r="F259" s="31"/>
      <c r="G259" s="31"/>
      <c r="H259" s="129"/>
      <c r="I259" s="128"/>
      <c r="J259" s="31"/>
      <c r="K259" s="31"/>
      <c r="L259" s="31"/>
      <c r="M259" s="31"/>
      <c r="N259" s="31"/>
      <c r="O259" s="31"/>
      <c r="P259" s="31"/>
      <c r="Q259" s="129"/>
      <c r="R259" s="130"/>
      <c r="S259" s="31"/>
      <c r="T259" s="31"/>
      <c r="U259" s="31"/>
      <c r="V259" s="31"/>
      <c r="W259" s="31"/>
      <c r="X259" s="140"/>
      <c r="Y259" s="273"/>
      <c r="Z259" s="273"/>
      <c r="AA259" s="273"/>
      <c r="AB259" s="273"/>
      <c r="AC259" s="273"/>
      <c r="AD259" s="273"/>
      <c r="AE259" s="273"/>
      <c r="AF259" s="273"/>
      <c r="AG259" s="273"/>
      <c r="AH259" s="273"/>
      <c r="AI259" s="273"/>
      <c r="AJ259" s="273"/>
      <c r="AK259" s="273"/>
      <c r="AL259" s="273"/>
      <c r="AM259" s="273"/>
      <c r="AN259" s="273"/>
      <c r="AO259" s="273"/>
      <c r="AP259" s="273"/>
      <c r="AQ259" s="273"/>
      <c r="AR259" s="273"/>
      <c r="AS259" s="273"/>
      <c r="AT259" s="273"/>
      <c r="AU259" s="273"/>
      <c r="AV259" s="273"/>
    </row>
    <row r="260" spans="1:48" ht="12.75">
      <c r="A260" s="139"/>
      <c r="B260" s="132"/>
      <c r="C260" s="132"/>
      <c r="D260" s="132"/>
      <c r="E260" s="132"/>
      <c r="F260" s="132"/>
      <c r="G260" s="132"/>
      <c r="H260" s="135"/>
      <c r="I260" s="134"/>
      <c r="J260" s="132"/>
      <c r="K260" s="132"/>
      <c r="L260" s="132"/>
      <c r="M260" s="132"/>
      <c r="N260" s="132"/>
      <c r="O260" s="132"/>
      <c r="P260" s="132"/>
      <c r="Q260" s="135"/>
      <c r="R260" s="136"/>
      <c r="S260" s="132"/>
      <c r="T260" s="132"/>
      <c r="U260" s="132"/>
      <c r="V260" s="132"/>
      <c r="W260" s="132"/>
      <c r="X260" s="142"/>
      <c r="Y260" s="273"/>
      <c r="Z260" s="273"/>
      <c r="AA260" s="273"/>
      <c r="AB260" s="273"/>
      <c r="AC260" s="273"/>
      <c r="AD260" s="273"/>
      <c r="AE260" s="273"/>
      <c r="AF260" s="273"/>
      <c r="AG260" s="273"/>
      <c r="AH260" s="273"/>
      <c r="AI260" s="273"/>
      <c r="AJ260" s="273"/>
      <c r="AK260" s="273"/>
      <c r="AL260" s="273"/>
      <c r="AM260" s="273"/>
      <c r="AN260" s="273"/>
      <c r="AO260" s="273"/>
      <c r="AP260" s="273"/>
      <c r="AQ260" s="273"/>
      <c r="AR260" s="273"/>
      <c r="AS260" s="273"/>
      <c r="AT260" s="273"/>
      <c r="AU260" s="273"/>
      <c r="AV260" s="273"/>
    </row>
    <row r="261" spans="1:48" ht="12.75">
      <c r="A261" s="138"/>
      <c r="B261" s="31"/>
      <c r="C261" s="31"/>
      <c r="D261" s="31"/>
      <c r="E261" s="31"/>
      <c r="F261" s="31"/>
      <c r="G261" s="31"/>
      <c r="H261" s="129"/>
      <c r="I261" s="128"/>
      <c r="J261" s="31"/>
      <c r="K261" s="31"/>
      <c r="L261" s="31"/>
      <c r="M261" s="31"/>
      <c r="N261" s="31"/>
      <c r="O261" s="31"/>
      <c r="P261" s="31"/>
      <c r="Q261" s="129"/>
      <c r="R261" s="130"/>
      <c r="S261" s="31"/>
      <c r="T261" s="31"/>
      <c r="U261" s="31"/>
      <c r="V261" s="31"/>
      <c r="W261" s="31"/>
      <c r="X261" s="140"/>
      <c r="Y261" s="273"/>
      <c r="Z261" s="273"/>
      <c r="AA261" s="273"/>
      <c r="AB261" s="273"/>
      <c r="AC261" s="273"/>
      <c r="AD261" s="273"/>
      <c r="AE261" s="273"/>
      <c r="AF261" s="273"/>
      <c r="AG261" s="273"/>
      <c r="AH261" s="273"/>
      <c r="AI261" s="273"/>
      <c r="AJ261" s="273"/>
      <c r="AK261" s="273"/>
      <c r="AL261" s="273"/>
      <c r="AM261" s="273"/>
      <c r="AN261" s="273"/>
      <c r="AO261" s="273"/>
      <c r="AP261" s="273"/>
      <c r="AQ261" s="273"/>
      <c r="AR261" s="273"/>
      <c r="AS261" s="273"/>
      <c r="AT261" s="273"/>
      <c r="AU261" s="273"/>
      <c r="AV261" s="273"/>
    </row>
    <row r="262" spans="1:48" ht="12.75">
      <c r="A262" s="139"/>
      <c r="B262" s="132"/>
      <c r="C262" s="132"/>
      <c r="D262" s="132"/>
      <c r="E262" s="132"/>
      <c r="F262" s="132"/>
      <c r="G262" s="132"/>
      <c r="H262" s="135"/>
      <c r="I262" s="134"/>
      <c r="J262" s="132"/>
      <c r="K262" s="132"/>
      <c r="L262" s="132"/>
      <c r="M262" s="132"/>
      <c r="N262" s="132"/>
      <c r="O262" s="132"/>
      <c r="P262" s="132"/>
      <c r="Q262" s="135"/>
      <c r="R262" s="136"/>
      <c r="S262" s="132"/>
      <c r="T262" s="132"/>
      <c r="U262" s="132"/>
      <c r="V262" s="132"/>
      <c r="W262" s="132"/>
      <c r="X262" s="142"/>
      <c r="Y262" s="273"/>
      <c r="Z262" s="273"/>
      <c r="AA262" s="273"/>
      <c r="AB262" s="273"/>
      <c r="AC262" s="273"/>
      <c r="AD262" s="273"/>
      <c r="AE262" s="273"/>
      <c r="AF262" s="273"/>
      <c r="AG262" s="273"/>
      <c r="AH262" s="273"/>
      <c r="AI262" s="273"/>
      <c r="AJ262" s="273"/>
      <c r="AK262" s="273"/>
      <c r="AL262" s="273"/>
      <c r="AM262" s="273"/>
      <c r="AN262" s="273"/>
      <c r="AO262" s="273"/>
      <c r="AP262" s="273"/>
      <c r="AQ262" s="273"/>
      <c r="AR262" s="273"/>
      <c r="AS262" s="273"/>
      <c r="AT262" s="273"/>
      <c r="AU262" s="273"/>
      <c r="AV262" s="273"/>
    </row>
    <row r="263" spans="1:48" ht="12.75">
      <c r="A263" s="138"/>
      <c r="B263" s="31"/>
      <c r="C263" s="31"/>
      <c r="D263" s="31"/>
      <c r="E263" s="31"/>
      <c r="F263" s="31"/>
      <c r="G263" s="31"/>
      <c r="H263" s="129"/>
      <c r="I263" s="128"/>
      <c r="J263" s="31"/>
      <c r="K263" s="31"/>
      <c r="L263" s="31"/>
      <c r="M263" s="31"/>
      <c r="N263" s="31"/>
      <c r="O263" s="31"/>
      <c r="P263" s="31"/>
      <c r="Q263" s="129"/>
      <c r="R263" s="130"/>
      <c r="S263" s="31"/>
      <c r="T263" s="31"/>
      <c r="U263" s="31"/>
      <c r="V263" s="31"/>
      <c r="W263" s="31"/>
      <c r="X263" s="140"/>
      <c r="Y263" s="273"/>
      <c r="Z263" s="273"/>
      <c r="AA263" s="273"/>
      <c r="AB263" s="273"/>
      <c r="AC263" s="273"/>
      <c r="AD263" s="273"/>
      <c r="AE263" s="273"/>
      <c r="AF263" s="273"/>
      <c r="AG263" s="273"/>
      <c r="AH263" s="273"/>
      <c r="AI263" s="273"/>
      <c r="AJ263" s="273"/>
      <c r="AK263" s="273"/>
      <c r="AL263" s="273"/>
      <c r="AM263" s="273"/>
      <c r="AN263" s="273"/>
      <c r="AO263" s="273"/>
      <c r="AP263" s="273"/>
      <c r="AQ263" s="273"/>
      <c r="AR263" s="273"/>
      <c r="AS263" s="273"/>
      <c r="AT263" s="273"/>
      <c r="AU263" s="273"/>
      <c r="AV263" s="273"/>
    </row>
    <row r="264" spans="1:48" ht="12.75">
      <c r="A264" s="139"/>
      <c r="B264" s="132"/>
      <c r="C264" s="132"/>
      <c r="D264" s="132"/>
      <c r="E264" s="132"/>
      <c r="F264" s="132"/>
      <c r="G264" s="132"/>
      <c r="H264" s="135"/>
      <c r="I264" s="134"/>
      <c r="J264" s="132"/>
      <c r="K264" s="132"/>
      <c r="L264" s="132"/>
      <c r="M264" s="132"/>
      <c r="N264" s="132"/>
      <c r="O264" s="132"/>
      <c r="P264" s="132"/>
      <c r="Q264" s="135"/>
      <c r="R264" s="136"/>
      <c r="S264" s="132"/>
      <c r="T264" s="132"/>
      <c r="U264" s="132"/>
      <c r="V264" s="132"/>
      <c r="W264" s="132"/>
      <c r="X264" s="142"/>
      <c r="Y264" s="273"/>
      <c r="Z264" s="273"/>
      <c r="AA264" s="273"/>
      <c r="AB264" s="273"/>
      <c r="AC264" s="273"/>
      <c r="AD264" s="273"/>
      <c r="AE264" s="273"/>
      <c r="AF264" s="273"/>
      <c r="AG264" s="273"/>
      <c r="AH264" s="273"/>
      <c r="AI264" s="273"/>
      <c r="AJ264" s="273"/>
      <c r="AK264" s="273"/>
      <c r="AL264" s="273"/>
      <c r="AM264" s="273"/>
      <c r="AN264" s="273"/>
      <c r="AO264" s="273"/>
      <c r="AP264" s="273"/>
      <c r="AQ264" s="273"/>
      <c r="AR264" s="273"/>
      <c r="AS264" s="273"/>
      <c r="AT264" s="273"/>
      <c r="AU264" s="273"/>
      <c r="AV264" s="273"/>
    </row>
    <row r="265" spans="1:48" ht="12.75">
      <c r="A265" s="138"/>
      <c r="B265" s="31"/>
      <c r="C265" s="31"/>
      <c r="D265" s="31"/>
      <c r="E265" s="31"/>
      <c r="F265" s="31"/>
      <c r="G265" s="31"/>
      <c r="H265" s="129"/>
      <c r="I265" s="128"/>
      <c r="J265" s="31"/>
      <c r="K265" s="31"/>
      <c r="L265" s="31"/>
      <c r="M265" s="31"/>
      <c r="N265" s="31"/>
      <c r="O265" s="31"/>
      <c r="P265" s="31"/>
      <c r="Q265" s="129"/>
      <c r="R265" s="130"/>
      <c r="S265" s="31"/>
      <c r="T265" s="31"/>
      <c r="U265" s="31"/>
      <c r="V265" s="31"/>
      <c r="W265" s="31"/>
      <c r="X265" s="140"/>
      <c r="Y265" s="273"/>
      <c r="Z265" s="273"/>
      <c r="AA265" s="273"/>
      <c r="AB265" s="273"/>
      <c r="AC265" s="273"/>
      <c r="AD265" s="273"/>
      <c r="AE265" s="273"/>
      <c r="AF265" s="273"/>
      <c r="AG265" s="273"/>
      <c r="AH265" s="273"/>
      <c r="AI265" s="273"/>
      <c r="AJ265" s="273"/>
      <c r="AK265" s="273"/>
      <c r="AL265" s="273"/>
      <c r="AM265" s="273"/>
      <c r="AN265" s="273"/>
      <c r="AO265" s="273"/>
      <c r="AP265" s="273"/>
      <c r="AQ265" s="273"/>
      <c r="AR265" s="273"/>
      <c r="AS265" s="273"/>
      <c r="AT265" s="273"/>
      <c r="AU265" s="273"/>
      <c r="AV265" s="273"/>
    </row>
    <row r="266" spans="1:48" ht="12.75">
      <c r="A266" s="139"/>
      <c r="B266" s="132"/>
      <c r="C266" s="132"/>
      <c r="D266" s="132"/>
      <c r="E266" s="132"/>
      <c r="F266" s="132"/>
      <c r="G266" s="132"/>
      <c r="H266" s="135"/>
      <c r="I266" s="134"/>
      <c r="J266" s="132"/>
      <c r="K266" s="132"/>
      <c r="L266" s="132"/>
      <c r="M266" s="132"/>
      <c r="N266" s="132"/>
      <c r="O266" s="132"/>
      <c r="P266" s="132"/>
      <c r="Q266" s="135"/>
      <c r="R266" s="136"/>
      <c r="S266" s="132"/>
      <c r="T266" s="132"/>
      <c r="U266" s="132"/>
      <c r="V266" s="132"/>
      <c r="W266" s="132"/>
      <c r="X266" s="142"/>
      <c r="Y266" s="273"/>
      <c r="Z266" s="273"/>
      <c r="AA266" s="273"/>
      <c r="AB266" s="273"/>
      <c r="AC266" s="273"/>
      <c r="AD266" s="273"/>
      <c r="AE266" s="273"/>
      <c r="AF266" s="273"/>
      <c r="AG266" s="273"/>
      <c r="AH266" s="273"/>
      <c r="AI266" s="273"/>
      <c r="AJ266" s="273"/>
      <c r="AK266" s="273"/>
      <c r="AL266" s="273"/>
      <c r="AM266" s="273"/>
      <c r="AN266" s="273"/>
      <c r="AO266" s="273"/>
      <c r="AP266" s="273"/>
      <c r="AQ266" s="273"/>
      <c r="AR266" s="273"/>
      <c r="AS266" s="273"/>
      <c r="AT266" s="273"/>
      <c r="AU266" s="273"/>
      <c r="AV266" s="273"/>
    </row>
    <row r="267" spans="1:48" ht="12.75">
      <c r="A267" s="138"/>
      <c r="B267" s="31"/>
      <c r="C267" s="31"/>
      <c r="D267" s="31"/>
      <c r="E267" s="31"/>
      <c r="F267" s="31"/>
      <c r="G267" s="31"/>
      <c r="H267" s="129"/>
      <c r="I267" s="128"/>
      <c r="J267" s="31"/>
      <c r="K267" s="31"/>
      <c r="L267" s="31"/>
      <c r="M267" s="31"/>
      <c r="N267" s="31"/>
      <c r="O267" s="31"/>
      <c r="P267" s="31"/>
      <c r="Q267" s="129"/>
      <c r="R267" s="130"/>
      <c r="S267" s="31"/>
      <c r="T267" s="31"/>
      <c r="U267" s="31"/>
      <c r="V267" s="31"/>
      <c r="W267" s="31"/>
      <c r="X267" s="140"/>
      <c r="Y267" s="273"/>
      <c r="Z267" s="273"/>
      <c r="AA267" s="273"/>
      <c r="AB267" s="273"/>
      <c r="AC267" s="273"/>
      <c r="AD267" s="273"/>
      <c r="AE267" s="273"/>
      <c r="AF267" s="273"/>
      <c r="AG267" s="273"/>
      <c r="AH267" s="273"/>
      <c r="AI267" s="273"/>
      <c r="AJ267" s="273"/>
      <c r="AK267" s="273"/>
      <c r="AL267" s="273"/>
      <c r="AM267" s="273"/>
      <c r="AN267" s="273"/>
      <c r="AO267" s="273"/>
      <c r="AP267" s="273"/>
      <c r="AQ267" s="273"/>
      <c r="AR267" s="273"/>
      <c r="AS267" s="273"/>
      <c r="AT267" s="273"/>
      <c r="AU267" s="273"/>
      <c r="AV267" s="273"/>
    </row>
    <row r="268" spans="1:48" ht="12.75">
      <c r="A268" s="139"/>
      <c r="B268" s="132"/>
      <c r="C268" s="132"/>
      <c r="D268" s="132"/>
      <c r="E268" s="132"/>
      <c r="F268" s="132"/>
      <c r="G268" s="132"/>
      <c r="H268" s="135"/>
      <c r="I268" s="134"/>
      <c r="J268" s="132"/>
      <c r="K268" s="132"/>
      <c r="L268" s="132"/>
      <c r="M268" s="132"/>
      <c r="N268" s="132"/>
      <c r="O268" s="132"/>
      <c r="P268" s="132"/>
      <c r="Q268" s="135"/>
      <c r="R268" s="136"/>
      <c r="S268" s="132"/>
      <c r="T268" s="132"/>
      <c r="U268" s="132"/>
      <c r="V268" s="132"/>
      <c r="W268" s="132"/>
      <c r="X268" s="142"/>
      <c r="Y268" s="273"/>
      <c r="Z268" s="273"/>
      <c r="AA268" s="273"/>
      <c r="AB268" s="273"/>
      <c r="AC268" s="273"/>
      <c r="AD268" s="273"/>
      <c r="AE268" s="273"/>
      <c r="AF268" s="273"/>
      <c r="AG268" s="273"/>
      <c r="AH268" s="273"/>
      <c r="AI268" s="273"/>
      <c r="AJ268" s="273"/>
      <c r="AK268" s="273"/>
      <c r="AL268" s="273"/>
      <c r="AM268" s="273"/>
      <c r="AN268" s="273"/>
      <c r="AO268" s="273"/>
      <c r="AP268" s="273"/>
      <c r="AQ268" s="273"/>
      <c r="AR268" s="273"/>
      <c r="AS268" s="273"/>
      <c r="AT268" s="273"/>
      <c r="AU268" s="273"/>
      <c r="AV268" s="273"/>
    </row>
    <row r="269" spans="1:48" ht="12.75">
      <c r="A269" s="138"/>
      <c r="B269" s="31"/>
      <c r="C269" s="31"/>
      <c r="D269" s="31"/>
      <c r="E269" s="31"/>
      <c r="F269" s="31"/>
      <c r="G269" s="31"/>
      <c r="H269" s="129"/>
      <c r="I269" s="128"/>
      <c r="J269" s="31"/>
      <c r="K269" s="31"/>
      <c r="L269" s="31"/>
      <c r="M269" s="31"/>
      <c r="N269" s="31"/>
      <c r="O269" s="31"/>
      <c r="P269" s="31"/>
      <c r="Q269" s="129"/>
      <c r="R269" s="130"/>
      <c r="S269" s="31"/>
      <c r="T269" s="31"/>
      <c r="U269" s="31"/>
      <c r="V269" s="31"/>
      <c r="W269" s="31"/>
      <c r="X269" s="140"/>
      <c r="Y269" s="273"/>
      <c r="Z269" s="273"/>
      <c r="AA269" s="273"/>
      <c r="AB269" s="273"/>
      <c r="AC269" s="273"/>
      <c r="AD269" s="273"/>
      <c r="AE269" s="273"/>
      <c r="AF269" s="273"/>
      <c r="AG269" s="273"/>
      <c r="AH269" s="273"/>
      <c r="AI269" s="273"/>
      <c r="AJ269" s="273"/>
      <c r="AK269" s="273"/>
      <c r="AL269" s="273"/>
      <c r="AM269" s="273"/>
      <c r="AN269" s="273"/>
      <c r="AO269" s="273"/>
      <c r="AP269" s="273"/>
      <c r="AQ269" s="273"/>
      <c r="AR269" s="273"/>
      <c r="AS269" s="273"/>
      <c r="AT269" s="273"/>
      <c r="AU269" s="273"/>
      <c r="AV269" s="273"/>
    </row>
    <row r="270" spans="1:48" ht="12.75">
      <c r="A270" s="139"/>
      <c r="B270" s="132"/>
      <c r="C270" s="132"/>
      <c r="D270" s="132"/>
      <c r="E270" s="132"/>
      <c r="F270" s="132"/>
      <c r="G270" s="132"/>
      <c r="H270" s="135"/>
      <c r="I270" s="134"/>
      <c r="J270" s="132"/>
      <c r="K270" s="132"/>
      <c r="L270" s="132"/>
      <c r="M270" s="132"/>
      <c r="N270" s="132"/>
      <c r="O270" s="132"/>
      <c r="P270" s="132"/>
      <c r="Q270" s="135"/>
      <c r="R270" s="136"/>
      <c r="S270" s="132"/>
      <c r="T270" s="132"/>
      <c r="U270" s="132"/>
      <c r="V270" s="132"/>
      <c r="W270" s="132"/>
      <c r="X270" s="142"/>
      <c r="Y270" s="273"/>
      <c r="Z270" s="273"/>
      <c r="AA270" s="273"/>
      <c r="AB270" s="273"/>
      <c r="AC270" s="273"/>
      <c r="AD270" s="273"/>
      <c r="AE270" s="273"/>
      <c r="AF270" s="273"/>
      <c r="AG270" s="273"/>
      <c r="AH270" s="273"/>
      <c r="AI270" s="273"/>
      <c r="AJ270" s="273"/>
      <c r="AK270" s="273"/>
      <c r="AL270" s="273"/>
      <c r="AM270" s="273"/>
      <c r="AN270" s="273"/>
      <c r="AO270" s="273"/>
      <c r="AP270" s="273"/>
      <c r="AQ270" s="273"/>
      <c r="AR270" s="273"/>
      <c r="AS270" s="273"/>
      <c r="AT270" s="273"/>
      <c r="AU270" s="273"/>
      <c r="AV270" s="273"/>
    </row>
    <row r="271" spans="1:48" ht="12.75">
      <c r="A271" s="138"/>
      <c r="B271" s="31"/>
      <c r="C271" s="31"/>
      <c r="D271" s="31"/>
      <c r="E271" s="31"/>
      <c r="F271" s="31"/>
      <c r="G271" s="31"/>
      <c r="H271" s="129"/>
      <c r="I271" s="128"/>
      <c r="J271" s="31"/>
      <c r="K271" s="31"/>
      <c r="L271" s="31"/>
      <c r="M271" s="31"/>
      <c r="N271" s="31"/>
      <c r="O271" s="31"/>
      <c r="P271" s="31"/>
      <c r="Q271" s="129"/>
      <c r="R271" s="130"/>
      <c r="S271" s="31"/>
      <c r="T271" s="31"/>
      <c r="U271" s="31"/>
      <c r="V271" s="31"/>
      <c r="W271" s="31"/>
      <c r="X271" s="140"/>
      <c r="Y271" s="273"/>
      <c r="Z271" s="273"/>
      <c r="AA271" s="273"/>
      <c r="AB271" s="273"/>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row>
    <row r="272" spans="1:48" ht="12.75">
      <c r="A272" s="139"/>
      <c r="B272" s="132"/>
      <c r="C272" s="132"/>
      <c r="D272" s="132"/>
      <c r="E272" s="132"/>
      <c r="F272" s="132"/>
      <c r="G272" s="132"/>
      <c r="H272" s="135"/>
      <c r="I272" s="134"/>
      <c r="J272" s="132"/>
      <c r="K272" s="132"/>
      <c r="L272" s="132"/>
      <c r="M272" s="132"/>
      <c r="N272" s="132"/>
      <c r="O272" s="132"/>
      <c r="P272" s="132"/>
      <c r="Q272" s="135"/>
      <c r="R272" s="136"/>
      <c r="S272" s="132"/>
      <c r="T272" s="132"/>
      <c r="U272" s="132"/>
      <c r="V272" s="132"/>
      <c r="W272" s="132"/>
      <c r="X272" s="142"/>
      <c r="Y272" s="273"/>
      <c r="Z272" s="273"/>
      <c r="AA272" s="273"/>
      <c r="AB272" s="273"/>
      <c r="AC272" s="273"/>
      <c r="AD272" s="273"/>
      <c r="AE272" s="273"/>
      <c r="AF272" s="273"/>
      <c r="AG272" s="273"/>
      <c r="AH272" s="273"/>
      <c r="AI272" s="273"/>
      <c r="AJ272" s="273"/>
      <c r="AK272" s="273"/>
      <c r="AL272" s="273"/>
      <c r="AM272" s="273"/>
      <c r="AN272" s="273"/>
      <c r="AO272" s="273"/>
      <c r="AP272" s="273"/>
      <c r="AQ272" s="273"/>
      <c r="AR272" s="273"/>
      <c r="AS272" s="273"/>
      <c r="AT272" s="273"/>
      <c r="AU272" s="273"/>
      <c r="AV272" s="273"/>
    </row>
    <row r="273" spans="1:48" ht="12.75">
      <c r="A273" s="138"/>
      <c r="B273" s="31"/>
      <c r="C273" s="31"/>
      <c r="D273" s="31"/>
      <c r="E273" s="31"/>
      <c r="F273" s="31"/>
      <c r="G273" s="31"/>
      <c r="H273" s="129"/>
      <c r="I273" s="128"/>
      <c r="J273" s="31"/>
      <c r="K273" s="31"/>
      <c r="L273" s="31"/>
      <c r="M273" s="31"/>
      <c r="N273" s="31"/>
      <c r="O273" s="31"/>
      <c r="P273" s="31"/>
      <c r="Q273" s="129"/>
      <c r="R273" s="130"/>
      <c r="S273" s="31"/>
      <c r="T273" s="31"/>
      <c r="U273" s="31"/>
      <c r="V273" s="31"/>
      <c r="W273" s="31"/>
      <c r="X273" s="140"/>
      <c r="Y273" s="273"/>
      <c r="Z273" s="273"/>
      <c r="AA273" s="273"/>
      <c r="AB273" s="273"/>
      <c r="AC273" s="273"/>
      <c r="AD273" s="273"/>
      <c r="AE273" s="273"/>
      <c r="AF273" s="273"/>
      <c r="AG273" s="273"/>
      <c r="AH273" s="273"/>
      <c r="AI273" s="273"/>
      <c r="AJ273" s="273"/>
      <c r="AK273" s="273"/>
      <c r="AL273" s="273"/>
      <c r="AM273" s="273"/>
      <c r="AN273" s="273"/>
      <c r="AO273" s="273"/>
      <c r="AP273" s="273"/>
      <c r="AQ273" s="273"/>
      <c r="AR273" s="273"/>
      <c r="AS273" s="273"/>
      <c r="AT273" s="273"/>
      <c r="AU273" s="273"/>
      <c r="AV273" s="273"/>
    </row>
    <row r="274" spans="1:48" ht="12.75">
      <c r="A274" s="139"/>
      <c r="B274" s="132"/>
      <c r="C274" s="132"/>
      <c r="D274" s="132"/>
      <c r="E274" s="132"/>
      <c r="F274" s="132"/>
      <c r="G274" s="132"/>
      <c r="H274" s="135"/>
      <c r="I274" s="134"/>
      <c r="J274" s="132"/>
      <c r="K274" s="132"/>
      <c r="L274" s="132"/>
      <c r="M274" s="132"/>
      <c r="N274" s="132"/>
      <c r="O274" s="132"/>
      <c r="P274" s="132"/>
      <c r="Q274" s="135"/>
      <c r="R274" s="136"/>
      <c r="S274" s="132"/>
      <c r="T274" s="132"/>
      <c r="U274" s="132"/>
      <c r="V274" s="132"/>
      <c r="W274" s="132"/>
      <c r="X274" s="142"/>
      <c r="Y274" s="273"/>
      <c r="Z274" s="273"/>
      <c r="AA274" s="273"/>
      <c r="AB274" s="273"/>
      <c r="AC274" s="273"/>
      <c r="AD274" s="273"/>
      <c r="AE274" s="273"/>
      <c r="AF274" s="273"/>
      <c r="AG274" s="273"/>
      <c r="AH274" s="273"/>
      <c r="AI274" s="273"/>
      <c r="AJ274" s="273"/>
      <c r="AK274" s="273"/>
      <c r="AL274" s="273"/>
      <c r="AM274" s="273"/>
      <c r="AN274" s="273"/>
      <c r="AO274" s="273"/>
      <c r="AP274" s="273"/>
      <c r="AQ274" s="273"/>
      <c r="AR274" s="273"/>
      <c r="AS274" s="273"/>
      <c r="AT274" s="273"/>
      <c r="AU274" s="273"/>
      <c r="AV274" s="273"/>
    </row>
    <row r="275" spans="1:48" ht="12.75">
      <c r="A275" s="138"/>
      <c r="B275" s="31"/>
      <c r="C275" s="31"/>
      <c r="D275" s="31"/>
      <c r="E275" s="31"/>
      <c r="F275" s="31"/>
      <c r="G275" s="31"/>
      <c r="H275" s="129"/>
      <c r="I275" s="128"/>
      <c r="J275" s="31"/>
      <c r="K275" s="31"/>
      <c r="L275" s="31"/>
      <c r="M275" s="31"/>
      <c r="N275" s="31"/>
      <c r="O275" s="31"/>
      <c r="P275" s="31"/>
      <c r="Q275" s="129"/>
      <c r="R275" s="130"/>
      <c r="S275" s="31"/>
      <c r="T275" s="31"/>
      <c r="U275" s="31"/>
      <c r="V275" s="31"/>
      <c r="W275" s="31"/>
      <c r="X275" s="140"/>
      <c r="Y275" s="273"/>
      <c r="Z275" s="273"/>
      <c r="AA275" s="273"/>
      <c r="AB275" s="273"/>
      <c r="AC275" s="273"/>
      <c r="AD275" s="273"/>
      <c r="AE275" s="273"/>
      <c r="AF275" s="273"/>
      <c r="AG275" s="273"/>
      <c r="AH275" s="273"/>
      <c r="AI275" s="273"/>
      <c r="AJ275" s="273"/>
      <c r="AK275" s="273"/>
      <c r="AL275" s="273"/>
      <c r="AM275" s="273"/>
      <c r="AN275" s="273"/>
      <c r="AO275" s="273"/>
      <c r="AP275" s="273"/>
      <c r="AQ275" s="273"/>
      <c r="AR275" s="273"/>
      <c r="AS275" s="273"/>
      <c r="AT275" s="273"/>
      <c r="AU275" s="273"/>
      <c r="AV275" s="273"/>
    </row>
    <row r="276" spans="1:48" ht="12.75">
      <c r="A276" s="139"/>
      <c r="B276" s="132"/>
      <c r="C276" s="132"/>
      <c r="D276" s="132"/>
      <c r="E276" s="132"/>
      <c r="F276" s="132"/>
      <c r="G276" s="132"/>
      <c r="H276" s="135"/>
      <c r="I276" s="134"/>
      <c r="J276" s="132"/>
      <c r="K276" s="132"/>
      <c r="L276" s="132"/>
      <c r="M276" s="132"/>
      <c r="N276" s="132"/>
      <c r="O276" s="132"/>
      <c r="P276" s="132"/>
      <c r="Q276" s="135"/>
      <c r="R276" s="136"/>
      <c r="S276" s="132"/>
      <c r="T276" s="132"/>
      <c r="U276" s="132"/>
      <c r="V276" s="132"/>
      <c r="W276" s="132"/>
      <c r="X276" s="142"/>
      <c r="Y276" s="273"/>
      <c r="Z276" s="273"/>
      <c r="AA276" s="273"/>
      <c r="AB276" s="273"/>
      <c r="AC276" s="273"/>
      <c r="AD276" s="273"/>
      <c r="AE276" s="273"/>
      <c r="AF276" s="273"/>
      <c r="AG276" s="273"/>
      <c r="AH276" s="273"/>
      <c r="AI276" s="273"/>
      <c r="AJ276" s="273"/>
      <c r="AK276" s="273"/>
      <c r="AL276" s="273"/>
      <c r="AM276" s="273"/>
      <c r="AN276" s="273"/>
      <c r="AO276" s="273"/>
      <c r="AP276" s="273"/>
      <c r="AQ276" s="273"/>
      <c r="AR276" s="273"/>
      <c r="AS276" s="273"/>
      <c r="AT276" s="273"/>
      <c r="AU276" s="273"/>
      <c r="AV276" s="273"/>
    </row>
    <row r="277" spans="1:48" ht="12.75">
      <c r="A277" s="138"/>
      <c r="B277" s="31"/>
      <c r="C277" s="31"/>
      <c r="D277" s="31"/>
      <c r="E277" s="31"/>
      <c r="F277" s="31"/>
      <c r="G277" s="31"/>
      <c r="H277" s="129"/>
      <c r="I277" s="128"/>
      <c r="J277" s="31"/>
      <c r="K277" s="31"/>
      <c r="L277" s="31"/>
      <c r="M277" s="31"/>
      <c r="N277" s="31"/>
      <c r="O277" s="31"/>
      <c r="P277" s="31"/>
      <c r="Q277" s="129"/>
      <c r="R277" s="130"/>
      <c r="S277" s="31"/>
      <c r="T277" s="31"/>
      <c r="U277" s="31"/>
      <c r="V277" s="31"/>
      <c r="W277" s="31"/>
      <c r="X277" s="140"/>
      <c r="Y277" s="273"/>
      <c r="Z277" s="273"/>
      <c r="AA277" s="273"/>
      <c r="AB277" s="273"/>
      <c r="AC277" s="273"/>
      <c r="AD277" s="273"/>
      <c r="AE277" s="273"/>
      <c r="AF277" s="273"/>
      <c r="AG277" s="273"/>
      <c r="AH277" s="273"/>
      <c r="AI277" s="273"/>
      <c r="AJ277" s="273"/>
      <c r="AK277" s="273"/>
      <c r="AL277" s="273"/>
      <c r="AM277" s="273"/>
      <c r="AN277" s="273"/>
      <c r="AO277" s="273"/>
      <c r="AP277" s="273"/>
      <c r="AQ277" s="273"/>
      <c r="AR277" s="273"/>
      <c r="AS277" s="273"/>
      <c r="AT277" s="273"/>
      <c r="AU277" s="273"/>
      <c r="AV277" s="273"/>
    </row>
    <row r="278" spans="1:48" ht="12.75">
      <c r="A278" s="139"/>
      <c r="B278" s="132"/>
      <c r="C278" s="132"/>
      <c r="D278" s="132"/>
      <c r="E278" s="132"/>
      <c r="F278" s="132"/>
      <c r="G278" s="132"/>
      <c r="H278" s="135"/>
      <c r="I278" s="134"/>
      <c r="J278" s="132"/>
      <c r="K278" s="132"/>
      <c r="L278" s="132"/>
      <c r="M278" s="132"/>
      <c r="N278" s="132"/>
      <c r="O278" s="132"/>
      <c r="P278" s="132"/>
      <c r="Q278" s="135"/>
      <c r="R278" s="136"/>
      <c r="S278" s="132"/>
      <c r="T278" s="132"/>
      <c r="U278" s="132"/>
      <c r="V278" s="132"/>
      <c r="W278" s="132"/>
      <c r="X278" s="142"/>
      <c r="Y278" s="273"/>
      <c r="Z278" s="273"/>
      <c r="AA278" s="273"/>
      <c r="AB278" s="273"/>
      <c r="AC278" s="273"/>
      <c r="AD278" s="273"/>
      <c r="AE278" s="273"/>
      <c r="AF278" s="273"/>
      <c r="AG278" s="273"/>
      <c r="AH278" s="273"/>
      <c r="AI278" s="273"/>
      <c r="AJ278" s="273"/>
      <c r="AK278" s="273"/>
      <c r="AL278" s="273"/>
      <c r="AM278" s="273"/>
      <c r="AN278" s="273"/>
      <c r="AO278" s="273"/>
      <c r="AP278" s="273"/>
      <c r="AQ278" s="273"/>
      <c r="AR278" s="273"/>
      <c r="AS278" s="273"/>
      <c r="AT278" s="273"/>
      <c r="AU278" s="273"/>
      <c r="AV278" s="273"/>
    </row>
    <row r="279" spans="1:48" ht="12.75">
      <c r="A279" s="138"/>
      <c r="B279" s="31"/>
      <c r="C279" s="31"/>
      <c r="D279" s="31"/>
      <c r="E279" s="31"/>
      <c r="F279" s="31"/>
      <c r="G279" s="31"/>
      <c r="H279" s="129"/>
      <c r="I279" s="128"/>
      <c r="J279" s="31"/>
      <c r="K279" s="31"/>
      <c r="L279" s="31"/>
      <c r="M279" s="31"/>
      <c r="N279" s="31"/>
      <c r="O279" s="31"/>
      <c r="P279" s="31"/>
      <c r="Q279" s="129"/>
      <c r="R279" s="130"/>
      <c r="S279" s="31"/>
      <c r="T279" s="31"/>
      <c r="U279" s="31"/>
      <c r="V279" s="31"/>
      <c r="W279" s="31"/>
      <c r="X279" s="140"/>
      <c r="Y279" s="273"/>
      <c r="Z279" s="273"/>
      <c r="AA279" s="273"/>
      <c r="AB279" s="273"/>
      <c r="AC279" s="273"/>
      <c r="AD279" s="273"/>
      <c r="AE279" s="273"/>
      <c r="AF279" s="273"/>
      <c r="AG279" s="273"/>
      <c r="AH279" s="273"/>
      <c r="AI279" s="273"/>
      <c r="AJ279" s="273"/>
      <c r="AK279" s="273"/>
      <c r="AL279" s="273"/>
      <c r="AM279" s="273"/>
      <c r="AN279" s="273"/>
      <c r="AO279" s="273"/>
      <c r="AP279" s="273"/>
      <c r="AQ279" s="273"/>
      <c r="AR279" s="273"/>
      <c r="AS279" s="273"/>
      <c r="AT279" s="273"/>
      <c r="AU279" s="273"/>
      <c r="AV279" s="273"/>
    </row>
    <row r="280" spans="1:48" ht="12.75">
      <c r="A280" s="139"/>
      <c r="B280" s="132"/>
      <c r="C280" s="132"/>
      <c r="D280" s="132"/>
      <c r="E280" s="132"/>
      <c r="F280" s="132"/>
      <c r="G280" s="132"/>
      <c r="H280" s="135"/>
      <c r="I280" s="134"/>
      <c r="J280" s="132"/>
      <c r="K280" s="132"/>
      <c r="L280" s="132"/>
      <c r="M280" s="132"/>
      <c r="N280" s="132"/>
      <c r="O280" s="132"/>
      <c r="P280" s="132"/>
      <c r="Q280" s="135"/>
      <c r="R280" s="136"/>
      <c r="S280" s="132"/>
      <c r="T280" s="132"/>
      <c r="U280" s="132"/>
      <c r="V280" s="132"/>
      <c r="W280" s="132"/>
      <c r="X280" s="142"/>
      <c r="Y280" s="273"/>
      <c r="Z280" s="273"/>
      <c r="AA280" s="273"/>
      <c r="AB280" s="273"/>
      <c r="AC280" s="273"/>
      <c r="AD280" s="273"/>
      <c r="AE280" s="273"/>
      <c r="AF280" s="273"/>
      <c r="AG280" s="273"/>
      <c r="AH280" s="273"/>
      <c r="AI280" s="273"/>
      <c r="AJ280" s="273"/>
      <c r="AK280" s="273"/>
      <c r="AL280" s="273"/>
      <c r="AM280" s="273"/>
      <c r="AN280" s="273"/>
      <c r="AO280" s="273"/>
      <c r="AP280" s="273"/>
      <c r="AQ280" s="273"/>
      <c r="AR280" s="273"/>
      <c r="AS280" s="273"/>
      <c r="AT280" s="273"/>
      <c r="AU280" s="273"/>
      <c r="AV280" s="273"/>
    </row>
    <row r="281" spans="1:48" ht="12.75">
      <c r="A281" s="138"/>
      <c r="B281" s="31"/>
      <c r="C281" s="31"/>
      <c r="D281" s="31"/>
      <c r="E281" s="31"/>
      <c r="F281" s="31"/>
      <c r="G281" s="31"/>
      <c r="H281" s="129"/>
      <c r="I281" s="128"/>
      <c r="J281" s="31"/>
      <c r="K281" s="31"/>
      <c r="L281" s="31"/>
      <c r="M281" s="31"/>
      <c r="N281" s="31"/>
      <c r="O281" s="31"/>
      <c r="P281" s="31"/>
      <c r="Q281" s="129"/>
      <c r="R281" s="130"/>
      <c r="S281" s="31"/>
      <c r="T281" s="31"/>
      <c r="U281" s="31"/>
      <c r="V281" s="31"/>
      <c r="W281" s="31"/>
      <c r="X281" s="140"/>
      <c r="Y281" s="273"/>
      <c r="Z281" s="273"/>
      <c r="AA281" s="273"/>
      <c r="AB281" s="273"/>
      <c r="AC281" s="273"/>
      <c r="AD281" s="273"/>
      <c r="AE281" s="273"/>
      <c r="AF281" s="273"/>
      <c r="AG281" s="273"/>
      <c r="AH281" s="273"/>
      <c r="AI281" s="273"/>
      <c r="AJ281" s="273"/>
      <c r="AK281" s="273"/>
      <c r="AL281" s="273"/>
      <c r="AM281" s="273"/>
      <c r="AN281" s="273"/>
      <c r="AO281" s="273"/>
      <c r="AP281" s="273"/>
      <c r="AQ281" s="273"/>
      <c r="AR281" s="273"/>
      <c r="AS281" s="273"/>
      <c r="AT281" s="273"/>
      <c r="AU281" s="273"/>
      <c r="AV281" s="273"/>
    </row>
    <row r="282" spans="1:48" ht="12.75">
      <c r="A282" s="139"/>
      <c r="B282" s="132"/>
      <c r="C282" s="132"/>
      <c r="D282" s="132"/>
      <c r="E282" s="132"/>
      <c r="F282" s="132"/>
      <c r="G282" s="132"/>
      <c r="H282" s="135"/>
      <c r="I282" s="134"/>
      <c r="J282" s="132"/>
      <c r="K282" s="132"/>
      <c r="L282" s="132"/>
      <c r="M282" s="132"/>
      <c r="N282" s="132"/>
      <c r="O282" s="132"/>
      <c r="P282" s="132"/>
      <c r="Q282" s="135"/>
      <c r="R282" s="136"/>
      <c r="S282" s="132"/>
      <c r="T282" s="132"/>
      <c r="U282" s="132"/>
      <c r="V282" s="132"/>
      <c r="W282" s="132"/>
      <c r="X282" s="142"/>
      <c r="Y282" s="273"/>
      <c r="Z282" s="273"/>
      <c r="AA282" s="273"/>
      <c r="AB282" s="273"/>
      <c r="AC282" s="273"/>
      <c r="AD282" s="273"/>
      <c r="AE282" s="273"/>
      <c r="AF282" s="273"/>
      <c r="AG282" s="273"/>
      <c r="AH282" s="273"/>
      <c r="AI282" s="273"/>
      <c r="AJ282" s="273"/>
      <c r="AK282" s="273"/>
      <c r="AL282" s="273"/>
      <c r="AM282" s="273"/>
      <c r="AN282" s="273"/>
      <c r="AO282" s="273"/>
      <c r="AP282" s="273"/>
      <c r="AQ282" s="273"/>
      <c r="AR282" s="273"/>
      <c r="AS282" s="273"/>
      <c r="AT282" s="273"/>
      <c r="AU282" s="273"/>
      <c r="AV282" s="273"/>
    </row>
    <row r="283" spans="1:48" ht="12.75">
      <c r="A283" s="138"/>
      <c r="B283" s="31"/>
      <c r="C283" s="31"/>
      <c r="D283" s="31"/>
      <c r="E283" s="31"/>
      <c r="F283" s="31"/>
      <c r="G283" s="31"/>
      <c r="H283" s="129"/>
      <c r="I283" s="128"/>
      <c r="J283" s="31"/>
      <c r="K283" s="31"/>
      <c r="L283" s="31"/>
      <c r="M283" s="31"/>
      <c r="N283" s="31"/>
      <c r="O283" s="31"/>
      <c r="P283" s="31"/>
      <c r="Q283" s="129"/>
      <c r="R283" s="130"/>
      <c r="S283" s="31"/>
      <c r="T283" s="31"/>
      <c r="U283" s="31"/>
      <c r="V283" s="31"/>
      <c r="W283" s="31"/>
      <c r="X283" s="140"/>
      <c r="Y283" s="273"/>
      <c r="Z283" s="273"/>
      <c r="AA283" s="273"/>
      <c r="AB283" s="273"/>
      <c r="AC283" s="273"/>
      <c r="AD283" s="273"/>
      <c r="AE283" s="273"/>
      <c r="AF283" s="273"/>
      <c r="AG283" s="273"/>
      <c r="AH283" s="273"/>
      <c r="AI283" s="273"/>
      <c r="AJ283" s="273"/>
      <c r="AK283" s="273"/>
      <c r="AL283" s="273"/>
      <c r="AM283" s="273"/>
      <c r="AN283" s="273"/>
      <c r="AO283" s="273"/>
      <c r="AP283" s="273"/>
      <c r="AQ283" s="273"/>
      <c r="AR283" s="273"/>
      <c r="AS283" s="273"/>
      <c r="AT283" s="273"/>
      <c r="AU283" s="273"/>
      <c r="AV283" s="273"/>
    </row>
    <row r="284" spans="1:48" ht="12.75">
      <c r="A284" s="139"/>
      <c r="B284" s="132"/>
      <c r="C284" s="132"/>
      <c r="D284" s="132"/>
      <c r="E284" s="132"/>
      <c r="F284" s="132"/>
      <c r="G284" s="132"/>
      <c r="H284" s="135"/>
      <c r="I284" s="134"/>
      <c r="J284" s="132"/>
      <c r="K284" s="132"/>
      <c r="L284" s="132"/>
      <c r="M284" s="132"/>
      <c r="N284" s="132"/>
      <c r="O284" s="132"/>
      <c r="P284" s="132"/>
      <c r="Q284" s="135"/>
      <c r="R284" s="136"/>
      <c r="S284" s="132"/>
      <c r="T284" s="132"/>
      <c r="U284" s="132"/>
      <c r="V284" s="132"/>
      <c r="W284" s="132"/>
      <c r="X284" s="142"/>
      <c r="Y284" s="273"/>
      <c r="Z284" s="273"/>
      <c r="AA284" s="273"/>
      <c r="AB284" s="273"/>
      <c r="AC284" s="273"/>
      <c r="AD284" s="273"/>
      <c r="AE284" s="273"/>
      <c r="AF284" s="273"/>
      <c r="AG284" s="273"/>
      <c r="AH284" s="273"/>
      <c r="AI284" s="273"/>
      <c r="AJ284" s="273"/>
      <c r="AK284" s="273"/>
      <c r="AL284" s="273"/>
      <c r="AM284" s="273"/>
      <c r="AN284" s="273"/>
      <c r="AO284" s="273"/>
      <c r="AP284" s="273"/>
      <c r="AQ284" s="273"/>
      <c r="AR284" s="273"/>
      <c r="AS284" s="273"/>
      <c r="AT284" s="273"/>
      <c r="AU284" s="273"/>
      <c r="AV284" s="273"/>
    </row>
    <row r="285" spans="1:48" ht="12.75">
      <c r="A285" s="138"/>
      <c r="B285" s="31"/>
      <c r="C285" s="31"/>
      <c r="D285" s="31"/>
      <c r="E285" s="31"/>
      <c r="F285" s="31"/>
      <c r="G285" s="31"/>
      <c r="H285" s="129"/>
      <c r="I285" s="128"/>
      <c r="J285" s="31"/>
      <c r="K285" s="31"/>
      <c r="L285" s="31"/>
      <c r="M285" s="31"/>
      <c r="N285" s="31"/>
      <c r="O285" s="31"/>
      <c r="P285" s="31"/>
      <c r="Q285" s="129"/>
      <c r="R285" s="130"/>
      <c r="S285" s="31"/>
      <c r="T285" s="31"/>
      <c r="U285" s="31"/>
      <c r="V285" s="31"/>
      <c r="W285" s="31"/>
      <c r="X285" s="140"/>
      <c r="Y285" s="273"/>
      <c r="Z285" s="273"/>
      <c r="AA285" s="273"/>
      <c r="AB285" s="273"/>
      <c r="AC285" s="273"/>
      <c r="AD285" s="273"/>
      <c r="AE285" s="273"/>
      <c r="AF285" s="273"/>
      <c r="AG285" s="273"/>
      <c r="AH285" s="273"/>
      <c r="AI285" s="273"/>
      <c r="AJ285" s="273"/>
      <c r="AK285" s="273"/>
      <c r="AL285" s="273"/>
      <c r="AM285" s="273"/>
      <c r="AN285" s="273"/>
      <c r="AO285" s="273"/>
      <c r="AP285" s="273"/>
      <c r="AQ285" s="273"/>
      <c r="AR285" s="273"/>
      <c r="AS285" s="273"/>
      <c r="AT285" s="273"/>
      <c r="AU285" s="273"/>
      <c r="AV285" s="273"/>
    </row>
    <row r="286" spans="1:48" ht="12.75">
      <c r="A286" s="139"/>
      <c r="B286" s="132"/>
      <c r="C286" s="132"/>
      <c r="D286" s="132"/>
      <c r="E286" s="132"/>
      <c r="F286" s="132"/>
      <c r="G286" s="132"/>
      <c r="H286" s="135"/>
      <c r="I286" s="134"/>
      <c r="J286" s="132"/>
      <c r="K286" s="132"/>
      <c r="L286" s="132"/>
      <c r="M286" s="132"/>
      <c r="N286" s="132"/>
      <c r="O286" s="132"/>
      <c r="P286" s="132"/>
      <c r="Q286" s="135"/>
      <c r="R286" s="136"/>
      <c r="S286" s="132"/>
      <c r="T286" s="132"/>
      <c r="U286" s="132"/>
      <c r="V286" s="132"/>
      <c r="W286" s="132"/>
      <c r="X286" s="142"/>
      <c r="Y286" s="273"/>
      <c r="Z286" s="273"/>
      <c r="AA286" s="273"/>
      <c r="AB286" s="273"/>
      <c r="AC286" s="273"/>
      <c r="AD286" s="273"/>
      <c r="AE286" s="273"/>
      <c r="AF286" s="273"/>
      <c r="AG286" s="273"/>
      <c r="AH286" s="273"/>
      <c r="AI286" s="273"/>
      <c r="AJ286" s="273"/>
      <c r="AK286" s="273"/>
      <c r="AL286" s="273"/>
      <c r="AM286" s="273"/>
      <c r="AN286" s="273"/>
      <c r="AO286" s="273"/>
      <c r="AP286" s="273"/>
      <c r="AQ286" s="273"/>
      <c r="AR286" s="273"/>
      <c r="AS286" s="273"/>
      <c r="AT286" s="273"/>
      <c r="AU286" s="273"/>
      <c r="AV286" s="273"/>
    </row>
    <row r="287" spans="1:48" ht="12.75">
      <c r="A287" s="138"/>
      <c r="B287" s="31"/>
      <c r="C287" s="31"/>
      <c r="D287" s="31"/>
      <c r="E287" s="31"/>
      <c r="F287" s="31"/>
      <c r="G287" s="31"/>
      <c r="H287" s="129"/>
      <c r="I287" s="128"/>
      <c r="J287" s="31"/>
      <c r="K287" s="31"/>
      <c r="L287" s="31"/>
      <c r="M287" s="31"/>
      <c r="N287" s="31"/>
      <c r="O287" s="31"/>
      <c r="P287" s="31"/>
      <c r="Q287" s="129"/>
      <c r="R287" s="130"/>
      <c r="S287" s="31"/>
      <c r="T287" s="31"/>
      <c r="U287" s="31"/>
      <c r="V287" s="31"/>
      <c r="W287" s="31"/>
      <c r="X287" s="140"/>
      <c r="Y287" s="273"/>
      <c r="Z287" s="273"/>
      <c r="AA287" s="273"/>
      <c r="AB287" s="273"/>
      <c r="AC287" s="273"/>
      <c r="AD287" s="273"/>
      <c r="AE287" s="273"/>
      <c r="AF287" s="273"/>
      <c r="AG287" s="273"/>
      <c r="AH287" s="273"/>
      <c r="AI287" s="273"/>
      <c r="AJ287" s="273"/>
      <c r="AK287" s="273"/>
      <c r="AL287" s="273"/>
      <c r="AM287" s="273"/>
      <c r="AN287" s="273"/>
      <c r="AO287" s="273"/>
      <c r="AP287" s="273"/>
      <c r="AQ287" s="273"/>
      <c r="AR287" s="273"/>
      <c r="AS287" s="273"/>
      <c r="AT287" s="273"/>
      <c r="AU287" s="273"/>
      <c r="AV287" s="273"/>
    </row>
    <row r="288" spans="1:48" ht="12.75">
      <c r="A288" s="139"/>
      <c r="B288" s="132"/>
      <c r="C288" s="132"/>
      <c r="D288" s="132"/>
      <c r="E288" s="132"/>
      <c r="F288" s="132"/>
      <c r="G288" s="132"/>
      <c r="H288" s="135"/>
      <c r="I288" s="134"/>
      <c r="J288" s="132"/>
      <c r="K288" s="132"/>
      <c r="L288" s="132"/>
      <c r="M288" s="132"/>
      <c r="N288" s="132"/>
      <c r="O288" s="132"/>
      <c r="P288" s="132"/>
      <c r="Q288" s="135"/>
      <c r="R288" s="136"/>
      <c r="S288" s="132"/>
      <c r="T288" s="132"/>
      <c r="U288" s="132"/>
      <c r="V288" s="132"/>
      <c r="W288" s="132"/>
      <c r="X288" s="142"/>
      <c r="Y288" s="273"/>
      <c r="Z288" s="273"/>
      <c r="AA288" s="273"/>
      <c r="AB288" s="273"/>
      <c r="AC288" s="273"/>
      <c r="AD288" s="273"/>
      <c r="AE288" s="273"/>
      <c r="AF288" s="273"/>
      <c r="AG288" s="273"/>
      <c r="AH288" s="273"/>
      <c r="AI288" s="273"/>
      <c r="AJ288" s="273"/>
      <c r="AK288" s="273"/>
      <c r="AL288" s="273"/>
      <c r="AM288" s="273"/>
      <c r="AN288" s="273"/>
      <c r="AO288" s="273"/>
      <c r="AP288" s="273"/>
      <c r="AQ288" s="273"/>
      <c r="AR288" s="273"/>
      <c r="AS288" s="273"/>
      <c r="AT288" s="273"/>
      <c r="AU288" s="273"/>
      <c r="AV288" s="273"/>
    </row>
    <row r="289" spans="1:48" ht="12.75">
      <c r="A289" s="138"/>
      <c r="B289" s="31"/>
      <c r="C289" s="31"/>
      <c r="D289" s="31"/>
      <c r="E289" s="31"/>
      <c r="F289" s="31"/>
      <c r="G289" s="31"/>
      <c r="H289" s="129"/>
      <c r="I289" s="128"/>
      <c r="J289" s="31"/>
      <c r="K289" s="31"/>
      <c r="L289" s="31"/>
      <c r="M289" s="31"/>
      <c r="N289" s="31"/>
      <c r="O289" s="31"/>
      <c r="P289" s="31"/>
      <c r="Q289" s="129"/>
      <c r="R289" s="130"/>
      <c r="S289" s="31"/>
      <c r="T289" s="31"/>
      <c r="U289" s="31"/>
      <c r="V289" s="31"/>
      <c r="W289" s="31"/>
      <c r="X289" s="140"/>
      <c r="Y289" s="273"/>
      <c r="Z289" s="273"/>
      <c r="AA289" s="273"/>
      <c r="AB289" s="273"/>
      <c r="AC289" s="273"/>
      <c r="AD289" s="273"/>
      <c r="AE289" s="273"/>
      <c r="AF289" s="273"/>
      <c r="AG289" s="273"/>
      <c r="AH289" s="273"/>
      <c r="AI289" s="273"/>
      <c r="AJ289" s="273"/>
      <c r="AK289" s="273"/>
      <c r="AL289" s="273"/>
      <c r="AM289" s="273"/>
      <c r="AN289" s="273"/>
      <c r="AO289" s="273"/>
      <c r="AP289" s="273"/>
      <c r="AQ289" s="273"/>
      <c r="AR289" s="273"/>
      <c r="AS289" s="273"/>
      <c r="AT289" s="273"/>
      <c r="AU289" s="273"/>
      <c r="AV289" s="273"/>
    </row>
    <row r="290" spans="1:48" ht="12.75">
      <c r="A290" s="139"/>
      <c r="B290" s="132"/>
      <c r="C290" s="132"/>
      <c r="D290" s="132"/>
      <c r="E290" s="132"/>
      <c r="F290" s="132"/>
      <c r="G290" s="132"/>
      <c r="H290" s="135"/>
      <c r="I290" s="134"/>
      <c r="J290" s="132"/>
      <c r="K290" s="132"/>
      <c r="L290" s="132"/>
      <c r="M290" s="132"/>
      <c r="N290" s="132"/>
      <c r="O290" s="132"/>
      <c r="P290" s="132"/>
      <c r="Q290" s="135"/>
      <c r="R290" s="136"/>
      <c r="S290" s="132"/>
      <c r="T290" s="132"/>
      <c r="U290" s="132"/>
      <c r="V290" s="132"/>
      <c r="W290" s="132"/>
      <c r="X290" s="142"/>
      <c r="Y290" s="273"/>
      <c r="Z290" s="273"/>
      <c r="AA290" s="273"/>
      <c r="AB290" s="273"/>
      <c r="AC290" s="273"/>
      <c r="AD290" s="273"/>
      <c r="AE290" s="273"/>
      <c r="AF290" s="273"/>
      <c r="AG290" s="273"/>
      <c r="AH290" s="273"/>
      <c r="AI290" s="273"/>
      <c r="AJ290" s="273"/>
      <c r="AK290" s="273"/>
      <c r="AL290" s="273"/>
      <c r="AM290" s="273"/>
      <c r="AN290" s="273"/>
      <c r="AO290" s="273"/>
      <c r="AP290" s="273"/>
      <c r="AQ290" s="273"/>
      <c r="AR290" s="273"/>
      <c r="AS290" s="273"/>
      <c r="AT290" s="273"/>
      <c r="AU290" s="273"/>
      <c r="AV290" s="273"/>
    </row>
    <row r="291" spans="1:48" ht="12.75">
      <c r="A291" s="138"/>
      <c r="B291" s="31"/>
      <c r="C291" s="31"/>
      <c r="D291" s="31"/>
      <c r="E291" s="31"/>
      <c r="F291" s="31"/>
      <c r="G291" s="31"/>
      <c r="H291" s="129"/>
      <c r="I291" s="128"/>
      <c r="J291" s="31"/>
      <c r="K291" s="31"/>
      <c r="L291" s="31"/>
      <c r="M291" s="31"/>
      <c r="N291" s="31"/>
      <c r="O291" s="31"/>
      <c r="P291" s="31"/>
      <c r="Q291" s="129"/>
      <c r="R291" s="130"/>
      <c r="S291" s="31"/>
      <c r="T291" s="31"/>
      <c r="U291" s="31"/>
      <c r="V291" s="31"/>
      <c r="W291" s="31"/>
      <c r="X291" s="140"/>
      <c r="Y291" s="273"/>
      <c r="Z291" s="273"/>
      <c r="AA291" s="273"/>
      <c r="AB291" s="273"/>
      <c r="AC291" s="273"/>
      <c r="AD291" s="273"/>
      <c r="AE291" s="273"/>
      <c r="AF291" s="273"/>
      <c r="AG291" s="273"/>
      <c r="AH291" s="273"/>
      <c r="AI291" s="273"/>
      <c r="AJ291" s="273"/>
      <c r="AK291" s="273"/>
      <c r="AL291" s="273"/>
      <c r="AM291" s="273"/>
      <c r="AN291" s="273"/>
      <c r="AO291" s="273"/>
      <c r="AP291" s="273"/>
      <c r="AQ291" s="273"/>
      <c r="AR291" s="273"/>
      <c r="AS291" s="273"/>
      <c r="AT291" s="273"/>
      <c r="AU291" s="273"/>
      <c r="AV291" s="273"/>
    </row>
    <row r="292" spans="1:48" ht="12.75">
      <c r="A292" s="139"/>
      <c r="B292" s="132"/>
      <c r="C292" s="132"/>
      <c r="D292" s="132"/>
      <c r="E292" s="132"/>
      <c r="F292" s="132"/>
      <c r="G292" s="132"/>
      <c r="H292" s="135"/>
      <c r="I292" s="134"/>
      <c r="J292" s="132"/>
      <c r="K292" s="132"/>
      <c r="L292" s="132"/>
      <c r="M292" s="132"/>
      <c r="N292" s="132"/>
      <c r="O292" s="132"/>
      <c r="P292" s="132"/>
      <c r="Q292" s="135"/>
      <c r="R292" s="136"/>
      <c r="S292" s="132"/>
      <c r="T292" s="132"/>
      <c r="U292" s="132"/>
      <c r="V292" s="132"/>
      <c r="W292" s="132"/>
      <c r="X292" s="142"/>
      <c r="Y292" s="273"/>
      <c r="Z292" s="273"/>
      <c r="AA292" s="273"/>
      <c r="AB292" s="273"/>
      <c r="AC292" s="273"/>
      <c r="AD292" s="273"/>
      <c r="AE292" s="273"/>
      <c r="AF292" s="273"/>
      <c r="AG292" s="273"/>
      <c r="AH292" s="273"/>
      <c r="AI292" s="273"/>
      <c r="AJ292" s="273"/>
      <c r="AK292" s="273"/>
      <c r="AL292" s="273"/>
      <c r="AM292" s="273"/>
      <c r="AN292" s="273"/>
      <c r="AO292" s="273"/>
      <c r="AP292" s="273"/>
      <c r="AQ292" s="273"/>
      <c r="AR292" s="273"/>
      <c r="AS292" s="273"/>
      <c r="AT292" s="273"/>
      <c r="AU292" s="273"/>
      <c r="AV292" s="273"/>
    </row>
    <row r="293" spans="1:48" ht="12.75">
      <c r="A293" s="138"/>
      <c r="B293" s="31"/>
      <c r="C293" s="31"/>
      <c r="D293" s="31"/>
      <c r="E293" s="31"/>
      <c r="F293" s="31"/>
      <c r="G293" s="31"/>
      <c r="H293" s="129"/>
      <c r="I293" s="128"/>
      <c r="J293" s="31"/>
      <c r="K293" s="31"/>
      <c r="L293" s="31"/>
      <c r="M293" s="31"/>
      <c r="N293" s="31"/>
      <c r="O293" s="31"/>
      <c r="P293" s="31"/>
      <c r="Q293" s="129"/>
      <c r="R293" s="130"/>
      <c r="S293" s="31"/>
      <c r="T293" s="31"/>
      <c r="U293" s="31"/>
      <c r="V293" s="31"/>
      <c r="W293" s="31"/>
      <c r="X293" s="140"/>
      <c r="Y293" s="273"/>
      <c r="Z293" s="273"/>
      <c r="AA293" s="273"/>
      <c r="AB293" s="273"/>
      <c r="AC293" s="273"/>
      <c r="AD293" s="273"/>
      <c r="AE293" s="273"/>
      <c r="AF293" s="273"/>
      <c r="AG293" s="273"/>
      <c r="AH293" s="273"/>
      <c r="AI293" s="273"/>
      <c r="AJ293" s="273"/>
      <c r="AK293" s="273"/>
      <c r="AL293" s="273"/>
      <c r="AM293" s="273"/>
      <c r="AN293" s="273"/>
      <c r="AO293" s="273"/>
      <c r="AP293" s="273"/>
      <c r="AQ293" s="273"/>
      <c r="AR293" s="273"/>
      <c r="AS293" s="273"/>
      <c r="AT293" s="273"/>
      <c r="AU293" s="273"/>
      <c r="AV293" s="273"/>
    </row>
    <row r="294" spans="1:48" ht="12.75">
      <c r="A294" s="139"/>
      <c r="B294" s="132"/>
      <c r="C294" s="132"/>
      <c r="D294" s="132"/>
      <c r="E294" s="132"/>
      <c r="F294" s="132"/>
      <c r="G294" s="132"/>
      <c r="H294" s="135"/>
      <c r="I294" s="134"/>
      <c r="J294" s="132"/>
      <c r="K294" s="132"/>
      <c r="L294" s="132"/>
      <c r="M294" s="132"/>
      <c r="N294" s="132"/>
      <c r="O294" s="132"/>
      <c r="P294" s="132"/>
      <c r="Q294" s="135"/>
      <c r="R294" s="136"/>
      <c r="S294" s="132"/>
      <c r="T294" s="132"/>
      <c r="U294" s="132"/>
      <c r="V294" s="132"/>
      <c r="W294" s="132"/>
      <c r="X294" s="142"/>
      <c r="Y294" s="273"/>
      <c r="Z294" s="273"/>
      <c r="AA294" s="273"/>
      <c r="AB294" s="273"/>
      <c r="AC294" s="273"/>
      <c r="AD294" s="273"/>
      <c r="AE294" s="273"/>
      <c r="AF294" s="273"/>
      <c r="AG294" s="273"/>
      <c r="AH294" s="273"/>
      <c r="AI294" s="273"/>
      <c r="AJ294" s="273"/>
      <c r="AK294" s="273"/>
      <c r="AL294" s="273"/>
      <c r="AM294" s="273"/>
      <c r="AN294" s="273"/>
      <c r="AO294" s="273"/>
      <c r="AP294" s="273"/>
      <c r="AQ294" s="273"/>
      <c r="AR294" s="273"/>
      <c r="AS294" s="273"/>
      <c r="AT294" s="273"/>
      <c r="AU294" s="273"/>
      <c r="AV294" s="273"/>
    </row>
    <row r="295" spans="1:48" ht="12.75">
      <c r="A295" s="138"/>
      <c r="B295" s="31"/>
      <c r="C295" s="31"/>
      <c r="D295" s="31"/>
      <c r="E295" s="31"/>
      <c r="F295" s="31"/>
      <c r="G295" s="31"/>
      <c r="H295" s="129"/>
      <c r="I295" s="128"/>
      <c r="J295" s="31"/>
      <c r="K295" s="31"/>
      <c r="L295" s="31"/>
      <c r="M295" s="31"/>
      <c r="N295" s="31"/>
      <c r="O295" s="31"/>
      <c r="P295" s="31"/>
      <c r="Q295" s="129"/>
      <c r="R295" s="130"/>
      <c r="S295" s="31"/>
      <c r="T295" s="31"/>
      <c r="U295" s="31"/>
      <c r="V295" s="31"/>
      <c r="W295" s="31"/>
      <c r="X295" s="140"/>
      <c r="Y295" s="273"/>
      <c r="Z295" s="273"/>
      <c r="AA295" s="273"/>
      <c r="AB295" s="273"/>
      <c r="AC295" s="273"/>
      <c r="AD295" s="273"/>
      <c r="AE295" s="273"/>
      <c r="AF295" s="273"/>
      <c r="AG295" s="273"/>
      <c r="AH295" s="273"/>
      <c r="AI295" s="273"/>
      <c r="AJ295" s="273"/>
      <c r="AK295" s="273"/>
      <c r="AL295" s="273"/>
      <c r="AM295" s="273"/>
      <c r="AN295" s="273"/>
      <c r="AO295" s="273"/>
      <c r="AP295" s="273"/>
      <c r="AQ295" s="273"/>
      <c r="AR295" s="273"/>
      <c r="AS295" s="273"/>
      <c r="AT295" s="273"/>
      <c r="AU295" s="273"/>
      <c r="AV295" s="273"/>
    </row>
    <row r="296" spans="1:48" ht="12.75">
      <c r="A296" s="139"/>
      <c r="B296" s="132"/>
      <c r="C296" s="132"/>
      <c r="D296" s="132"/>
      <c r="E296" s="132"/>
      <c r="F296" s="132"/>
      <c r="G296" s="132"/>
      <c r="H296" s="135"/>
      <c r="I296" s="134"/>
      <c r="J296" s="132"/>
      <c r="K296" s="132"/>
      <c r="L296" s="132"/>
      <c r="M296" s="132"/>
      <c r="N296" s="132"/>
      <c r="O296" s="132"/>
      <c r="P296" s="132"/>
      <c r="Q296" s="135"/>
      <c r="R296" s="136"/>
      <c r="S296" s="132"/>
      <c r="T296" s="132"/>
      <c r="U296" s="132"/>
      <c r="V296" s="132"/>
      <c r="W296" s="132"/>
      <c r="X296" s="142"/>
      <c r="Y296" s="273"/>
      <c r="Z296" s="273"/>
      <c r="AA296" s="273"/>
      <c r="AB296" s="273"/>
      <c r="AC296" s="273"/>
      <c r="AD296" s="273"/>
      <c r="AE296" s="273"/>
      <c r="AF296" s="273"/>
      <c r="AG296" s="273"/>
      <c r="AH296" s="273"/>
      <c r="AI296" s="273"/>
      <c r="AJ296" s="273"/>
      <c r="AK296" s="273"/>
      <c r="AL296" s="273"/>
      <c r="AM296" s="273"/>
      <c r="AN296" s="273"/>
      <c r="AO296" s="273"/>
      <c r="AP296" s="273"/>
      <c r="AQ296" s="273"/>
      <c r="AR296" s="273"/>
      <c r="AS296" s="273"/>
      <c r="AT296" s="273"/>
      <c r="AU296" s="273"/>
      <c r="AV296" s="273"/>
    </row>
    <row r="297" spans="1:48" ht="12.75">
      <c r="A297" s="138"/>
      <c r="B297" s="31"/>
      <c r="C297" s="31"/>
      <c r="D297" s="31"/>
      <c r="E297" s="31"/>
      <c r="F297" s="31"/>
      <c r="G297" s="31"/>
      <c r="H297" s="129"/>
      <c r="I297" s="128"/>
      <c r="J297" s="31"/>
      <c r="K297" s="31"/>
      <c r="L297" s="31"/>
      <c r="M297" s="31"/>
      <c r="N297" s="31"/>
      <c r="O297" s="31"/>
      <c r="P297" s="31"/>
      <c r="Q297" s="129"/>
      <c r="R297" s="130"/>
      <c r="S297" s="31"/>
      <c r="T297" s="31"/>
      <c r="U297" s="31"/>
      <c r="V297" s="31"/>
      <c r="W297" s="31"/>
      <c r="X297" s="140"/>
      <c r="Y297" s="273"/>
      <c r="Z297" s="273"/>
      <c r="AA297" s="273"/>
      <c r="AB297" s="273"/>
      <c r="AC297" s="273"/>
      <c r="AD297" s="273"/>
      <c r="AE297" s="273"/>
      <c r="AF297" s="273"/>
      <c r="AG297" s="273"/>
      <c r="AH297" s="273"/>
      <c r="AI297" s="273"/>
      <c r="AJ297" s="273"/>
      <c r="AK297" s="273"/>
      <c r="AL297" s="273"/>
      <c r="AM297" s="273"/>
      <c r="AN297" s="273"/>
      <c r="AO297" s="273"/>
      <c r="AP297" s="273"/>
      <c r="AQ297" s="273"/>
      <c r="AR297" s="273"/>
      <c r="AS297" s="273"/>
      <c r="AT297" s="273"/>
      <c r="AU297" s="273"/>
      <c r="AV297" s="273"/>
    </row>
    <row r="298" spans="1:48" ht="12.75">
      <c r="A298" s="139"/>
      <c r="B298" s="132"/>
      <c r="C298" s="132"/>
      <c r="D298" s="132"/>
      <c r="E298" s="132"/>
      <c r="F298" s="132"/>
      <c r="G298" s="132"/>
      <c r="H298" s="135"/>
      <c r="I298" s="134"/>
      <c r="J298" s="132"/>
      <c r="K298" s="132"/>
      <c r="L298" s="132"/>
      <c r="M298" s="132"/>
      <c r="N298" s="132"/>
      <c r="O298" s="132"/>
      <c r="P298" s="132"/>
      <c r="Q298" s="135"/>
      <c r="R298" s="136"/>
      <c r="S298" s="132"/>
      <c r="T298" s="132"/>
      <c r="U298" s="132"/>
      <c r="V298" s="132"/>
      <c r="W298" s="132"/>
      <c r="X298" s="142"/>
      <c r="Y298" s="273"/>
      <c r="Z298" s="273"/>
      <c r="AA298" s="273"/>
      <c r="AB298" s="273"/>
      <c r="AC298" s="273"/>
      <c r="AD298" s="273"/>
      <c r="AE298" s="273"/>
      <c r="AF298" s="273"/>
      <c r="AG298" s="273"/>
      <c r="AH298" s="273"/>
      <c r="AI298" s="273"/>
      <c r="AJ298" s="273"/>
      <c r="AK298" s="273"/>
      <c r="AL298" s="273"/>
      <c r="AM298" s="273"/>
      <c r="AN298" s="273"/>
      <c r="AO298" s="273"/>
      <c r="AP298" s="273"/>
      <c r="AQ298" s="273"/>
      <c r="AR298" s="273"/>
      <c r="AS298" s="273"/>
      <c r="AT298" s="273"/>
      <c r="AU298" s="273"/>
      <c r="AV298" s="273"/>
    </row>
    <row r="299" spans="1:48" ht="12.75">
      <c r="A299" s="138"/>
      <c r="B299" s="31"/>
      <c r="C299" s="31"/>
      <c r="D299" s="31"/>
      <c r="E299" s="31"/>
      <c r="F299" s="31"/>
      <c r="G299" s="31"/>
      <c r="H299" s="129"/>
      <c r="I299" s="128"/>
      <c r="J299" s="31"/>
      <c r="K299" s="31"/>
      <c r="L299" s="31"/>
      <c r="M299" s="31"/>
      <c r="N299" s="31"/>
      <c r="O299" s="31"/>
      <c r="P299" s="31"/>
      <c r="Q299" s="129"/>
      <c r="R299" s="130"/>
      <c r="S299" s="31"/>
      <c r="T299" s="31"/>
      <c r="U299" s="31"/>
      <c r="V299" s="31"/>
      <c r="W299" s="31"/>
      <c r="X299" s="140"/>
      <c r="Y299" s="273"/>
      <c r="Z299" s="273"/>
      <c r="AA299" s="273"/>
      <c r="AB299" s="273"/>
      <c r="AC299" s="273"/>
      <c r="AD299" s="273"/>
      <c r="AE299" s="273"/>
      <c r="AF299" s="273"/>
      <c r="AG299" s="273"/>
      <c r="AH299" s="273"/>
      <c r="AI299" s="273"/>
      <c r="AJ299" s="273"/>
      <c r="AK299" s="273"/>
      <c r="AL299" s="273"/>
      <c r="AM299" s="273"/>
      <c r="AN299" s="273"/>
      <c r="AO299" s="273"/>
      <c r="AP299" s="273"/>
      <c r="AQ299" s="273"/>
      <c r="AR299" s="273"/>
      <c r="AS299" s="273"/>
      <c r="AT299" s="273"/>
      <c r="AU299" s="273"/>
      <c r="AV299" s="273"/>
    </row>
    <row r="300" spans="1:48" ht="12.75">
      <c r="A300" s="139"/>
      <c r="B300" s="132"/>
      <c r="C300" s="132"/>
      <c r="D300" s="132"/>
      <c r="E300" s="132"/>
      <c r="F300" s="132"/>
      <c r="G300" s="132"/>
      <c r="H300" s="135"/>
      <c r="I300" s="134"/>
      <c r="J300" s="132"/>
      <c r="K300" s="132"/>
      <c r="L300" s="132"/>
      <c r="M300" s="132"/>
      <c r="N300" s="132"/>
      <c r="O300" s="132"/>
      <c r="P300" s="132"/>
      <c r="Q300" s="135"/>
      <c r="R300" s="136"/>
      <c r="S300" s="132"/>
      <c r="T300" s="132"/>
      <c r="U300" s="132"/>
      <c r="V300" s="132"/>
      <c r="W300" s="132"/>
      <c r="X300" s="142"/>
      <c r="Y300" s="273"/>
      <c r="Z300" s="273"/>
      <c r="AA300" s="273"/>
      <c r="AB300" s="273"/>
      <c r="AC300" s="273"/>
      <c r="AD300" s="273"/>
      <c r="AE300" s="273"/>
      <c r="AF300" s="273"/>
      <c r="AG300" s="273"/>
      <c r="AH300" s="273"/>
      <c r="AI300" s="273"/>
      <c r="AJ300" s="273"/>
      <c r="AK300" s="273"/>
      <c r="AL300" s="273"/>
      <c r="AM300" s="273"/>
      <c r="AN300" s="273"/>
      <c r="AO300" s="273"/>
      <c r="AP300" s="273"/>
      <c r="AQ300" s="273"/>
      <c r="AR300" s="273"/>
      <c r="AS300" s="273"/>
      <c r="AT300" s="273"/>
      <c r="AU300" s="273"/>
      <c r="AV300" s="273"/>
    </row>
    <row r="301" spans="1:48" ht="12.75">
      <c r="A301" s="138"/>
      <c r="B301" s="31"/>
      <c r="C301" s="31"/>
      <c r="D301" s="31"/>
      <c r="E301" s="31"/>
      <c r="F301" s="31"/>
      <c r="G301" s="31"/>
      <c r="H301" s="129"/>
      <c r="I301" s="128"/>
      <c r="J301" s="31"/>
      <c r="K301" s="31"/>
      <c r="L301" s="31"/>
      <c r="M301" s="31"/>
      <c r="N301" s="31"/>
      <c r="O301" s="31"/>
      <c r="P301" s="31"/>
      <c r="Q301" s="129"/>
      <c r="R301" s="130"/>
      <c r="S301" s="31"/>
      <c r="T301" s="31"/>
      <c r="U301" s="31"/>
      <c r="V301" s="31"/>
      <c r="W301" s="31"/>
      <c r="X301" s="140"/>
      <c r="Y301" s="273"/>
      <c r="Z301" s="273"/>
      <c r="AA301" s="273"/>
      <c r="AB301" s="273"/>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row>
    <row r="302" spans="1:48" ht="12.75">
      <c r="A302" s="139"/>
      <c r="B302" s="132"/>
      <c r="C302" s="132"/>
      <c r="D302" s="132"/>
      <c r="E302" s="132"/>
      <c r="F302" s="132"/>
      <c r="G302" s="132"/>
      <c r="H302" s="135"/>
      <c r="I302" s="134"/>
      <c r="J302" s="132"/>
      <c r="K302" s="132"/>
      <c r="L302" s="132"/>
      <c r="M302" s="132"/>
      <c r="N302" s="132"/>
      <c r="O302" s="132"/>
      <c r="P302" s="132"/>
      <c r="Q302" s="135"/>
      <c r="R302" s="136"/>
      <c r="S302" s="132"/>
      <c r="T302" s="132"/>
      <c r="U302" s="132"/>
      <c r="V302" s="132"/>
      <c r="W302" s="132"/>
      <c r="X302" s="142"/>
      <c r="Y302" s="273"/>
      <c r="Z302" s="273"/>
      <c r="AA302" s="273"/>
      <c r="AB302" s="273"/>
      <c r="AC302" s="273"/>
      <c r="AD302" s="273"/>
      <c r="AE302" s="273"/>
      <c r="AF302" s="273"/>
      <c r="AG302" s="273"/>
      <c r="AH302" s="273"/>
      <c r="AI302" s="273"/>
      <c r="AJ302" s="273"/>
      <c r="AK302" s="273"/>
      <c r="AL302" s="273"/>
      <c r="AM302" s="273"/>
      <c r="AN302" s="273"/>
      <c r="AO302" s="273"/>
      <c r="AP302" s="273"/>
      <c r="AQ302" s="273"/>
      <c r="AR302" s="273"/>
      <c r="AS302" s="273"/>
      <c r="AT302" s="273"/>
      <c r="AU302" s="273"/>
      <c r="AV302" s="273"/>
    </row>
    <row r="303" spans="1:48" ht="12.75">
      <c r="A303" s="138"/>
      <c r="B303" s="31"/>
      <c r="C303" s="31"/>
      <c r="D303" s="31"/>
      <c r="E303" s="31"/>
      <c r="F303" s="31"/>
      <c r="G303" s="31"/>
      <c r="H303" s="129"/>
      <c r="I303" s="128"/>
      <c r="J303" s="31"/>
      <c r="K303" s="31"/>
      <c r="L303" s="31"/>
      <c r="M303" s="31"/>
      <c r="N303" s="31"/>
      <c r="O303" s="31"/>
      <c r="P303" s="31"/>
      <c r="Q303" s="129"/>
      <c r="R303" s="130"/>
      <c r="S303" s="31"/>
      <c r="T303" s="31"/>
      <c r="U303" s="31"/>
      <c r="V303" s="31"/>
      <c r="W303" s="31"/>
      <c r="X303" s="140"/>
      <c r="Y303" s="273"/>
      <c r="Z303" s="273"/>
      <c r="AA303" s="273"/>
      <c r="AB303" s="273"/>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row>
    <row r="304" spans="1:48" ht="12.75">
      <c r="A304" s="139"/>
      <c r="B304" s="132"/>
      <c r="C304" s="132"/>
      <c r="D304" s="132"/>
      <c r="E304" s="132"/>
      <c r="F304" s="132"/>
      <c r="G304" s="132"/>
      <c r="H304" s="135"/>
      <c r="I304" s="134"/>
      <c r="J304" s="132"/>
      <c r="K304" s="132"/>
      <c r="L304" s="132"/>
      <c r="M304" s="132"/>
      <c r="N304" s="132"/>
      <c r="O304" s="132"/>
      <c r="P304" s="132"/>
      <c r="Q304" s="135"/>
      <c r="R304" s="136"/>
      <c r="S304" s="132"/>
      <c r="T304" s="132"/>
      <c r="U304" s="132"/>
      <c r="V304" s="132"/>
      <c r="W304" s="132"/>
      <c r="X304" s="142"/>
      <c r="Y304" s="273"/>
      <c r="Z304" s="273"/>
      <c r="AA304" s="273"/>
      <c r="AB304" s="273"/>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row>
    <row r="305" spans="1:48" ht="12.75">
      <c r="A305" s="138"/>
      <c r="B305" s="31"/>
      <c r="C305" s="31"/>
      <c r="D305" s="31"/>
      <c r="E305" s="31"/>
      <c r="F305" s="31"/>
      <c r="G305" s="31"/>
      <c r="H305" s="129"/>
      <c r="I305" s="128"/>
      <c r="J305" s="31"/>
      <c r="K305" s="31"/>
      <c r="L305" s="31"/>
      <c r="M305" s="31"/>
      <c r="N305" s="31"/>
      <c r="O305" s="31"/>
      <c r="P305" s="31"/>
      <c r="Q305" s="129"/>
      <c r="R305" s="130"/>
      <c r="S305" s="31"/>
      <c r="T305" s="31"/>
      <c r="U305" s="31"/>
      <c r="V305" s="31"/>
      <c r="W305" s="31"/>
      <c r="X305" s="140"/>
      <c r="Y305" s="273"/>
      <c r="Z305" s="273"/>
      <c r="AA305" s="273"/>
      <c r="AB305" s="273"/>
      <c r="AC305" s="273"/>
      <c r="AD305" s="273"/>
      <c r="AE305" s="273"/>
      <c r="AF305" s="273"/>
      <c r="AG305" s="273"/>
      <c r="AH305" s="273"/>
      <c r="AI305" s="273"/>
      <c r="AJ305" s="273"/>
      <c r="AK305" s="273"/>
      <c r="AL305" s="273"/>
      <c r="AM305" s="273"/>
      <c r="AN305" s="273"/>
      <c r="AO305" s="273"/>
      <c r="AP305" s="273"/>
      <c r="AQ305" s="273"/>
      <c r="AR305" s="273"/>
      <c r="AS305" s="273"/>
      <c r="AT305" s="273"/>
      <c r="AU305" s="273"/>
      <c r="AV305" s="273"/>
    </row>
    <row r="306" spans="1:48" ht="12.75">
      <c r="A306" s="139"/>
      <c r="B306" s="132"/>
      <c r="C306" s="132"/>
      <c r="D306" s="132"/>
      <c r="E306" s="132"/>
      <c r="F306" s="132"/>
      <c r="G306" s="132"/>
      <c r="H306" s="135"/>
      <c r="I306" s="134"/>
      <c r="J306" s="132"/>
      <c r="K306" s="132"/>
      <c r="L306" s="132"/>
      <c r="M306" s="132"/>
      <c r="N306" s="132"/>
      <c r="O306" s="132"/>
      <c r="P306" s="132"/>
      <c r="Q306" s="135"/>
      <c r="R306" s="136"/>
      <c r="S306" s="132"/>
      <c r="T306" s="132"/>
      <c r="U306" s="132"/>
      <c r="V306" s="132"/>
      <c r="W306" s="132"/>
      <c r="X306" s="142"/>
      <c r="Y306" s="273"/>
      <c r="Z306" s="273"/>
      <c r="AA306" s="273"/>
      <c r="AB306" s="273"/>
      <c r="AC306" s="273"/>
      <c r="AD306" s="273"/>
      <c r="AE306" s="273"/>
      <c r="AF306" s="273"/>
      <c r="AG306" s="273"/>
      <c r="AH306" s="273"/>
      <c r="AI306" s="273"/>
      <c r="AJ306" s="273"/>
      <c r="AK306" s="273"/>
      <c r="AL306" s="273"/>
      <c r="AM306" s="273"/>
      <c r="AN306" s="273"/>
      <c r="AO306" s="273"/>
      <c r="AP306" s="273"/>
      <c r="AQ306" s="273"/>
      <c r="AR306" s="273"/>
      <c r="AS306" s="273"/>
      <c r="AT306" s="273"/>
      <c r="AU306" s="273"/>
      <c r="AV306" s="273"/>
    </row>
    <row r="307" spans="1:48" ht="12.75">
      <c r="A307" s="138"/>
      <c r="B307" s="31"/>
      <c r="C307" s="31"/>
      <c r="D307" s="31"/>
      <c r="E307" s="31"/>
      <c r="F307" s="31"/>
      <c r="G307" s="31"/>
      <c r="H307" s="129"/>
      <c r="I307" s="128"/>
      <c r="J307" s="31"/>
      <c r="K307" s="31"/>
      <c r="L307" s="31"/>
      <c r="M307" s="31"/>
      <c r="N307" s="31"/>
      <c r="O307" s="31"/>
      <c r="P307" s="31"/>
      <c r="Q307" s="129"/>
      <c r="R307" s="130"/>
      <c r="S307" s="31"/>
      <c r="T307" s="31"/>
      <c r="U307" s="31"/>
      <c r="V307" s="31"/>
      <c r="W307" s="31"/>
      <c r="X307" s="140"/>
      <c r="Y307" s="273"/>
      <c r="Z307" s="273"/>
      <c r="AA307" s="273"/>
      <c r="AB307" s="273"/>
      <c r="AC307" s="273"/>
      <c r="AD307" s="273"/>
      <c r="AE307" s="273"/>
      <c r="AF307" s="273"/>
      <c r="AG307" s="273"/>
      <c r="AH307" s="273"/>
      <c r="AI307" s="273"/>
      <c r="AJ307" s="273"/>
      <c r="AK307" s="273"/>
      <c r="AL307" s="273"/>
      <c r="AM307" s="273"/>
      <c r="AN307" s="273"/>
      <c r="AO307" s="273"/>
      <c r="AP307" s="273"/>
      <c r="AQ307" s="273"/>
      <c r="AR307" s="273"/>
      <c r="AS307" s="273"/>
      <c r="AT307" s="273"/>
      <c r="AU307" s="273"/>
      <c r="AV307" s="273"/>
    </row>
    <row r="308" spans="1:48" ht="12.75">
      <c r="A308" s="139"/>
      <c r="B308" s="132"/>
      <c r="C308" s="132"/>
      <c r="D308" s="132"/>
      <c r="E308" s="132"/>
      <c r="F308" s="132"/>
      <c r="G308" s="132"/>
      <c r="H308" s="135"/>
      <c r="I308" s="134"/>
      <c r="J308" s="132"/>
      <c r="K308" s="132"/>
      <c r="L308" s="132"/>
      <c r="M308" s="132"/>
      <c r="N308" s="132"/>
      <c r="O308" s="132"/>
      <c r="P308" s="132"/>
      <c r="Q308" s="135"/>
      <c r="R308" s="136"/>
      <c r="S308" s="132"/>
      <c r="T308" s="132"/>
      <c r="U308" s="132"/>
      <c r="V308" s="132"/>
      <c r="W308" s="132"/>
      <c r="X308" s="142"/>
      <c r="Y308" s="273"/>
      <c r="Z308" s="273"/>
      <c r="AA308" s="273"/>
      <c r="AB308" s="273"/>
      <c r="AC308" s="273"/>
      <c r="AD308" s="273"/>
      <c r="AE308" s="273"/>
      <c r="AF308" s="273"/>
      <c r="AG308" s="273"/>
      <c r="AH308" s="273"/>
      <c r="AI308" s="273"/>
      <c r="AJ308" s="273"/>
      <c r="AK308" s="273"/>
      <c r="AL308" s="273"/>
      <c r="AM308" s="273"/>
      <c r="AN308" s="273"/>
      <c r="AO308" s="273"/>
      <c r="AP308" s="273"/>
      <c r="AQ308" s="273"/>
      <c r="AR308" s="273"/>
      <c r="AS308" s="273"/>
      <c r="AT308" s="273"/>
      <c r="AU308" s="273"/>
      <c r="AV308" s="273"/>
    </row>
    <row r="309" spans="1:48" ht="12.75">
      <c r="A309" s="138"/>
      <c r="B309" s="31"/>
      <c r="C309" s="31"/>
      <c r="D309" s="31"/>
      <c r="E309" s="31"/>
      <c r="F309" s="31"/>
      <c r="G309" s="31"/>
      <c r="H309" s="129"/>
      <c r="I309" s="128"/>
      <c r="J309" s="31"/>
      <c r="K309" s="31"/>
      <c r="L309" s="31"/>
      <c r="M309" s="31"/>
      <c r="N309" s="31"/>
      <c r="O309" s="31"/>
      <c r="P309" s="31"/>
      <c r="Q309" s="129"/>
      <c r="R309" s="130"/>
      <c r="S309" s="31"/>
      <c r="T309" s="31"/>
      <c r="U309" s="31"/>
      <c r="V309" s="31"/>
      <c r="W309" s="31"/>
      <c r="X309" s="140"/>
      <c r="Y309" s="273"/>
      <c r="Z309" s="273"/>
      <c r="AA309" s="273"/>
      <c r="AB309" s="273"/>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row>
    <row r="310" spans="1:48" ht="12.75">
      <c r="A310" s="139"/>
      <c r="B310" s="132"/>
      <c r="C310" s="132"/>
      <c r="D310" s="132"/>
      <c r="E310" s="132"/>
      <c r="F310" s="132"/>
      <c r="G310" s="132"/>
      <c r="H310" s="135"/>
      <c r="I310" s="134"/>
      <c r="J310" s="132"/>
      <c r="K310" s="132"/>
      <c r="L310" s="132"/>
      <c r="M310" s="132"/>
      <c r="N310" s="132"/>
      <c r="O310" s="132"/>
      <c r="P310" s="132"/>
      <c r="Q310" s="135"/>
      <c r="R310" s="136"/>
      <c r="S310" s="132"/>
      <c r="T310" s="132"/>
      <c r="U310" s="132"/>
      <c r="V310" s="132"/>
      <c r="W310" s="132"/>
      <c r="X310" s="142"/>
      <c r="Y310" s="273"/>
      <c r="Z310" s="273"/>
      <c r="AA310" s="273"/>
      <c r="AB310" s="273"/>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row>
    <row r="311" spans="1:48" ht="12.75">
      <c r="A311" s="138"/>
      <c r="B311" s="31"/>
      <c r="C311" s="31"/>
      <c r="D311" s="31"/>
      <c r="E311" s="31"/>
      <c r="F311" s="31"/>
      <c r="G311" s="31"/>
      <c r="H311" s="129"/>
      <c r="I311" s="128"/>
      <c r="J311" s="31"/>
      <c r="K311" s="31"/>
      <c r="L311" s="31"/>
      <c r="M311" s="31"/>
      <c r="N311" s="31"/>
      <c r="O311" s="31"/>
      <c r="P311" s="31"/>
      <c r="Q311" s="129"/>
      <c r="R311" s="130"/>
      <c r="S311" s="31"/>
      <c r="T311" s="31"/>
      <c r="U311" s="31"/>
      <c r="V311" s="31"/>
      <c r="W311" s="31"/>
      <c r="X311" s="140"/>
      <c r="Y311" s="273"/>
      <c r="Z311" s="273"/>
      <c r="AA311" s="273"/>
      <c r="AB311" s="273"/>
      <c r="AC311" s="273"/>
      <c r="AD311" s="273"/>
      <c r="AE311" s="273"/>
      <c r="AF311" s="273"/>
      <c r="AG311" s="273"/>
      <c r="AH311" s="273"/>
      <c r="AI311" s="273"/>
      <c r="AJ311" s="273"/>
      <c r="AK311" s="273"/>
      <c r="AL311" s="273"/>
      <c r="AM311" s="273"/>
      <c r="AN311" s="273"/>
      <c r="AO311" s="273"/>
      <c r="AP311" s="273"/>
      <c r="AQ311" s="273"/>
      <c r="AR311" s="273"/>
      <c r="AS311" s="273"/>
      <c r="AT311" s="273"/>
      <c r="AU311" s="273"/>
      <c r="AV311" s="273"/>
    </row>
    <row r="312" spans="1:48" ht="12.75">
      <c r="A312" s="139"/>
      <c r="B312" s="132"/>
      <c r="C312" s="132"/>
      <c r="D312" s="132"/>
      <c r="E312" s="132"/>
      <c r="F312" s="132"/>
      <c r="G312" s="132"/>
      <c r="H312" s="135"/>
      <c r="I312" s="134"/>
      <c r="J312" s="132"/>
      <c r="K312" s="132"/>
      <c r="L312" s="132"/>
      <c r="M312" s="132"/>
      <c r="N312" s="132"/>
      <c r="O312" s="132"/>
      <c r="P312" s="132"/>
      <c r="Q312" s="135"/>
      <c r="R312" s="136"/>
      <c r="S312" s="132"/>
      <c r="T312" s="132"/>
      <c r="U312" s="132"/>
      <c r="V312" s="132"/>
      <c r="W312" s="132"/>
      <c r="X312" s="142"/>
      <c r="Y312" s="273"/>
      <c r="Z312" s="273"/>
      <c r="AA312" s="273"/>
      <c r="AB312" s="273"/>
      <c r="AC312" s="273"/>
      <c r="AD312" s="273"/>
      <c r="AE312" s="273"/>
      <c r="AF312" s="273"/>
      <c r="AG312" s="273"/>
      <c r="AH312" s="273"/>
      <c r="AI312" s="273"/>
      <c r="AJ312" s="273"/>
      <c r="AK312" s="273"/>
      <c r="AL312" s="273"/>
      <c r="AM312" s="273"/>
      <c r="AN312" s="273"/>
      <c r="AO312" s="273"/>
      <c r="AP312" s="273"/>
      <c r="AQ312" s="273"/>
      <c r="AR312" s="273"/>
      <c r="AS312" s="273"/>
      <c r="AT312" s="273"/>
      <c r="AU312" s="273"/>
      <c r="AV312" s="273"/>
    </row>
    <row r="313" spans="1:48" ht="12.75">
      <c r="A313" s="138"/>
      <c r="B313" s="31"/>
      <c r="C313" s="31"/>
      <c r="D313" s="31"/>
      <c r="E313" s="31"/>
      <c r="F313" s="31"/>
      <c r="G313" s="31"/>
      <c r="H313" s="129"/>
      <c r="I313" s="128"/>
      <c r="J313" s="31"/>
      <c r="K313" s="31"/>
      <c r="L313" s="31"/>
      <c r="M313" s="31"/>
      <c r="N313" s="31"/>
      <c r="O313" s="31"/>
      <c r="P313" s="31"/>
      <c r="Q313" s="129"/>
      <c r="R313" s="130"/>
      <c r="S313" s="31"/>
      <c r="T313" s="31"/>
      <c r="U313" s="31"/>
      <c r="V313" s="31"/>
      <c r="W313" s="31"/>
      <c r="X313" s="140"/>
      <c r="Y313" s="273"/>
      <c r="Z313" s="273"/>
      <c r="AA313" s="273"/>
      <c r="AB313" s="273"/>
      <c r="AC313" s="273"/>
      <c r="AD313" s="273"/>
      <c r="AE313" s="273"/>
      <c r="AF313" s="273"/>
      <c r="AG313" s="273"/>
      <c r="AH313" s="273"/>
      <c r="AI313" s="273"/>
      <c r="AJ313" s="273"/>
      <c r="AK313" s="273"/>
      <c r="AL313" s="273"/>
      <c r="AM313" s="273"/>
      <c r="AN313" s="273"/>
      <c r="AO313" s="273"/>
      <c r="AP313" s="273"/>
      <c r="AQ313" s="273"/>
      <c r="AR313" s="273"/>
      <c r="AS313" s="273"/>
      <c r="AT313" s="273"/>
      <c r="AU313" s="273"/>
      <c r="AV313" s="273"/>
    </row>
    <row r="314" spans="1:48" ht="12.75">
      <c r="A314" s="139"/>
      <c r="B314" s="132"/>
      <c r="C314" s="132"/>
      <c r="D314" s="132"/>
      <c r="E314" s="132"/>
      <c r="F314" s="132"/>
      <c r="G314" s="132"/>
      <c r="H314" s="135"/>
      <c r="I314" s="134"/>
      <c r="J314" s="132"/>
      <c r="K314" s="132"/>
      <c r="L314" s="132"/>
      <c r="M314" s="132"/>
      <c r="N314" s="132"/>
      <c r="O314" s="132"/>
      <c r="P314" s="132"/>
      <c r="Q314" s="135"/>
      <c r="R314" s="136"/>
      <c r="S314" s="132"/>
      <c r="T314" s="132"/>
      <c r="U314" s="132"/>
      <c r="V314" s="132"/>
      <c r="W314" s="132"/>
      <c r="X314" s="142"/>
      <c r="Y314" s="273"/>
      <c r="Z314" s="273"/>
      <c r="AA314" s="273"/>
      <c r="AB314" s="273"/>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row>
    <row r="315" spans="1:48" ht="12.75">
      <c r="A315" s="138"/>
      <c r="B315" s="31"/>
      <c r="C315" s="31"/>
      <c r="D315" s="31"/>
      <c r="E315" s="31"/>
      <c r="F315" s="31"/>
      <c r="G315" s="31"/>
      <c r="H315" s="129"/>
      <c r="I315" s="128"/>
      <c r="J315" s="31"/>
      <c r="K315" s="31"/>
      <c r="L315" s="31"/>
      <c r="M315" s="31"/>
      <c r="N315" s="31"/>
      <c r="O315" s="31"/>
      <c r="P315" s="31"/>
      <c r="Q315" s="129"/>
      <c r="R315" s="130"/>
      <c r="S315" s="31"/>
      <c r="T315" s="31"/>
      <c r="U315" s="31"/>
      <c r="V315" s="31"/>
      <c r="W315" s="31"/>
      <c r="X315" s="140"/>
      <c r="Y315" s="273"/>
      <c r="Z315" s="273"/>
      <c r="AA315" s="273"/>
      <c r="AB315" s="273"/>
      <c r="AC315" s="273"/>
      <c r="AD315" s="273"/>
      <c r="AE315" s="273"/>
      <c r="AF315" s="273"/>
      <c r="AG315" s="273"/>
      <c r="AH315" s="273"/>
      <c r="AI315" s="273"/>
      <c r="AJ315" s="273"/>
      <c r="AK315" s="273"/>
      <c r="AL315" s="273"/>
      <c r="AM315" s="273"/>
      <c r="AN315" s="273"/>
      <c r="AO315" s="273"/>
      <c r="AP315" s="273"/>
      <c r="AQ315" s="273"/>
      <c r="AR315" s="273"/>
      <c r="AS315" s="273"/>
      <c r="AT315" s="273"/>
      <c r="AU315" s="273"/>
      <c r="AV315" s="273"/>
    </row>
    <row r="316" spans="1:48" ht="12.75">
      <c r="A316" s="139"/>
      <c r="B316" s="132"/>
      <c r="C316" s="132"/>
      <c r="D316" s="132"/>
      <c r="E316" s="132"/>
      <c r="F316" s="132"/>
      <c r="G316" s="132"/>
      <c r="H316" s="135"/>
      <c r="I316" s="134"/>
      <c r="J316" s="132"/>
      <c r="K316" s="132"/>
      <c r="L316" s="132"/>
      <c r="M316" s="132"/>
      <c r="N316" s="132"/>
      <c r="O316" s="132"/>
      <c r="P316" s="132"/>
      <c r="Q316" s="135"/>
      <c r="R316" s="136"/>
      <c r="S316" s="132"/>
      <c r="T316" s="132"/>
      <c r="U316" s="132"/>
      <c r="V316" s="132"/>
      <c r="W316" s="132"/>
      <c r="X316" s="142"/>
      <c r="Y316" s="273"/>
      <c r="Z316" s="273"/>
      <c r="AA316" s="273"/>
      <c r="AB316" s="273"/>
      <c r="AC316" s="273"/>
      <c r="AD316" s="273"/>
      <c r="AE316" s="273"/>
      <c r="AF316" s="273"/>
      <c r="AG316" s="273"/>
      <c r="AH316" s="273"/>
      <c r="AI316" s="273"/>
      <c r="AJ316" s="273"/>
      <c r="AK316" s="273"/>
      <c r="AL316" s="273"/>
      <c r="AM316" s="273"/>
      <c r="AN316" s="273"/>
      <c r="AO316" s="273"/>
      <c r="AP316" s="273"/>
      <c r="AQ316" s="273"/>
      <c r="AR316" s="273"/>
      <c r="AS316" s="273"/>
      <c r="AT316" s="273"/>
      <c r="AU316" s="273"/>
      <c r="AV316" s="273"/>
    </row>
    <row r="317" spans="1:48" ht="12.75">
      <c r="A317" s="138"/>
      <c r="B317" s="31"/>
      <c r="C317" s="31"/>
      <c r="D317" s="31"/>
      <c r="E317" s="31"/>
      <c r="F317" s="31"/>
      <c r="G317" s="31"/>
      <c r="H317" s="129"/>
      <c r="I317" s="128"/>
      <c r="J317" s="31"/>
      <c r="K317" s="31"/>
      <c r="L317" s="31"/>
      <c r="M317" s="31"/>
      <c r="N317" s="31"/>
      <c r="O317" s="31"/>
      <c r="P317" s="31"/>
      <c r="Q317" s="129"/>
      <c r="R317" s="130"/>
      <c r="S317" s="31"/>
      <c r="T317" s="31"/>
      <c r="U317" s="31"/>
      <c r="V317" s="31"/>
      <c r="W317" s="31"/>
      <c r="X317" s="140"/>
      <c r="Y317" s="273"/>
      <c r="Z317" s="273"/>
      <c r="AA317" s="273"/>
      <c r="AB317" s="273"/>
      <c r="AC317" s="273"/>
      <c r="AD317" s="273"/>
      <c r="AE317" s="273"/>
      <c r="AF317" s="273"/>
      <c r="AG317" s="273"/>
      <c r="AH317" s="273"/>
      <c r="AI317" s="273"/>
      <c r="AJ317" s="273"/>
      <c r="AK317" s="273"/>
      <c r="AL317" s="273"/>
      <c r="AM317" s="273"/>
      <c r="AN317" s="273"/>
      <c r="AO317" s="273"/>
      <c r="AP317" s="273"/>
      <c r="AQ317" s="273"/>
      <c r="AR317" s="273"/>
      <c r="AS317" s="273"/>
      <c r="AT317" s="273"/>
      <c r="AU317" s="273"/>
      <c r="AV317" s="273"/>
    </row>
    <row r="318" spans="1:48" ht="12.75">
      <c r="A318" s="139"/>
      <c r="B318" s="132"/>
      <c r="C318" s="132"/>
      <c r="D318" s="132"/>
      <c r="E318" s="132"/>
      <c r="F318" s="132"/>
      <c r="G318" s="132"/>
      <c r="H318" s="135"/>
      <c r="I318" s="134"/>
      <c r="J318" s="132"/>
      <c r="K318" s="132"/>
      <c r="L318" s="132"/>
      <c r="M318" s="132"/>
      <c r="N318" s="132"/>
      <c r="O318" s="132"/>
      <c r="P318" s="132"/>
      <c r="Q318" s="135"/>
      <c r="R318" s="136"/>
      <c r="S318" s="132"/>
      <c r="T318" s="132"/>
      <c r="U318" s="132"/>
      <c r="V318" s="132"/>
      <c r="W318" s="132"/>
      <c r="X318" s="142"/>
      <c r="Y318" s="273"/>
      <c r="Z318" s="273"/>
      <c r="AA318" s="273"/>
      <c r="AB318" s="273"/>
      <c r="AC318" s="273"/>
      <c r="AD318" s="273"/>
      <c r="AE318" s="273"/>
      <c r="AF318" s="273"/>
      <c r="AG318" s="273"/>
      <c r="AH318" s="273"/>
      <c r="AI318" s="273"/>
      <c r="AJ318" s="273"/>
      <c r="AK318" s="273"/>
      <c r="AL318" s="273"/>
      <c r="AM318" s="273"/>
      <c r="AN318" s="273"/>
      <c r="AO318" s="273"/>
      <c r="AP318" s="273"/>
      <c r="AQ318" s="273"/>
      <c r="AR318" s="273"/>
      <c r="AS318" s="273"/>
      <c r="AT318" s="273"/>
      <c r="AU318" s="273"/>
      <c r="AV318" s="273"/>
    </row>
    <row r="319" spans="1:48" ht="12.75">
      <c r="A319" s="138"/>
      <c r="B319" s="31"/>
      <c r="C319" s="31"/>
      <c r="D319" s="31"/>
      <c r="E319" s="31"/>
      <c r="F319" s="31"/>
      <c r="G319" s="31"/>
      <c r="H319" s="129"/>
      <c r="I319" s="128"/>
      <c r="J319" s="31"/>
      <c r="K319" s="31"/>
      <c r="L319" s="31"/>
      <c r="M319" s="31"/>
      <c r="N319" s="31"/>
      <c r="O319" s="31"/>
      <c r="P319" s="31"/>
      <c r="Q319" s="129"/>
      <c r="R319" s="130"/>
      <c r="S319" s="31"/>
      <c r="T319" s="31"/>
      <c r="U319" s="31"/>
      <c r="V319" s="31"/>
      <c r="W319" s="31"/>
      <c r="X319" s="140"/>
      <c r="Y319" s="273"/>
      <c r="Z319" s="273"/>
      <c r="AA319" s="273"/>
      <c r="AB319" s="273"/>
      <c r="AC319" s="273"/>
      <c r="AD319" s="273"/>
      <c r="AE319" s="273"/>
      <c r="AF319" s="273"/>
      <c r="AG319" s="273"/>
      <c r="AH319" s="273"/>
      <c r="AI319" s="273"/>
      <c r="AJ319" s="273"/>
      <c r="AK319" s="273"/>
      <c r="AL319" s="273"/>
      <c r="AM319" s="273"/>
      <c r="AN319" s="273"/>
      <c r="AO319" s="273"/>
      <c r="AP319" s="273"/>
      <c r="AQ319" s="273"/>
      <c r="AR319" s="273"/>
      <c r="AS319" s="273"/>
      <c r="AT319" s="273"/>
      <c r="AU319" s="273"/>
      <c r="AV319" s="273"/>
    </row>
    <row r="320" spans="1:48" ht="12.75">
      <c r="A320" s="139"/>
      <c r="B320" s="132"/>
      <c r="C320" s="132"/>
      <c r="D320" s="132"/>
      <c r="E320" s="132"/>
      <c r="F320" s="132"/>
      <c r="G320" s="132"/>
      <c r="H320" s="135"/>
      <c r="I320" s="134"/>
      <c r="J320" s="132"/>
      <c r="K320" s="132"/>
      <c r="L320" s="132"/>
      <c r="M320" s="132"/>
      <c r="N320" s="132"/>
      <c r="O320" s="132"/>
      <c r="P320" s="132"/>
      <c r="Q320" s="135"/>
      <c r="R320" s="136"/>
      <c r="S320" s="132"/>
      <c r="T320" s="132"/>
      <c r="U320" s="132"/>
      <c r="V320" s="132"/>
      <c r="W320" s="132"/>
      <c r="X320" s="142"/>
      <c r="Y320" s="273"/>
      <c r="Z320" s="273"/>
      <c r="AA320" s="273"/>
      <c r="AB320" s="273"/>
      <c r="AC320" s="273"/>
      <c r="AD320" s="273"/>
      <c r="AE320" s="273"/>
      <c r="AF320" s="273"/>
      <c r="AG320" s="273"/>
      <c r="AH320" s="273"/>
      <c r="AI320" s="273"/>
      <c r="AJ320" s="273"/>
      <c r="AK320" s="273"/>
      <c r="AL320" s="273"/>
      <c r="AM320" s="273"/>
      <c r="AN320" s="273"/>
      <c r="AO320" s="273"/>
      <c r="AP320" s="273"/>
      <c r="AQ320" s="273"/>
      <c r="AR320" s="273"/>
      <c r="AS320" s="273"/>
      <c r="AT320" s="273"/>
      <c r="AU320" s="273"/>
      <c r="AV320" s="273"/>
    </row>
    <row r="321" spans="1:48" ht="12.75">
      <c r="A321" s="138"/>
      <c r="B321" s="31"/>
      <c r="C321" s="31"/>
      <c r="D321" s="31"/>
      <c r="E321" s="31"/>
      <c r="F321" s="31"/>
      <c r="G321" s="31"/>
      <c r="H321" s="129"/>
      <c r="I321" s="128"/>
      <c r="J321" s="31"/>
      <c r="K321" s="31"/>
      <c r="L321" s="31"/>
      <c r="M321" s="31"/>
      <c r="N321" s="31"/>
      <c r="O321" s="31"/>
      <c r="P321" s="31"/>
      <c r="Q321" s="129"/>
      <c r="R321" s="130"/>
      <c r="S321" s="31"/>
      <c r="T321" s="31"/>
      <c r="U321" s="31"/>
      <c r="V321" s="31"/>
      <c r="W321" s="31"/>
      <c r="X321" s="140"/>
      <c r="Y321" s="273"/>
      <c r="Z321" s="273"/>
      <c r="AA321" s="273"/>
      <c r="AB321" s="273"/>
      <c r="AC321" s="273"/>
      <c r="AD321" s="273"/>
      <c r="AE321" s="273"/>
      <c r="AF321" s="273"/>
      <c r="AG321" s="273"/>
      <c r="AH321" s="273"/>
      <c r="AI321" s="273"/>
      <c r="AJ321" s="273"/>
      <c r="AK321" s="273"/>
      <c r="AL321" s="273"/>
      <c r="AM321" s="273"/>
      <c r="AN321" s="273"/>
      <c r="AO321" s="273"/>
      <c r="AP321" s="273"/>
      <c r="AQ321" s="273"/>
      <c r="AR321" s="273"/>
      <c r="AS321" s="273"/>
      <c r="AT321" s="273"/>
      <c r="AU321" s="273"/>
      <c r="AV321" s="273"/>
    </row>
    <row r="322" spans="1:48" ht="12.75">
      <c r="A322" s="139"/>
      <c r="B322" s="132"/>
      <c r="C322" s="132"/>
      <c r="D322" s="132"/>
      <c r="E322" s="132"/>
      <c r="F322" s="132"/>
      <c r="G322" s="132"/>
      <c r="H322" s="135"/>
      <c r="I322" s="134"/>
      <c r="J322" s="132"/>
      <c r="K322" s="132"/>
      <c r="L322" s="132"/>
      <c r="M322" s="132"/>
      <c r="N322" s="132"/>
      <c r="O322" s="132"/>
      <c r="P322" s="132"/>
      <c r="Q322" s="135"/>
      <c r="R322" s="136"/>
      <c r="S322" s="132"/>
      <c r="T322" s="132"/>
      <c r="U322" s="132"/>
      <c r="V322" s="132"/>
      <c r="W322" s="132"/>
      <c r="X322" s="142"/>
      <c r="Y322" s="273"/>
      <c r="Z322" s="273"/>
      <c r="AA322" s="273"/>
      <c r="AB322" s="273"/>
      <c r="AC322" s="273"/>
      <c r="AD322" s="273"/>
      <c r="AE322" s="273"/>
      <c r="AF322" s="273"/>
      <c r="AG322" s="273"/>
      <c r="AH322" s="273"/>
      <c r="AI322" s="273"/>
      <c r="AJ322" s="273"/>
      <c r="AK322" s="273"/>
      <c r="AL322" s="273"/>
      <c r="AM322" s="273"/>
      <c r="AN322" s="273"/>
      <c r="AO322" s="273"/>
      <c r="AP322" s="273"/>
      <c r="AQ322" s="273"/>
      <c r="AR322" s="273"/>
      <c r="AS322" s="273"/>
      <c r="AT322" s="273"/>
      <c r="AU322" s="273"/>
      <c r="AV322" s="273"/>
    </row>
    <row r="323" spans="1:48" ht="12.75">
      <c r="A323" s="138"/>
      <c r="B323" s="31"/>
      <c r="C323" s="31"/>
      <c r="D323" s="31"/>
      <c r="E323" s="31"/>
      <c r="F323" s="31"/>
      <c r="G323" s="31"/>
      <c r="H323" s="129"/>
      <c r="I323" s="128"/>
      <c r="J323" s="31"/>
      <c r="K323" s="31"/>
      <c r="L323" s="31"/>
      <c r="M323" s="31"/>
      <c r="N323" s="31"/>
      <c r="O323" s="31"/>
      <c r="P323" s="31"/>
      <c r="Q323" s="129"/>
      <c r="R323" s="130"/>
      <c r="S323" s="31"/>
      <c r="T323" s="31"/>
      <c r="U323" s="31"/>
      <c r="V323" s="31"/>
      <c r="W323" s="31"/>
      <c r="X323" s="140"/>
      <c r="Y323" s="273"/>
      <c r="Z323" s="273"/>
      <c r="AA323" s="273"/>
      <c r="AB323" s="273"/>
      <c r="AC323" s="273"/>
      <c r="AD323" s="273"/>
      <c r="AE323" s="273"/>
      <c r="AF323" s="273"/>
      <c r="AG323" s="273"/>
      <c r="AH323" s="273"/>
      <c r="AI323" s="273"/>
      <c r="AJ323" s="273"/>
      <c r="AK323" s="273"/>
      <c r="AL323" s="273"/>
      <c r="AM323" s="273"/>
      <c r="AN323" s="273"/>
      <c r="AO323" s="273"/>
      <c r="AP323" s="273"/>
      <c r="AQ323" s="273"/>
      <c r="AR323" s="273"/>
      <c r="AS323" s="273"/>
      <c r="AT323" s="273"/>
      <c r="AU323" s="273"/>
      <c r="AV323" s="273"/>
    </row>
    <row r="324" spans="1:48" ht="12.75">
      <c r="A324" s="139"/>
      <c r="B324" s="132"/>
      <c r="C324" s="132"/>
      <c r="D324" s="132"/>
      <c r="E324" s="132"/>
      <c r="F324" s="132"/>
      <c r="G324" s="132"/>
      <c r="H324" s="135"/>
      <c r="I324" s="134"/>
      <c r="J324" s="132"/>
      <c r="K324" s="132"/>
      <c r="L324" s="132"/>
      <c r="M324" s="132"/>
      <c r="N324" s="132"/>
      <c r="O324" s="132"/>
      <c r="P324" s="132"/>
      <c r="Q324" s="135"/>
      <c r="R324" s="136"/>
      <c r="S324" s="132"/>
      <c r="T324" s="132"/>
      <c r="U324" s="132"/>
      <c r="V324" s="132"/>
      <c r="W324" s="132"/>
      <c r="X324" s="142"/>
      <c r="Y324" s="273"/>
      <c r="Z324" s="273"/>
      <c r="AA324" s="273"/>
      <c r="AB324" s="273"/>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row>
    <row r="325" spans="1:48" ht="12.75">
      <c r="A325" s="138"/>
      <c r="B325" s="31"/>
      <c r="C325" s="31"/>
      <c r="D325" s="31"/>
      <c r="E325" s="31"/>
      <c r="F325" s="31"/>
      <c r="G325" s="31"/>
      <c r="H325" s="129"/>
      <c r="I325" s="128"/>
      <c r="J325" s="31"/>
      <c r="K325" s="31"/>
      <c r="L325" s="31"/>
      <c r="M325" s="31"/>
      <c r="N325" s="31"/>
      <c r="O325" s="31"/>
      <c r="P325" s="31"/>
      <c r="Q325" s="129"/>
      <c r="R325" s="130"/>
      <c r="S325" s="31"/>
      <c r="T325" s="31"/>
      <c r="U325" s="31"/>
      <c r="V325" s="31"/>
      <c r="W325" s="31"/>
      <c r="X325" s="140"/>
      <c r="Y325" s="273"/>
      <c r="Z325" s="273"/>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row>
    <row r="326" spans="1:48" ht="12.75">
      <c r="A326" s="139"/>
      <c r="B326" s="132"/>
      <c r="C326" s="132"/>
      <c r="D326" s="132"/>
      <c r="E326" s="132"/>
      <c r="F326" s="132"/>
      <c r="G326" s="132"/>
      <c r="H326" s="135"/>
      <c r="I326" s="134"/>
      <c r="J326" s="132"/>
      <c r="K326" s="132"/>
      <c r="L326" s="132"/>
      <c r="M326" s="132"/>
      <c r="N326" s="132"/>
      <c r="O326" s="132"/>
      <c r="P326" s="132"/>
      <c r="Q326" s="135"/>
      <c r="R326" s="136"/>
      <c r="S326" s="132"/>
      <c r="T326" s="132"/>
      <c r="U326" s="132"/>
      <c r="V326" s="132"/>
      <c r="W326" s="132"/>
      <c r="X326" s="142"/>
      <c r="Y326" s="273"/>
      <c r="Z326" s="273"/>
      <c r="AA326" s="273"/>
      <c r="AB326" s="273"/>
      <c r="AC326" s="273"/>
      <c r="AD326" s="273"/>
      <c r="AE326" s="273"/>
      <c r="AF326" s="273"/>
      <c r="AG326" s="273"/>
      <c r="AH326" s="273"/>
      <c r="AI326" s="273"/>
      <c r="AJ326" s="273"/>
      <c r="AK326" s="273"/>
      <c r="AL326" s="273"/>
      <c r="AM326" s="273"/>
      <c r="AN326" s="273"/>
      <c r="AO326" s="273"/>
      <c r="AP326" s="273"/>
      <c r="AQ326" s="273"/>
      <c r="AR326" s="273"/>
      <c r="AS326" s="273"/>
      <c r="AT326" s="273"/>
      <c r="AU326" s="273"/>
      <c r="AV326" s="273"/>
    </row>
    <row r="327" spans="1:48" ht="12.75">
      <c r="A327" s="138"/>
      <c r="B327" s="31"/>
      <c r="C327" s="31"/>
      <c r="D327" s="31"/>
      <c r="E327" s="31"/>
      <c r="F327" s="31"/>
      <c r="G327" s="31"/>
      <c r="H327" s="129"/>
      <c r="I327" s="128"/>
      <c r="J327" s="31"/>
      <c r="K327" s="31"/>
      <c r="L327" s="31"/>
      <c r="M327" s="31"/>
      <c r="N327" s="31"/>
      <c r="O327" s="31"/>
      <c r="P327" s="31"/>
      <c r="Q327" s="129"/>
      <c r="R327" s="130"/>
      <c r="S327" s="31"/>
      <c r="T327" s="31"/>
      <c r="U327" s="31"/>
      <c r="V327" s="31"/>
      <c r="W327" s="31"/>
      <c r="X327" s="140"/>
      <c r="Y327" s="273"/>
      <c r="Z327" s="273"/>
      <c r="AA327" s="273"/>
      <c r="AB327" s="273"/>
      <c r="AC327" s="273"/>
      <c r="AD327" s="273"/>
      <c r="AE327" s="273"/>
      <c r="AF327" s="273"/>
      <c r="AG327" s="273"/>
      <c r="AH327" s="273"/>
      <c r="AI327" s="273"/>
      <c r="AJ327" s="273"/>
      <c r="AK327" s="273"/>
      <c r="AL327" s="273"/>
      <c r="AM327" s="273"/>
      <c r="AN327" s="273"/>
      <c r="AO327" s="273"/>
      <c r="AP327" s="273"/>
      <c r="AQ327" s="273"/>
      <c r="AR327" s="273"/>
      <c r="AS327" s="273"/>
      <c r="AT327" s="273"/>
      <c r="AU327" s="273"/>
      <c r="AV327" s="273"/>
    </row>
    <row r="328" spans="1:48" ht="12.75">
      <c r="A328" s="139"/>
      <c r="B328" s="132"/>
      <c r="C328" s="132"/>
      <c r="D328" s="132"/>
      <c r="E328" s="132"/>
      <c r="F328" s="132"/>
      <c r="G328" s="132"/>
      <c r="H328" s="135"/>
      <c r="I328" s="134"/>
      <c r="J328" s="132"/>
      <c r="K328" s="132"/>
      <c r="L328" s="132"/>
      <c r="M328" s="132"/>
      <c r="N328" s="132"/>
      <c r="O328" s="132"/>
      <c r="P328" s="132"/>
      <c r="Q328" s="135"/>
      <c r="R328" s="136"/>
      <c r="S328" s="132"/>
      <c r="T328" s="132"/>
      <c r="U328" s="132"/>
      <c r="V328" s="132"/>
      <c r="W328" s="132"/>
      <c r="X328" s="142"/>
      <c r="Y328" s="273"/>
      <c r="Z328" s="273"/>
      <c r="AA328" s="273"/>
      <c r="AB328" s="273"/>
      <c r="AC328" s="273"/>
      <c r="AD328" s="273"/>
      <c r="AE328" s="273"/>
      <c r="AF328" s="273"/>
      <c r="AG328" s="273"/>
      <c r="AH328" s="273"/>
      <c r="AI328" s="273"/>
      <c r="AJ328" s="273"/>
      <c r="AK328" s="273"/>
      <c r="AL328" s="273"/>
      <c r="AM328" s="273"/>
      <c r="AN328" s="273"/>
      <c r="AO328" s="273"/>
      <c r="AP328" s="273"/>
      <c r="AQ328" s="273"/>
      <c r="AR328" s="273"/>
      <c r="AS328" s="273"/>
      <c r="AT328" s="273"/>
      <c r="AU328" s="273"/>
      <c r="AV328" s="273"/>
    </row>
    <row r="329" spans="1:48" ht="12.75">
      <c r="A329" s="138"/>
      <c r="B329" s="31"/>
      <c r="C329" s="31"/>
      <c r="D329" s="31"/>
      <c r="E329" s="31"/>
      <c r="F329" s="31"/>
      <c r="G329" s="31"/>
      <c r="H329" s="129"/>
      <c r="I329" s="128"/>
      <c r="J329" s="31"/>
      <c r="K329" s="31"/>
      <c r="L329" s="31"/>
      <c r="M329" s="31"/>
      <c r="N329" s="31"/>
      <c r="O329" s="31"/>
      <c r="P329" s="31"/>
      <c r="Q329" s="129"/>
      <c r="R329" s="130"/>
      <c r="S329" s="31"/>
      <c r="T329" s="31"/>
      <c r="U329" s="31"/>
      <c r="V329" s="31"/>
      <c r="W329" s="31"/>
      <c r="X329" s="140"/>
      <c r="Y329" s="273"/>
      <c r="Z329" s="273"/>
      <c r="AA329" s="273"/>
      <c r="AB329" s="273"/>
      <c r="AC329" s="273"/>
      <c r="AD329" s="273"/>
      <c r="AE329" s="273"/>
      <c r="AF329" s="273"/>
      <c r="AG329" s="273"/>
      <c r="AH329" s="273"/>
      <c r="AI329" s="273"/>
      <c r="AJ329" s="273"/>
      <c r="AK329" s="273"/>
      <c r="AL329" s="273"/>
      <c r="AM329" s="273"/>
      <c r="AN329" s="273"/>
      <c r="AO329" s="273"/>
      <c r="AP329" s="273"/>
      <c r="AQ329" s="273"/>
      <c r="AR329" s="273"/>
      <c r="AS329" s="273"/>
      <c r="AT329" s="273"/>
      <c r="AU329" s="273"/>
      <c r="AV329" s="273"/>
    </row>
    <row r="330" spans="1:48" ht="12.75">
      <c r="A330" s="139"/>
      <c r="B330" s="132"/>
      <c r="C330" s="132"/>
      <c r="D330" s="132"/>
      <c r="E330" s="132"/>
      <c r="F330" s="132"/>
      <c r="G330" s="132"/>
      <c r="H330" s="135"/>
      <c r="I330" s="134"/>
      <c r="J330" s="132"/>
      <c r="K330" s="132"/>
      <c r="L330" s="132"/>
      <c r="M330" s="132"/>
      <c r="N330" s="132"/>
      <c r="O330" s="132"/>
      <c r="P330" s="132"/>
      <c r="Q330" s="135"/>
      <c r="R330" s="136"/>
      <c r="S330" s="132"/>
      <c r="T330" s="132"/>
      <c r="U330" s="132"/>
      <c r="V330" s="132"/>
      <c r="W330" s="132"/>
      <c r="X330" s="142"/>
      <c r="Y330" s="273"/>
      <c r="Z330" s="273"/>
      <c r="AA330" s="273"/>
      <c r="AB330" s="273"/>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row>
    <row r="331" spans="1:48" ht="12.75">
      <c r="A331" s="138"/>
      <c r="B331" s="31"/>
      <c r="C331" s="31"/>
      <c r="D331" s="31"/>
      <c r="E331" s="31"/>
      <c r="F331" s="31"/>
      <c r="G331" s="31"/>
      <c r="H331" s="129"/>
      <c r="I331" s="128"/>
      <c r="J331" s="31"/>
      <c r="K331" s="31"/>
      <c r="L331" s="31"/>
      <c r="M331" s="31"/>
      <c r="N331" s="31"/>
      <c r="O331" s="31"/>
      <c r="P331" s="31"/>
      <c r="Q331" s="129"/>
      <c r="R331" s="130"/>
      <c r="S331" s="31"/>
      <c r="T331" s="31"/>
      <c r="U331" s="31"/>
      <c r="V331" s="31"/>
      <c r="W331" s="31"/>
      <c r="X331" s="140"/>
      <c r="Y331" s="273"/>
      <c r="Z331" s="273"/>
      <c r="AA331" s="273"/>
      <c r="AB331" s="273"/>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row>
    <row r="332" spans="1:48" ht="12.75">
      <c r="A332" s="139"/>
      <c r="B332" s="132"/>
      <c r="C332" s="132"/>
      <c r="D332" s="132"/>
      <c r="E332" s="132"/>
      <c r="F332" s="132"/>
      <c r="G332" s="132"/>
      <c r="H332" s="135"/>
      <c r="I332" s="134"/>
      <c r="J332" s="132"/>
      <c r="K332" s="132"/>
      <c r="L332" s="132"/>
      <c r="M332" s="132"/>
      <c r="N332" s="132"/>
      <c r="O332" s="132"/>
      <c r="P332" s="132"/>
      <c r="Q332" s="135"/>
      <c r="R332" s="136"/>
      <c r="S332" s="132"/>
      <c r="T332" s="132"/>
      <c r="U332" s="132"/>
      <c r="V332" s="132"/>
      <c r="W332" s="132"/>
      <c r="X332" s="142"/>
      <c r="Y332" s="273"/>
      <c r="Z332" s="273"/>
      <c r="AA332" s="273"/>
      <c r="AB332" s="273"/>
      <c r="AC332" s="273"/>
      <c r="AD332" s="273"/>
      <c r="AE332" s="273"/>
      <c r="AF332" s="273"/>
      <c r="AG332" s="273"/>
      <c r="AH332" s="273"/>
      <c r="AI332" s="273"/>
      <c r="AJ332" s="273"/>
      <c r="AK332" s="273"/>
      <c r="AL332" s="273"/>
      <c r="AM332" s="273"/>
      <c r="AN332" s="273"/>
      <c r="AO332" s="273"/>
      <c r="AP332" s="273"/>
      <c r="AQ332" s="273"/>
      <c r="AR332" s="273"/>
      <c r="AS332" s="273"/>
      <c r="AT332" s="273"/>
      <c r="AU332" s="273"/>
      <c r="AV332" s="273"/>
    </row>
    <row r="333" spans="1:48" ht="12.75">
      <c r="A333" s="138"/>
      <c r="B333" s="31"/>
      <c r="C333" s="31"/>
      <c r="D333" s="31"/>
      <c r="E333" s="31"/>
      <c r="F333" s="31"/>
      <c r="G333" s="31"/>
      <c r="H333" s="129"/>
      <c r="I333" s="128"/>
      <c r="J333" s="31"/>
      <c r="K333" s="31"/>
      <c r="L333" s="31"/>
      <c r="M333" s="31"/>
      <c r="N333" s="31"/>
      <c r="O333" s="31"/>
      <c r="P333" s="31"/>
      <c r="Q333" s="129"/>
      <c r="R333" s="130"/>
      <c r="S333" s="31"/>
      <c r="T333" s="31"/>
      <c r="U333" s="31"/>
      <c r="V333" s="31"/>
      <c r="W333" s="31"/>
      <c r="X333" s="140"/>
      <c r="Y333" s="273"/>
      <c r="Z333" s="273"/>
      <c r="AA333" s="273"/>
      <c r="AB333" s="273"/>
      <c r="AC333" s="273"/>
      <c r="AD333" s="273"/>
      <c r="AE333" s="273"/>
      <c r="AF333" s="273"/>
      <c r="AG333" s="273"/>
      <c r="AH333" s="273"/>
      <c r="AI333" s="273"/>
      <c r="AJ333" s="273"/>
      <c r="AK333" s="273"/>
      <c r="AL333" s="273"/>
      <c r="AM333" s="273"/>
      <c r="AN333" s="273"/>
      <c r="AO333" s="273"/>
      <c r="AP333" s="273"/>
      <c r="AQ333" s="273"/>
      <c r="AR333" s="273"/>
      <c r="AS333" s="273"/>
      <c r="AT333" s="273"/>
      <c r="AU333" s="273"/>
      <c r="AV333" s="273"/>
    </row>
    <row r="334" spans="1:48" ht="12.75">
      <c r="A334" s="139"/>
      <c r="B334" s="132"/>
      <c r="C334" s="132"/>
      <c r="D334" s="132"/>
      <c r="E334" s="132"/>
      <c r="F334" s="132"/>
      <c r="G334" s="132"/>
      <c r="H334" s="135"/>
      <c r="I334" s="134"/>
      <c r="J334" s="132"/>
      <c r="K334" s="132"/>
      <c r="L334" s="132"/>
      <c r="M334" s="132"/>
      <c r="N334" s="132"/>
      <c r="O334" s="132"/>
      <c r="P334" s="132"/>
      <c r="Q334" s="135"/>
      <c r="R334" s="136"/>
      <c r="S334" s="132"/>
      <c r="T334" s="132"/>
      <c r="U334" s="132"/>
      <c r="V334" s="132"/>
      <c r="W334" s="132"/>
      <c r="X334" s="142"/>
      <c r="Y334" s="273"/>
      <c r="Z334" s="273"/>
      <c r="AA334" s="273"/>
      <c r="AB334" s="273"/>
      <c r="AC334" s="273"/>
      <c r="AD334" s="273"/>
      <c r="AE334" s="273"/>
      <c r="AF334" s="273"/>
      <c r="AG334" s="273"/>
      <c r="AH334" s="273"/>
      <c r="AI334" s="273"/>
      <c r="AJ334" s="273"/>
      <c r="AK334" s="273"/>
      <c r="AL334" s="273"/>
      <c r="AM334" s="273"/>
      <c r="AN334" s="273"/>
      <c r="AO334" s="273"/>
      <c r="AP334" s="273"/>
      <c r="AQ334" s="273"/>
      <c r="AR334" s="273"/>
      <c r="AS334" s="273"/>
      <c r="AT334" s="273"/>
      <c r="AU334" s="273"/>
      <c r="AV334" s="273"/>
    </row>
    <row r="335" spans="1:48" ht="12.75">
      <c r="A335" s="138"/>
      <c r="B335" s="31"/>
      <c r="C335" s="31"/>
      <c r="D335" s="31"/>
      <c r="E335" s="31"/>
      <c r="F335" s="31"/>
      <c r="G335" s="31"/>
      <c r="H335" s="129"/>
      <c r="I335" s="128"/>
      <c r="J335" s="31"/>
      <c r="K335" s="31"/>
      <c r="L335" s="31"/>
      <c r="M335" s="31"/>
      <c r="N335" s="31"/>
      <c r="O335" s="31"/>
      <c r="P335" s="31"/>
      <c r="Q335" s="129"/>
      <c r="R335" s="130"/>
      <c r="S335" s="31"/>
      <c r="T335" s="31"/>
      <c r="U335" s="31"/>
      <c r="V335" s="31"/>
      <c r="W335" s="31"/>
      <c r="X335" s="140"/>
      <c r="Y335" s="273"/>
      <c r="Z335" s="273"/>
      <c r="AA335" s="273"/>
      <c r="AB335" s="273"/>
      <c r="AC335" s="273"/>
      <c r="AD335" s="273"/>
      <c r="AE335" s="273"/>
      <c r="AF335" s="273"/>
      <c r="AG335" s="273"/>
      <c r="AH335" s="273"/>
      <c r="AI335" s="273"/>
      <c r="AJ335" s="273"/>
      <c r="AK335" s="273"/>
      <c r="AL335" s="273"/>
      <c r="AM335" s="273"/>
      <c r="AN335" s="273"/>
      <c r="AO335" s="273"/>
      <c r="AP335" s="273"/>
      <c r="AQ335" s="273"/>
      <c r="AR335" s="273"/>
      <c r="AS335" s="273"/>
      <c r="AT335" s="273"/>
      <c r="AU335" s="273"/>
      <c r="AV335" s="273"/>
    </row>
    <row r="336" spans="1:48" ht="12.75">
      <c r="A336" s="139"/>
      <c r="B336" s="132"/>
      <c r="C336" s="132"/>
      <c r="D336" s="132"/>
      <c r="E336" s="132"/>
      <c r="F336" s="132"/>
      <c r="G336" s="132"/>
      <c r="H336" s="135"/>
      <c r="I336" s="134"/>
      <c r="J336" s="132"/>
      <c r="K336" s="132"/>
      <c r="L336" s="132"/>
      <c r="M336" s="132"/>
      <c r="N336" s="132"/>
      <c r="O336" s="132"/>
      <c r="P336" s="132"/>
      <c r="Q336" s="135"/>
      <c r="R336" s="136"/>
      <c r="S336" s="132"/>
      <c r="T336" s="132"/>
      <c r="U336" s="132"/>
      <c r="V336" s="132"/>
      <c r="W336" s="132"/>
      <c r="X336" s="142"/>
      <c r="Y336" s="273"/>
      <c r="Z336" s="273"/>
      <c r="AA336" s="273"/>
      <c r="AB336" s="273"/>
      <c r="AC336" s="273"/>
      <c r="AD336" s="273"/>
      <c r="AE336" s="273"/>
      <c r="AF336" s="273"/>
      <c r="AG336" s="273"/>
      <c r="AH336" s="273"/>
      <c r="AI336" s="273"/>
      <c r="AJ336" s="273"/>
      <c r="AK336" s="273"/>
      <c r="AL336" s="273"/>
      <c r="AM336" s="273"/>
      <c r="AN336" s="273"/>
      <c r="AO336" s="273"/>
      <c r="AP336" s="273"/>
      <c r="AQ336" s="273"/>
      <c r="AR336" s="273"/>
      <c r="AS336" s="273"/>
      <c r="AT336" s="273"/>
      <c r="AU336" s="273"/>
      <c r="AV336" s="273"/>
    </row>
    <row r="337" spans="1:48" ht="12.75">
      <c r="A337" s="138"/>
      <c r="B337" s="31"/>
      <c r="C337" s="31"/>
      <c r="D337" s="31"/>
      <c r="E337" s="31"/>
      <c r="F337" s="31"/>
      <c r="G337" s="31"/>
      <c r="H337" s="129"/>
      <c r="I337" s="128"/>
      <c r="J337" s="31"/>
      <c r="K337" s="31"/>
      <c r="L337" s="31"/>
      <c r="M337" s="31"/>
      <c r="N337" s="31"/>
      <c r="O337" s="31"/>
      <c r="P337" s="31"/>
      <c r="Q337" s="129"/>
      <c r="R337" s="130"/>
      <c r="S337" s="31"/>
      <c r="T337" s="31"/>
      <c r="U337" s="31"/>
      <c r="V337" s="31"/>
      <c r="W337" s="31"/>
      <c r="X337" s="140"/>
      <c r="Y337" s="273"/>
      <c r="Z337" s="273"/>
      <c r="AA337" s="273"/>
      <c r="AB337" s="273"/>
      <c r="AC337" s="273"/>
      <c r="AD337" s="273"/>
      <c r="AE337" s="273"/>
      <c r="AF337" s="273"/>
      <c r="AG337" s="273"/>
      <c r="AH337" s="273"/>
      <c r="AI337" s="273"/>
      <c r="AJ337" s="273"/>
      <c r="AK337" s="273"/>
      <c r="AL337" s="273"/>
      <c r="AM337" s="273"/>
      <c r="AN337" s="273"/>
      <c r="AO337" s="273"/>
      <c r="AP337" s="273"/>
      <c r="AQ337" s="273"/>
      <c r="AR337" s="273"/>
      <c r="AS337" s="273"/>
      <c r="AT337" s="273"/>
      <c r="AU337" s="273"/>
      <c r="AV337" s="273"/>
    </row>
    <row r="338" spans="1:48" ht="12.75">
      <c r="A338" s="139"/>
      <c r="B338" s="132"/>
      <c r="C338" s="132"/>
      <c r="D338" s="132"/>
      <c r="E338" s="132"/>
      <c r="F338" s="132"/>
      <c r="G338" s="132"/>
      <c r="H338" s="135"/>
      <c r="I338" s="134"/>
      <c r="J338" s="132"/>
      <c r="K338" s="132"/>
      <c r="L338" s="132"/>
      <c r="M338" s="132"/>
      <c r="N338" s="132"/>
      <c r="O338" s="132"/>
      <c r="P338" s="132"/>
      <c r="Q338" s="135"/>
      <c r="R338" s="136"/>
      <c r="S338" s="132"/>
      <c r="T338" s="132"/>
      <c r="U338" s="132"/>
      <c r="V338" s="132"/>
      <c r="W338" s="132"/>
      <c r="X338" s="142"/>
      <c r="Y338" s="273"/>
      <c r="Z338" s="273"/>
      <c r="AA338" s="273"/>
      <c r="AB338" s="273"/>
      <c r="AC338" s="273"/>
      <c r="AD338" s="273"/>
      <c r="AE338" s="273"/>
      <c r="AF338" s="273"/>
      <c r="AG338" s="273"/>
      <c r="AH338" s="273"/>
      <c r="AI338" s="273"/>
      <c r="AJ338" s="273"/>
      <c r="AK338" s="273"/>
      <c r="AL338" s="273"/>
      <c r="AM338" s="273"/>
      <c r="AN338" s="273"/>
      <c r="AO338" s="273"/>
      <c r="AP338" s="273"/>
      <c r="AQ338" s="273"/>
      <c r="AR338" s="273"/>
      <c r="AS338" s="273"/>
      <c r="AT338" s="273"/>
      <c r="AU338" s="273"/>
      <c r="AV338" s="273"/>
    </row>
    <row r="339" spans="1:48" ht="12.75">
      <c r="A339" s="138"/>
      <c r="B339" s="31"/>
      <c r="C339" s="31"/>
      <c r="D339" s="31"/>
      <c r="E339" s="31"/>
      <c r="F339" s="31"/>
      <c r="G339" s="31"/>
      <c r="H339" s="129"/>
      <c r="I339" s="128"/>
      <c r="J339" s="31"/>
      <c r="K339" s="31"/>
      <c r="L339" s="31"/>
      <c r="M339" s="31"/>
      <c r="N339" s="31"/>
      <c r="O339" s="31"/>
      <c r="P339" s="31"/>
      <c r="Q339" s="129"/>
      <c r="R339" s="130"/>
      <c r="S339" s="31"/>
      <c r="T339" s="31"/>
      <c r="U339" s="31"/>
      <c r="V339" s="31"/>
      <c r="W339" s="31"/>
      <c r="X339" s="140"/>
      <c r="Y339" s="273"/>
      <c r="Z339" s="273"/>
      <c r="AA339" s="273"/>
      <c r="AB339" s="273"/>
      <c r="AC339" s="273"/>
      <c r="AD339" s="273"/>
      <c r="AE339" s="273"/>
      <c r="AF339" s="273"/>
      <c r="AG339" s="273"/>
      <c r="AH339" s="273"/>
      <c r="AI339" s="273"/>
      <c r="AJ339" s="273"/>
      <c r="AK339" s="273"/>
      <c r="AL339" s="273"/>
      <c r="AM339" s="273"/>
      <c r="AN339" s="273"/>
      <c r="AO339" s="273"/>
      <c r="AP339" s="273"/>
      <c r="AQ339" s="273"/>
      <c r="AR339" s="273"/>
      <c r="AS339" s="273"/>
      <c r="AT339" s="273"/>
      <c r="AU339" s="273"/>
      <c r="AV339" s="273"/>
    </row>
    <row r="340" spans="1:48" ht="12.75">
      <c r="A340" s="139"/>
      <c r="B340" s="132"/>
      <c r="C340" s="132"/>
      <c r="D340" s="132"/>
      <c r="E340" s="132"/>
      <c r="F340" s="132"/>
      <c r="G340" s="132"/>
      <c r="H340" s="135"/>
      <c r="I340" s="134"/>
      <c r="J340" s="132"/>
      <c r="K340" s="132"/>
      <c r="L340" s="132"/>
      <c r="M340" s="132"/>
      <c r="N340" s="132"/>
      <c r="O340" s="132"/>
      <c r="P340" s="132"/>
      <c r="Q340" s="135"/>
      <c r="R340" s="136"/>
      <c r="S340" s="132"/>
      <c r="T340" s="132"/>
      <c r="U340" s="132"/>
      <c r="V340" s="132"/>
      <c r="W340" s="132"/>
      <c r="X340" s="142"/>
      <c r="Y340" s="273"/>
      <c r="Z340" s="273"/>
      <c r="AA340" s="273"/>
      <c r="AB340" s="273"/>
      <c r="AC340" s="273"/>
      <c r="AD340" s="273"/>
      <c r="AE340" s="273"/>
      <c r="AF340" s="273"/>
      <c r="AG340" s="273"/>
      <c r="AH340" s="273"/>
      <c r="AI340" s="273"/>
      <c r="AJ340" s="273"/>
      <c r="AK340" s="273"/>
      <c r="AL340" s="273"/>
      <c r="AM340" s="273"/>
      <c r="AN340" s="273"/>
      <c r="AO340" s="273"/>
      <c r="AP340" s="273"/>
      <c r="AQ340" s="273"/>
      <c r="AR340" s="273"/>
      <c r="AS340" s="273"/>
      <c r="AT340" s="273"/>
      <c r="AU340" s="273"/>
      <c r="AV340" s="273"/>
    </row>
    <row r="341" spans="1:48" ht="12.75">
      <c r="A341" s="138"/>
      <c r="B341" s="31"/>
      <c r="C341" s="31"/>
      <c r="D341" s="31"/>
      <c r="E341" s="31"/>
      <c r="F341" s="31"/>
      <c r="G341" s="31"/>
      <c r="H341" s="129"/>
      <c r="I341" s="128"/>
      <c r="J341" s="31"/>
      <c r="K341" s="31"/>
      <c r="L341" s="31"/>
      <c r="M341" s="31"/>
      <c r="N341" s="31"/>
      <c r="O341" s="31"/>
      <c r="P341" s="31"/>
      <c r="Q341" s="129"/>
      <c r="R341" s="130"/>
      <c r="S341" s="31"/>
      <c r="T341" s="31"/>
      <c r="U341" s="31"/>
      <c r="V341" s="31"/>
      <c r="W341" s="31"/>
      <c r="X341" s="140"/>
      <c r="Y341" s="273"/>
      <c r="Z341" s="273"/>
      <c r="AA341" s="273"/>
      <c r="AB341" s="273"/>
      <c r="AC341" s="273"/>
      <c r="AD341" s="273"/>
      <c r="AE341" s="273"/>
      <c r="AF341" s="273"/>
      <c r="AG341" s="273"/>
      <c r="AH341" s="273"/>
      <c r="AI341" s="273"/>
      <c r="AJ341" s="273"/>
      <c r="AK341" s="273"/>
      <c r="AL341" s="273"/>
      <c r="AM341" s="273"/>
      <c r="AN341" s="273"/>
      <c r="AO341" s="273"/>
      <c r="AP341" s="273"/>
      <c r="AQ341" s="273"/>
      <c r="AR341" s="273"/>
      <c r="AS341" s="273"/>
      <c r="AT341" s="273"/>
      <c r="AU341" s="273"/>
      <c r="AV341" s="273"/>
    </row>
    <row r="342" spans="1:48" ht="12.75">
      <c r="A342" s="139"/>
      <c r="B342" s="132"/>
      <c r="C342" s="132"/>
      <c r="D342" s="132"/>
      <c r="E342" s="132"/>
      <c r="F342" s="132"/>
      <c r="G342" s="132"/>
      <c r="H342" s="135"/>
      <c r="I342" s="134"/>
      <c r="J342" s="132"/>
      <c r="K342" s="132"/>
      <c r="L342" s="132"/>
      <c r="M342" s="132"/>
      <c r="N342" s="132"/>
      <c r="O342" s="132"/>
      <c r="P342" s="132"/>
      <c r="Q342" s="135"/>
      <c r="R342" s="136"/>
      <c r="S342" s="132"/>
      <c r="T342" s="132"/>
      <c r="U342" s="132"/>
      <c r="V342" s="132"/>
      <c r="W342" s="132"/>
      <c r="X342" s="142"/>
      <c r="Y342" s="273"/>
      <c r="Z342" s="273"/>
      <c r="AA342" s="273"/>
      <c r="AB342" s="273"/>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row>
    <row r="343" spans="1:48" ht="12.75">
      <c r="A343" s="138"/>
      <c r="B343" s="31"/>
      <c r="C343" s="31"/>
      <c r="D343" s="31"/>
      <c r="E343" s="31"/>
      <c r="F343" s="31"/>
      <c r="G343" s="31"/>
      <c r="H343" s="129"/>
      <c r="I343" s="128"/>
      <c r="J343" s="31"/>
      <c r="K343" s="31"/>
      <c r="L343" s="31"/>
      <c r="M343" s="31"/>
      <c r="N343" s="31"/>
      <c r="O343" s="31"/>
      <c r="P343" s="31"/>
      <c r="Q343" s="129"/>
      <c r="R343" s="130"/>
      <c r="S343" s="31"/>
      <c r="T343" s="31"/>
      <c r="U343" s="31"/>
      <c r="V343" s="31"/>
      <c r="W343" s="31"/>
      <c r="X343" s="140"/>
      <c r="Y343" s="273"/>
      <c r="Z343" s="273"/>
      <c r="AA343" s="273"/>
      <c r="AB343" s="273"/>
      <c r="AC343" s="273"/>
      <c r="AD343" s="273"/>
      <c r="AE343" s="273"/>
      <c r="AF343" s="273"/>
      <c r="AG343" s="273"/>
      <c r="AH343" s="273"/>
      <c r="AI343" s="273"/>
      <c r="AJ343" s="273"/>
      <c r="AK343" s="273"/>
      <c r="AL343" s="273"/>
      <c r="AM343" s="273"/>
      <c r="AN343" s="273"/>
      <c r="AO343" s="273"/>
      <c r="AP343" s="273"/>
      <c r="AQ343" s="273"/>
      <c r="AR343" s="273"/>
      <c r="AS343" s="273"/>
      <c r="AT343" s="273"/>
      <c r="AU343" s="273"/>
      <c r="AV343" s="273"/>
    </row>
    <row r="344" spans="1:48" ht="12.75">
      <c r="A344" s="139"/>
      <c r="B344" s="132"/>
      <c r="C344" s="132"/>
      <c r="D344" s="132"/>
      <c r="E344" s="132"/>
      <c r="F344" s="132"/>
      <c r="G344" s="132"/>
      <c r="H344" s="135"/>
      <c r="I344" s="134"/>
      <c r="J344" s="132"/>
      <c r="K344" s="132"/>
      <c r="L344" s="132"/>
      <c r="M344" s="132"/>
      <c r="N344" s="132"/>
      <c r="O344" s="132"/>
      <c r="P344" s="132"/>
      <c r="Q344" s="135"/>
      <c r="R344" s="136"/>
      <c r="S344" s="132"/>
      <c r="T344" s="132"/>
      <c r="U344" s="132"/>
      <c r="V344" s="132"/>
      <c r="W344" s="132"/>
      <c r="X344" s="142"/>
      <c r="Y344" s="273"/>
      <c r="Z344" s="273"/>
      <c r="AA344" s="273"/>
      <c r="AB344" s="273"/>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row>
    <row r="345" spans="1:48" ht="12.75">
      <c r="A345" s="138"/>
      <c r="B345" s="31"/>
      <c r="C345" s="31"/>
      <c r="D345" s="31"/>
      <c r="E345" s="31"/>
      <c r="F345" s="31"/>
      <c r="G345" s="31"/>
      <c r="H345" s="129"/>
      <c r="I345" s="128"/>
      <c r="J345" s="31"/>
      <c r="K345" s="31"/>
      <c r="L345" s="31"/>
      <c r="M345" s="31"/>
      <c r="N345" s="31"/>
      <c r="O345" s="31"/>
      <c r="P345" s="31"/>
      <c r="Q345" s="129"/>
      <c r="R345" s="130"/>
      <c r="S345" s="31"/>
      <c r="T345" s="31"/>
      <c r="U345" s="31"/>
      <c r="V345" s="31"/>
      <c r="W345" s="31"/>
      <c r="X345" s="140"/>
      <c r="Y345" s="273"/>
      <c r="Z345" s="273"/>
      <c r="AA345" s="273"/>
      <c r="AB345" s="273"/>
      <c r="AC345" s="273"/>
      <c r="AD345" s="273"/>
      <c r="AE345" s="273"/>
      <c r="AF345" s="273"/>
      <c r="AG345" s="273"/>
      <c r="AH345" s="273"/>
      <c r="AI345" s="273"/>
      <c r="AJ345" s="273"/>
      <c r="AK345" s="273"/>
      <c r="AL345" s="273"/>
      <c r="AM345" s="273"/>
      <c r="AN345" s="273"/>
      <c r="AO345" s="273"/>
      <c r="AP345" s="273"/>
      <c r="AQ345" s="273"/>
      <c r="AR345" s="273"/>
      <c r="AS345" s="273"/>
      <c r="AT345" s="273"/>
      <c r="AU345" s="273"/>
      <c r="AV345" s="273"/>
    </row>
    <row r="346" spans="1:48" ht="12.75">
      <c r="A346" s="139"/>
      <c r="B346" s="132"/>
      <c r="C346" s="132"/>
      <c r="D346" s="132"/>
      <c r="E346" s="132"/>
      <c r="F346" s="132"/>
      <c r="G346" s="132"/>
      <c r="H346" s="135"/>
      <c r="I346" s="134"/>
      <c r="J346" s="132"/>
      <c r="K346" s="132"/>
      <c r="L346" s="132"/>
      <c r="M346" s="132"/>
      <c r="N346" s="132"/>
      <c r="O346" s="132"/>
      <c r="P346" s="132"/>
      <c r="Q346" s="135"/>
      <c r="R346" s="136"/>
      <c r="S346" s="132"/>
      <c r="T346" s="132"/>
      <c r="U346" s="132"/>
      <c r="V346" s="132"/>
      <c r="W346" s="132"/>
      <c r="X346" s="142"/>
      <c r="Y346" s="273"/>
      <c r="Z346" s="273"/>
      <c r="AA346" s="273"/>
      <c r="AB346" s="273"/>
      <c r="AC346" s="273"/>
      <c r="AD346" s="273"/>
      <c r="AE346" s="273"/>
      <c r="AF346" s="273"/>
      <c r="AG346" s="273"/>
      <c r="AH346" s="273"/>
      <c r="AI346" s="273"/>
      <c r="AJ346" s="273"/>
      <c r="AK346" s="273"/>
      <c r="AL346" s="273"/>
      <c r="AM346" s="273"/>
      <c r="AN346" s="273"/>
      <c r="AO346" s="273"/>
      <c r="AP346" s="273"/>
      <c r="AQ346" s="273"/>
      <c r="AR346" s="273"/>
      <c r="AS346" s="273"/>
      <c r="AT346" s="273"/>
      <c r="AU346" s="273"/>
      <c r="AV346" s="273"/>
    </row>
    <row r="347" spans="1:48" ht="12.75">
      <c r="A347" s="138"/>
      <c r="B347" s="31"/>
      <c r="C347" s="31"/>
      <c r="D347" s="31"/>
      <c r="E347" s="31"/>
      <c r="F347" s="31"/>
      <c r="G347" s="31"/>
      <c r="H347" s="129"/>
      <c r="I347" s="128"/>
      <c r="J347" s="31"/>
      <c r="K347" s="31"/>
      <c r="L347" s="31"/>
      <c r="M347" s="31"/>
      <c r="N347" s="31"/>
      <c r="O347" s="31"/>
      <c r="P347" s="31"/>
      <c r="Q347" s="129"/>
      <c r="R347" s="130"/>
      <c r="S347" s="31"/>
      <c r="T347" s="31"/>
      <c r="U347" s="31"/>
      <c r="V347" s="31"/>
      <c r="W347" s="31"/>
      <c r="X347" s="140"/>
      <c r="Y347" s="273"/>
      <c r="Z347" s="273"/>
      <c r="AA347" s="273"/>
      <c r="AB347" s="273"/>
      <c r="AC347" s="273"/>
      <c r="AD347" s="273"/>
      <c r="AE347" s="273"/>
      <c r="AF347" s="273"/>
      <c r="AG347" s="273"/>
      <c r="AH347" s="273"/>
      <c r="AI347" s="273"/>
      <c r="AJ347" s="273"/>
      <c r="AK347" s="273"/>
      <c r="AL347" s="273"/>
      <c r="AM347" s="273"/>
      <c r="AN347" s="273"/>
      <c r="AO347" s="273"/>
      <c r="AP347" s="273"/>
      <c r="AQ347" s="273"/>
      <c r="AR347" s="273"/>
      <c r="AS347" s="273"/>
      <c r="AT347" s="273"/>
      <c r="AU347" s="273"/>
      <c r="AV347" s="273"/>
    </row>
    <row r="348" spans="1:48" ht="12.75">
      <c r="A348" s="139"/>
      <c r="B348" s="132"/>
      <c r="C348" s="132"/>
      <c r="D348" s="132"/>
      <c r="E348" s="132"/>
      <c r="F348" s="132"/>
      <c r="G348" s="132"/>
      <c r="H348" s="135"/>
      <c r="I348" s="134"/>
      <c r="J348" s="132"/>
      <c r="K348" s="132"/>
      <c r="L348" s="132"/>
      <c r="M348" s="132"/>
      <c r="N348" s="132"/>
      <c r="O348" s="132"/>
      <c r="P348" s="132"/>
      <c r="Q348" s="135"/>
      <c r="R348" s="136"/>
      <c r="S348" s="132"/>
      <c r="T348" s="132"/>
      <c r="U348" s="132"/>
      <c r="V348" s="132"/>
      <c r="W348" s="132"/>
      <c r="X348" s="142"/>
      <c r="Y348" s="273"/>
      <c r="Z348" s="273"/>
      <c r="AA348" s="273"/>
      <c r="AB348" s="273"/>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row>
    <row r="349" spans="1:48" ht="12.75">
      <c r="A349" s="138"/>
      <c r="B349" s="31"/>
      <c r="C349" s="31"/>
      <c r="D349" s="31"/>
      <c r="E349" s="31"/>
      <c r="F349" s="31"/>
      <c r="G349" s="31"/>
      <c r="H349" s="129"/>
      <c r="I349" s="128"/>
      <c r="J349" s="31"/>
      <c r="K349" s="31"/>
      <c r="L349" s="31"/>
      <c r="M349" s="31"/>
      <c r="N349" s="31"/>
      <c r="O349" s="31"/>
      <c r="P349" s="31"/>
      <c r="Q349" s="129"/>
      <c r="R349" s="130"/>
      <c r="S349" s="31"/>
      <c r="T349" s="31"/>
      <c r="U349" s="31"/>
      <c r="V349" s="31"/>
      <c r="W349" s="31"/>
      <c r="X349" s="140"/>
      <c r="Y349" s="273"/>
      <c r="Z349" s="273"/>
      <c r="AA349" s="273"/>
      <c r="AB349" s="273"/>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row>
    <row r="350" spans="1:48" ht="12.75">
      <c r="A350" s="139"/>
      <c r="B350" s="132"/>
      <c r="C350" s="132"/>
      <c r="D350" s="132"/>
      <c r="E350" s="132"/>
      <c r="F350" s="132"/>
      <c r="G350" s="132"/>
      <c r="H350" s="135"/>
      <c r="I350" s="134"/>
      <c r="J350" s="132"/>
      <c r="K350" s="132"/>
      <c r="L350" s="132"/>
      <c r="M350" s="132"/>
      <c r="N350" s="132"/>
      <c r="O350" s="132"/>
      <c r="P350" s="132"/>
      <c r="Q350" s="135"/>
      <c r="R350" s="136"/>
      <c r="S350" s="132"/>
      <c r="T350" s="132"/>
      <c r="U350" s="132"/>
      <c r="V350" s="132"/>
      <c r="W350" s="132"/>
      <c r="X350" s="142"/>
      <c r="Y350" s="273"/>
      <c r="Z350" s="273"/>
      <c r="AA350" s="273"/>
      <c r="AB350" s="273"/>
      <c r="AC350" s="273"/>
      <c r="AD350" s="273"/>
      <c r="AE350" s="273"/>
      <c r="AF350" s="273"/>
      <c r="AG350" s="273"/>
      <c r="AH350" s="273"/>
      <c r="AI350" s="273"/>
      <c r="AJ350" s="273"/>
      <c r="AK350" s="273"/>
      <c r="AL350" s="273"/>
      <c r="AM350" s="273"/>
      <c r="AN350" s="273"/>
      <c r="AO350" s="273"/>
      <c r="AP350" s="273"/>
      <c r="AQ350" s="273"/>
      <c r="AR350" s="273"/>
      <c r="AS350" s="273"/>
      <c r="AT350" s="273"/>
      <c r="AU350" s="273"/>
      <c r="AV350" s="273"/>
    </row>
    <row r="351" spans="1:48" ht="12.75">
      <c r="A351" s="138"/>
      <c r="B351" s="31"/>
      <c r="C351" s="31"/>
      <c r="D351" s="31"/>
      <c r="E351" s="31"/>
      <c r="F351" s="31"/>
      <c r="G351" s="31"/>
      <c r="H351" s="129"/>
      <c r="I351" s="128"/>
      <c r="J351" s="31"/>
      <c r="K351" s="31"/>
      <c r="L351" s="31"/>
      <c r="M351" s="31"/>
      <c r="N351" s="31"/>
      <c r="O351" s="31"/>
      <c r="P351" s="31"/>
      <c r="Q351" s="129"/>
      <c r="R351" s="130"/>
      <c r="S351" s="31"/>
      <c r="T351" s="31"/>
      <c r="U351" s="31"/>
      <c r="V351" s="31"/>
      <c r="W351" s="31"/>
      <c r="X351" s="140"/>
      <c r="Y351" s="273"/>
      <c r="Z351" s="273"/>
      <c r="AA351" s="273"/>
      <c r="AB351" s="273"/>
      <c r="AC351" s="273"/>
      <c r="AD351" s="273"/>
      <c r="AE351" s="273"/>
      <c r="AF351" s="273"/>
      <c r="AG351" s="273"/>
      <c r="AH351" s="273"/>
      <c r="AI351" s="273"/>
      <c r="AJ351" s="273"/>
      <c r="AK351" s="273"/>
      <c r="AL351" s="273"/>
      <c r="AM351" s="273"/>
      <c r="AN351" s="273"/>
      <c r="AO351" s="273"/>
      <c r="AP351" s="273"/>
      <c r="AQ351" s="273"/>
      <c r="AR351" s="273"/>
      <c r="AS351" s="273"/>
      <c r="AT351" s="273"/>
      <c r="AU351" s="273"/>
      <c r="AV351" s="273"/>
    </row>
    <row r="352" spans="1:48" ht="12.75">
      <c r="A352" s="139"/>
      <c r="B352" s="132"/>
      <c r="C352" s="132"/>
      <c r="D352" s="132"/>
      <c r="E352" s="132"/>
      <c r="F352" s="132"/>
      <c r="G352" s="132"/>
      <c r="H352" s="135"/>
      <c r="I352" s="134"/>
      <c r="J352" s="132"/>
      <c r="K352" s="132"/>
      <c r="L352" s="132"/>
      <c r="M352" s="132"/>
      <c r="N352" s="132"/>
      <c r="O352" s="132"/>
      <c r="P352" s="132"/>
      <c r="Q352" s="135"/>
      <c r="R352" s="136"/>
      <c r="S352" s="132"/>
      <c r="T352" s="132"/>
      <c r="U352" s="132"/>
      <c r="V352" s="132"/>
      <c r="W352" s="132"/>
      <c r="X352" s="142"/>
      <c r="Y352" s="273"/>
      <c r="Z352" s="273"/>
      <c r="AA352" s="273"/>
      <c r="AB352" s="273"/>
      <c r="AC352" s="273"/>
      <c r="AD352" s="273"/>
      <c r="AE352" s="273"/>
      <c r="AF352" s="273"/>
      <c r="AG352" s="273"/>
      <c r="AH352" s="273"/>
      <c r="AI352" s="273"/>
      <c r="AJ352" s="273"/>
      <c r="AK352" s="273"/>
      <c r="AL352" s="273"/>
      <c r="AM352" s="273"/>
      <c r="AN352" s="273"/>
      <c r="AO352" s="273"/>
      <c r="AP352" s="273"/>
      <c r="AQ352" s="273"/>
      <c r="AR352" s="273"/>
      <c r="AS352" s="273"/>
      <c r="AT352" s="273"/>
      <c r="AU352" s="273"/>
      <c r="AV352" s="273"/>
    </row>
    <row r="353" spans="1:48" ht="12.75">
      <c r="A353" s="138"/>
      <c r="B353" s="31"/>
      <c r="C353" s="31"/>
      <c r="D353" s="31"/>
      <c r="E353" s="31"/>
      <c r="F353" s="31"/>
      <c r="G353" s="31"/>
      <c r="H353" s="129"/>
      <c r="I353" s="128"/>
      <c r="J353" s="31"/>
      <c r="K353" s="31"/>
      <c r="L353" s="31"/>
      <c r="M353" s="31"/>
      <c r="N353" s="31"/>
      <c r="O353" s="31"/>
      <c r="P353" s="31"/>
      <c r="Q353" s="129"/>
      <c r="R353" s="130"/>
      <c r="S353" s="31"/>
      <c r="T353" s="31"/>
      <c r="U353" s="31"/>
      <c r="V353" s="31"/>
      <c r="W353" s="31"/>
      <c r="X353" s="140"/>
      <c r="Y353" s="273"/>
      <c r="Z353" s="273"/>
      <c r="AA353" s="273"/>
      <c r="AB353" s="273"/>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row>
    <row r="354" spans="1:48" ht="12.75">
      <c r="A354" s="139"/>
      <c r="B354" s="132"/>
      <c r="C354" s="132"/>
      <c r="D354" s="132"/>
      <c r="E354" s="132"/>
      <c r="F354" s="132"/>
      <c r="G354" s="132"/>
      <c r="H354" s="135"/>
      <c r="I354" s="134"/>
      <c r="J354" s="132"/>
      <c r="K354" s="132"/>
      <c r="L354" s="132"/>
      <c r="M354" s="132"/>
      <c r="N354" s="132"/>
      <c r="O354" s="132"/>
      <c r="P354" s="132"/>
      <c r="Q354" s="135"/>
      <c r="R354" s="136"/>
      <c r="S354" s="132"/>
      <c r="T354" s="132"/>
      <c r="U354" s="132"/>
      <c r="V354" s="132"/>
      <c r="W354" s="132"/>
      <c r="X354" s="142"/>
      <c r="Y354" s="273"/>
      <c r="Z354" s="273"/>
      <c r="AA354" s="273"/>
      <c r="AB354" s="273"/>
      <c r="AC354" s="273"/>
      <c r="AD354" s="273"/>
      <c r="AE354" s="273"/>
      <c r="AF354" s="273"/>
      <c r="AG354" s="273"/>
      <c r="AH354" s="273"/>
      <c r="AI354" s="273"/>
      <c r="AJ354" s="273"/>
      <c r="AK354" s="273"/>
      <c r="AL354" s="273"/>
      <c r="AM354" s="273"/>
      <c r="AN354" s="273"/>
      <c r="AO354" s="273"/>
      <c r="AP354" s="273"/>
      <c r="AQ354" s="273"/>
      <c r="AR354" s="273"/>
      <c r="AS354" s="273"/>
      <c r="AT354" s="273"/>
      <c r="AU354" s="273"/>
      <c r="AV354" s="273"/>
    </row>
    <row r="355" spans="1:48" ht="12.75">
      <c r="A355" s="138"/>
      <c r="B355" s="31"/>
      <c r="C355" s="31"/>
      <c r="D355" s="31"/>
      <c r="E355" s="31"/>
      <c r="F355" s="31"/>
      <c r="G355" s="31"/>
      <c r="H355" s="129"/>
      <c r="I355" s="128"/>
      <c r="J355" s="31"/>
      <c r="K355" s="31"/>
      <c r="L355" s="31"/>
      <c r="M355" s="31"/>
      <c r="N355" s="31"/>
      <c r="O355" s="31"/>
      <c r="P355" s="31"/>
      <c r="Q355" s="129"/>
      <c r="R355" s="130"/>
      <c r="S355" s="31"/>
      <c r="T355" s="31"/>
      <c r="U355" s="31"/>
      <c r="V355" s="31"/>
      <c r="W355" s="31"/>
      <c r="X355" s="140"/>
      <c r="Y355" s="273"/>
      <c r="Z355" s="273"/>
      <c r="AA355" s="273"/>
      <c r="AB355" s="273"/>
      <c r="AC355" s="273"/>
      <c r="AD355" s="273"/>
      <c r="AE355" s="273"/>
      <c r="AF355" s="273"/>
      <c r="AG355" s="273"/>
      <c r="AH355" s="273"/>
      <c r="AI355" s="273"/>
      <c r="AJ355" s="273"/>
      <c r="AK355" s="273"/>
      <c r="AL355" s="273"/>
      <c r="AM355" s="273"/>
      <c r="AN355" s="273"/>
      <c r="AO355" s="273"/>
      <c r="AP355" s="273"/>
      <c r="AQ355" s="273"/>
      <c r="AR355" s="273"/>
      <c r="AS355" s="273"/>
      <c r="AT355" s="273"/>
      <c r="AU355" s="273"/>
      <c r="AV355" s="273"/>
    </row>
    <row r="356" spans="1:48" ht="12.75">
      <c r="A356" s="139"/>
      <c r="B356" s="132"/>
      <c r="C356" s="132"/>
      <c r="D356" s="132"/>
      <c r="E356" s="132"/>
      <c r="F356" s="132"/>
      <c r="G356" s="132"/>
      <c r="H356" s="135"/>
      <c r="I356" s="134"/>
      <c r="J356" s="132"/>
      <c r="K356" s="132"/>
      <c r="L356" s="132"/>
      <c r="M356" s="132"/>
      <c r="N356" s="132"/>
      <c r="O356" s="132"/>
      <c r="P356" s="132"/>
      <c r="Q356" s="135"/>
      <c r="R356" s="136"/>
      <c r="S356" s="132"/>
      <c r="T356" s="132"/>
      <c r="U356" s="132"/>
      <c r="V356" s="132"/>
      <c r="W356" s="132"/>
      <c r="X356" s="142"/>
      <c r="Y356" s="273"/>
      <c r="Z356" s="273"/>
      <c r="AA356" s="273"/>
      <c r="AB356" s="273"/>
      <c r="AC356" s="273"/>
      <c r="AD356" s="273"/>
      <c r="AE356" s="273"/>
      <c r="AF356" s="273"/>
      <c r="AG356" s="273"/>
      <c r="AH356" s="273"/>
      <c r="AI356" s="273"/>
      <c r="AJ356" s="273"/>
      <c r="AK356" s="273"/>
      <c r="AL356" s="273"/>
      <c r="AM356" s="273"/>
      <c r="AN356" s="273"/>
      <c r="AO356" s="273"/>
      <c r="AP356" s="273"/>
      <c r="AQ356" s="273"/>
      <c r="AR356" s="273"/>
      <c r="AS356" s="273"/>
      <c r="AT356" s="273"/>
      <c r="AU356" s="273"/>
      <c r="AV356" s="273"/>
    </row>
    <row r="357" spans="1:48" ht="12.75">
      <c r="A357" s="138"/>
      <c r="B357" s="31"/>
      <c r="C357" s="31"/>
      <c r="D357" s="31"/>
      <c r="E357" s="31"/>
      <c r="F357" s="31"/>
      <c r="G357" s="31"/>
      <c r="H357" s="129"/>
      <c r="I357" s="128"/>
      <c r="J357" s="31"/>
      <c r="K357" s="31"/>
      <c r="L357" s="31"/>
      <c r="M357" s="31"/>
      <c r="N357" s="31"/>
      <c r="O357" s="31"/>
      <c r="P357" s="31"/>
      <c r="Q357" s="129"/>
      <c r="R357" s="130"/>
      <c r="S357" s="31"/>
      <c r="T357" s="31"/>
      <c r="U357" s="31"/>
      <c r="V357" s="31"/>
      <c r="W357" s="31"/>
      <c r="X357" s="140"/>
      <c r="Y357" s="273"/>
      <c r="Z357" s="273"/>
      <c r="AA357" s="273"/>
      <c r="AB357" s="273"/>
      <c r="AC357" s="273"/>
      <c r="AD357" s="273"/>
      <c r="AE357" s="273"/>
      <c r="AF357" s="273"/>
      <c r="AG357" s="273"/>
      <c r="AH357" s="273"/>
      <c r="AI357" s="273"/>
      <c r="AJ357" s="273"/>
      <c r="AK357" s="273"/>
      <c r="AL357" s="273"/>
      <c r="AM357" s="273"/>
      <c r="AN357" s="273"/>
      <c r="AO357" s="273"/>
      <c r="AP357" s="273"/>
      <c r="AQ357" s="273"/>
      <c r="AR357" s="273"/>
      <c r="AS357" s="273"/>
      <c r="AT357" s="273"/>
      <c r="AU357" s="273"/>
      <c r="AV357" s="273"/>
    </row>
    <row r="358" spans="1:48" ht="12.75">
      <c r="A358" s="139"/>
      <c r="B358" s="132"/>
      <c r="C358" s="132"/>
      <c r="D358" s="132"/>
      <c r="E358" s="132"/>
      <c r="F358" s="132"/>
      <c r="G358" s="132"/>
      <c r="H358" s="135"/>
      <c r="I358" s="134"/>
      <c r="J358" s="132"/>
      <c r="K358" s="132"/>
      <c r="L358" s="132"/>
      <c r="M358" s="132"/>
      <c r="N358" s="132"/>
      <c r="O358" s="132"/>
      <c r="P358" s="132"/>
      <c r="Q358" s="135"/>
      <c r="R358" s="136"/>
      <c r="S358" s="132"/>
      <c r="T358" s="132"/>
      <c r="U358" s="132"/>
      <c r="V358" s="132"/>
      <c r="W358" s="132"/>
      <c r="X358" s="142"/>
      <c r="Y358" s="273"/>
      <c r="Z358" s="273"/>
      <c r="AA358" s="273"/>
      <c r="AB358" s="273"/>
      <c r="AC358" s="273"/>
      <c r="AD358" s="273"/>
      <c r="AE358" s="273"/>
      <c r="AF358" s="273"/>
      <c r="AG358" s="273"/>
      <c r="AH358" s="273"/>
      <c r="AI358" s="273"/>
      <c r="AJ358" s="273"/>
      <c r="AK358" s="273"/>
      <c r="AL358" s="273"/>
      <c r="AM358" s="273"/>
      <c r="AN358" s="273"/>
      <c r="AO358" s="273"/>
      <c r="AP358" s="273"/>
      <c r="AQ358" s="273"/>
      <c r="AR358" s="273"/>
      <c r="AS358" s="273"/>
      <c r="AT358" s="273"/>
      <c r="AU358" s="273"/>
      <c r="AV358" s="273"/>
    </row>
    <row r="359" spans="1:48" ht="12.75">
      <c r="A359" s="138"/>
      <c r="B359" s="31"/>
      <c r="C359" s="31"/>
      <c r="D359" s="31"/>
      <c r="E359" s="31"/>
      <c r="F359" s="31"/>
      <c r="G359" s="31"/>
      <c r="H359" s="129"/>
      <c r="I359" s="128"/>
      <c r="J359" s="31"/>
      <c r="K359" s="31"/>
      <c r="L359" s="31"/>
      <c r="M359" s="31"/>
      <c r="N359" s="31"/>
      <c r="O359" s="31"/>
      <c r="P359" s="31"/>
      <c r="Q359" s="129"/>
      <c r="R359" s="130"/>
      <c r="S359" s="31"/>
      <c r="T359" s="31"/>
      <c r="U359" s="31"/>
      <c r="V359" s="31"/>
      <c r="W359" s="31"/>
      <c r="X359" s="140"/>
      <c r="Y359" s="273"/>
      <c r="Z359" s="273"/>
      <c r="AA359" s="273"/>
      <c r="AB359" s="273"/>
      <c r="AC359" s="273"/>
      <c r="AD359" s="273"/>
      <c r="AE359" s="273"/>
      <c r="AF359" s="273"/>
      <c r="AG359" s="273"/>
      <c r="AH359" s="273"/>
      <c r="AI359" s="273"/>
      <c r="AJ359" s="273"/>
      <c r="AK359" s="273"/>
      <c r="AL359" s="273"/>
      <c r="AM359" s="273"/>
      <c r="AN359" s="273"/>
      <c r="AO359" s="273"/>
      <c r="AP359" s="273"/>
      <c r="AQ359" s="273"/>
      <c r="AR359" s="273"/>
      <c r="AS359" s="273"/>
      <c r="AT359" s="273"/>
      <c r="AU359" s="273"/>
      <c r="AV359" s="273"/>
    </row>
    <row r="360" spans="1:48" ht="12.75">
      <c r="A360" s="139"/>
      <c r="B360" s="132"/>
      <c r="C360" s="132"/>
      <c r="D360" s="132"/>
      <c r="E360" s="132"/>
      <c r="F360" s="132"/>
      <c r="G360" s="132"/>
      <c r="H360" s="135"/>
      <c r="I360" s="134"/>
      <c r="J360" s="132"/>
      <c r="K360" s="132"/>
      <c r="L360" s="132"/>
      <c r="M360" s="132"/>
      <c r="N360" s="132"/>
      <c r="O360" s="132"/>
      <c r="P360" s="132"/>
      <c r="Q360" s="135"/>
      <c r="R360" s="136"/>
      <c r="S360" s="132"/>
      <c r="T360" s="132"/>
      <c r="U360" s="132"/>
      <c r="V360" s="132"/>
      <c r="W360" s="132"/>
      <c r="X360" s="142"/>
      <c r="Y360" s="273"/>
      <c r="Z360" s="273"/>
      <c r="AA360" s="273"/>
      <c r="AB360" s="273"/>
      <c r="AC360" s="273"/>
      <c r="AD360" s="273"/>
      <c r="AE360" s="273"/>
      <c r="AF360" s="273"/>
      <c r="AG360" s="273"/>
      <c r="AH360" s="273"/>
      <c r="AI360" s="273"/>
      <c r="AJ360" s="273"/>
      <c r="AK360" s="273"/>
      <c r="AL360" s="273"/>
      <c r="AM360" s="273"/>
      <c r="AN360" s="273"/>
      <c r="AO360" s="273"/>
      <c r="AP360" s="273"/>
      <c r="AQ360" s="273"/>
      <c r="AR360" s="273"/>
      <c r="AS360" s="273"/>
      <c r="AT360" s="273"/>
      <c r="AU360" s="273"/>
      <c r="AV360" s="273"/>
    </row>
    <row r="361" spans="1:48" ht="12.75">
      <c r="A361" s="138"/>
      <c r="B361" s="31"/>
      <c r="C361" s="31"/>
      <c r="D361" s="31"/>
      <c r="E361" s="31"/>
      <c r="F361" s="31"/>
      <c r="G361" s="31"/>
      <c r="H361" s="129"/>
      <c r="I361" s="128"/>
      <c r="J361" s="31"/>
      <c r="K361" s="31"/>
      <c r="L361" s="31"/>
      <c r="M361" s="31"/>
      <c r="N361" s="31"/>
      <c r="O361" s="31"/>
      <c r="P361" s="31"/>
      <c r="Q361" s="129"/>
      <c r="R361" s="130"/>
      <c r="S361" s="31"/>
      <c r="T361" s="31"/>
      <c r="U361" s="31"/>
      <c r="V361" s="31"/>
      <c r="W361" s="31"/>
      <c r="X361" s="140"/>
      <c r="Y361" s="273"/>
      <c r="Z361" s="273"/>
      <c r="AA361" s="273"/>
      <c r="AB361" s="273"/>
      <c r="AC361" s="273"/>
      <c r="AD361" s="273"/>
      <c r="AE361" s="273"/>
      <c r="AF361" s="273"/>
      <c r="AG361" s="273"/>
      <c r="AH361" s="273"/>
      <c r="AI361" s="273"/>
      <c r="AJ361" s="273"/>
      <c r="AK361" s="273"/>
      <c r="AL361" s="273"/>
      <c r="AM361" s="273"/>
      <c r="AN361" s="273"/>
      <c r="AO361" s="273"/>
      <c r="AP361" s="273"/>
      <c r="AQ361" s="273"/>
      <c r="AR361" s="273"/>
      <c r="AS361" s="273"/>
      <c r="AT361" s="273"/>
      <c r="AU361" s="273"/>
      <c r="AV361" s="273"/>
    </row>
    <row r="362" spans="1:48" ht="12.75">
      <c r="A362" s="139"/>
      <c r="B362" s="132"/>
      <c r="C362" s="132"/>
      <c r="D362" s="132"/>
      <c r="E362" s="132"/>
      <c r="F362" s="132"/>
      <c r="G362" s="132"/>
      <c r="H362" s="135"/>
      <c r="I362" s="134"/>
      <c r="J362" s="132"/>
      <c r="K362" s="132"/>
      <c r="L362" s="132"/>
      <c r="M362" s="132"/>
      <c r="N362" s="132"/>
      <c r="O362" s="132"/>
      <c r="P362" s="132"/>
      <c r="Q362" s="135"/>
      <c r="R362" s="136"/>
      <c r="S362" s="132"/>
      <c r="T362" s="132"/>
      <c r="U362" s="132"/>
      <c r="V362" s="132"/>
      <c r="W362" s="132"/>
      <c r="X362" s="142"/>
      <c r="Y362" s="273"/>
      <c r="Z362" s="273"/>
      <c r="AA362" s="273"/>
      <c r="AB362" s="273"/>
      <c r="AC362" s="273"/>
      <c r="AD362" s="273"/>
      <c r="AE362" s="273"/>
      <c r="AF362" s="273"/>
      <c r="AG362" s="273"/>
      <c r="AH362" s="273"/>
      <c r="AI362" s="273"/>
      <c r="AJ362" s="273"/>
      <c r="AK362" s="273"/>
      <c r="AL362" s="273"/>
      <c r="AM362" s="273"/>
      <c r="AN362" s="273"/>
      <c r="AO362" s="273"/>
      <c r="AP362" s="273"/>
      <c r="AQ362" s="273"/>
      <c r="AR362" s="273"/>
      <c r="AS362" s="273"/>
      <c r="AT362" s="273"/>
      <c r="AU362" s="273"/>
      <c r="AV362" s="273"/>
    </row>
    <row r="363" spans="1:48" ht="12.75">
      <c r="A363" s="138"/>
      <c r="B363" s="31"/>
      <c r="C363" s="31"/>
      <c r="D363" s="31"/>
      <c r="E363" s="31"/>
      <c r="F363" s="31"/>
      <c r="G363" s="31"/>
      <c r="H363" s="129"/>
      <c r="I363" s="128"/>
      <c r="J363" s="31"/>
      <c r="K363" s="31"/>
      <c r="L363" s="31"/>
      <c r="M363" s="31"/>
      <c r="N363" s="31"/>
      <c r="O363" s="31"/>
      <c r="P363" s="31"/>
      <c r="Q363" s="129"/>
      <c r="R363" s="130"/>
      <c r="S363" s="31"/>
      <c r="T363" s="31"/>
      <c r="U363" s="31"/>
      <c r="V363" s="31"/>
      <c r="W363" s="31"/>
      <c r="X363" s="140"/>
      <c r="Y363" s="273"/>
      <c r="Z363" s="273"/>
      <c r="AA363" s="273"/>
      <c r="AB363" s="273"/>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row>
    <row r="364" spans="1:48" ht="12.75">
      <c r="A364" s="139"/>
      <c r="B364" s="132"/>
      <c r="C364" s="132"/>
      <c r="D364" s="132"/>
      <c r="E364" s="132"/>
      <c r="F364" s="132"/>
      <c r="G364" s="132"/>
      <c r="H364" s="135"/>
      <c r="I364" s="134"/>
      <c r="J364" s="132"/>
      <c r="K364" s="132"/>
      <c r="L364" s="132"/>
      <c r="M364" s="132"/>
      <c r="N364" s="132"/>
      <c r="O364" s="132"/>
      <c r="P364" s="132"/>
      <c r="Q364" s="135"/>
      <c r="R364" s="136"/>
      <c r="S364" s="132"/>
      <c r="T364" s="132"/>
      <c r="U364" s="132"/>
      <c r="V364" s="132"/>
      <c r="W364" s="132"/>
      <c r="X364" s="142"/>
      <c r="Y364" s="273"/>
      <c r="Z364" s="273"/>
      <c r="AA364" s="273"/>
      <c r="AB364" s="273"/>
      <c r="AC364" s="273"/>
      <c r="AD364" s="273"/>
      <c r="AE364" s="273"/>
      <c r="AF364" s="273"/>
      <c r="AG364" s="273"/>
      <c r="AH364" s="273"/>
      <c r="AI364" s="273"/>
      <c r="AJ364" s="273"/>
      <c r="AK364" s="273"/>
      <c r="AL364" s="273"/>
      <c r="AM364" s="273"/>
      <c r="AN364" s="273"/>
      <c r="AO364" s="273"/>
      <c r="AP364" s="273"/>
      <c r="AQ364" s="273"/>
      <c r="AR364" s="273"/>
      <c r="AS364" s="273"/>
      <c r="AT364" s="273"/>
      <c r="AU364" s="273"/>
      <c r="AV364" s="273"/>
    </row>
    <row r="365" spans="1:48" ht="12.75">
      <c r="A365" s="138"/>
      <c r="B365" s="31"/>
      <c r="C365" s="31"/>
      <c r="D365" s="31"/>
      <c r="E365" s="31"/>
      <c r="F365" s="31"/>
      <c r="G365" s="31"/>
      <c r="H365" s="129"/>
      <c r="I365" s="128"/>
      <c r="J365" s="31"/>
      <c r="K365" s="31"/>
      <c r="L365" s="31"/>
      <c r="M365" s="31"/>
      <c r="N365" s="31"/>
      <c r="O365" s="31"/>
      <c r="P365" s="31"/>
      <c r="Q365" s="129"/>
      <c r="R365" s="130"/>
      <c r="S365" s="31"/>
      <c r="T365" s="31"/>
      <c r="U365" s="31"/>
      <c r="V365" s="31"/>
      <c r="W365" s="31"/>
      <c r="X365" s="140"/>
      <c r="Y365" s="273"/>
      <c r="Z365" s="273"/>
      <c r="AA365" s="273"/>
      <c r="AB365" s="273"/>
      <c r="AC365" s="273"/>
      <c r="AD365" s="273"/>
      <c r="AE365" s="273"/>
      <c r="AF365" s="273"/>
      <c r="AG365" s="273"/>
      <c r="AH365" s="273"/>
      <c r="AI365" s="273"/>
      <c r="AJ365" s="273"/>
      <c r="AK365" s="273"/>
      <c r="AL365" s="273"/>
      <c r="AM365" s="273"/>
      <c r="AN365" s="273"/>
      <c r="AO365" s="273"/>
      <c r="AP365" s="273"/>
      <c r="AQ365" s="273"/>
      <c r="AR365" s="273"/>
      <c r="AS365" s="273"/>
      <c r="AT365" s="273"/>
      <c r="AU365" s="273"/>
      <c r="AV365" s="273"/>
    </row>
    <row r="366" spans="1:48" ht="12.75">
      <c r="A366" s="139"/>
      <c r="B366" s="132"/>
      <c r="C366" s="132"/>
      <c r="D366" s="132"/>
      <c r="E366" s="132"/>
      <c r="F366" s="132"/>
      <c r="G366" s="132"/>
      <c r="H366" s="135"/>
      <c r="I366" s="134"/>
      <c r="J366" s="132"/>
      <c r="K366" s="132"/>
      <c r="L366" s="132"/>
      <c r="M366" s="132"/>
      <c r="N366" s="132"/>
      <c r="O366" s="132"/>
      <c r="P366" s="132"/>
      <c r="Q366" s="135"/>
      <c r="R366" s="136"/>
      <c r="S366" s="132"/>
      <c r="T366" s="132"/>
      <c r="U366" s="132"/>
      <c r="V366" s="132"/>
      <c r="W366" s="132"/>
      <c r="X366" s="142"/>
      <c r="Y366" s="273"/>
      <c r="Z366" s="273"/>
      <c r="AA366" s="273"/>
      <c r="AB366" s="273"/>
      <c r="AC366" s="273"/>
      <c r="AD366" s="273"/>
      <c r="AE366" s="273"/>
      <c r="AF366" s="273"/>
      <c r="AG366" s="273"/>
      <c r="AH366" s="273"/>
      <c r="AI366" s="273"/>
      <c r="AJ366" s="273"/>
      <c r="AK366" s="273"/>
      <c r="AL366" s="273"/>
      <c r="AM366" s="273"/>
      <c r="AN366" s="273"/>
      <c r="AO366" s="273"/>
      <c r="AP366" s="273"/>
      <c r="AQ366" s="273"/>
      <c r="AR366" s="273"/>
      <c r="AS366" s="273"/>
      <c r="AT366" s="273"/>
      <c r="AU366" s="273"/>
      <c r="AV366" s="273"/>
    </row>
    <row r="367" spans="1:48" ht="12.75">
      <c r="A367" s="138"/>
      <c r="B367" s="31"/>
      <c r="C367" s="31"/>
      <c r="D367" s="31"/>
      <c r="E367" s="31"/>
      <c r="F367" s="31"/>
      <c r="G367" s="31"/>
      <c r="H367" s="129"/>
      <c r="I367" s="128"/>
      <c r="J367" s="31"/>
      <c r="K367" s="31"/>
      <c r="L367" s="31"/>
      <c r="M367" s="31"/>
      <c r="N367" s="31"/>
      <c r="O367" s="31"/>
      <c r="P367" s="31"/>
      <c r="Q367" s="129"/>
      <c r="R367" s="130"/>
      <c r="S367" s="31"/>
      <c r="T367" s="31"/>
      <c r="U367" s="31"/>
      <c r="V367" s="31"/>
      <c r="W367" s="31"/>
      <c r="X367" s="140"/>
      <c r="Y367" s="273"/>
      <c r="Z367" s="273"/>
      <c r="AA367" s="273"/>
      <c r="AB367" s="273"/>
      <c r="AC367" s="273"/>
      <c r="AD367" s="273"/>
      <c r="AE367" s="273"/>
      <c r="AF367" s="273"/>
      <c r="AG367" s="273"/>
      <c r="AH367" s="273"/>
      <c r="AI367" s="273"/>
      <c r="AJ367" s="273"/>
      <c r="AK367" s="273"/>
      <c r="AL367" s="273"/>
      <c r="AM367" s="273"/>
      <c r="AN367" s="273"/>
      <c r="AO367" s="273"/>
      <c r="AP367" s="273"/>
      <c r="AQ367" s="273"/>
      <c r="AR367" s="273"/>
      <c r="AS367" s="273"/>
      <c r="AT367" s="273"/>
      <c r="AU367" s="273"/>
      <c r="AV367" s="273"/>
    </row>
    <row r="368" spans="1:48" ht="12.75">
      <c r="A368" s="139"/>
      <c r="B368" s="132"/>
      <c r="C368" s="132"/>
      <c r="D368" s="132"/>
      <c r="E368" s="132"/>
      <c r="F368" s="132"/>
      <c r="G368" s="132"/>
      <c r="H368" s="135"/>
      <c r="I368" s="134"/>
      <c r="J368" s="132"/>
      <c r="K368" s="132"/>
      <c r="L368" s="132"/>
      <c r="M368" s="132"/>
      <c r="N368" s="132"/>
      <c r="O368" s="132"/>
      <c r="P368" s="132"/>
      <c r="Q368" s="135"/>
      <c r="R368" s="136"/>
      <c r="S368" s="132"/>
      <c r="T368" s="132"/>
      <c r="U368" s="132"/>
      <c r="V368" s="132"/>
      <c r="W368" s="132"/>
      <c r="X368" s="142"/>
      <c r="Y368" s="273"/>
      <c r="Z368" s="273"/>
      <c r="AA368" s="273"/>
      <c r="AB368" s="273"/>
      <c r="AC368" s="273"/>
      <c r="AD368" s="273"/>
      <c r="AE368" s="273"/>
      <c r="AF368" s="273"/>
      <c r="AG368" s="273"/>
      <c r="AH368" s="273"/>
      <c r="AI368" s="273"/>
      <c r="AJ368" s="273"/>
      <c r="AK368" s="273"/>
      <c r="AL368" s="273"/>
      <c r="AM368" s="273"/>
      <c r="AN368" s="273"/>
      <c r="AO368" s="273"/>
      <c r="AP368" s="273"/>
      <c r="AQ368" s="273"/>
      <c r="AR368" s="273"/>
      <c r="AS368" s="273"/>
      <c r="AT368" s="273"/>
      <c r="AU368" s="273"/>
      <c r="AV368" s="273"/>
    </row>
    <row r="369" spans="1:48" ht="12.75">
      <c r="A369" s="138"/>
      <c r="B369" s="31"/>
      <c r="C369" s="31"/>
      <c r="D369" s="31"/>
      <c r="E369" s="31"/>
      <c r="F369" s="31"/>
      <c r="G369" s="31"/>
      <c r="H369" s="129"/>
      <c r="I369" s="128"/>
      <c r="J369" s="31"/>
      <c r="K369" s="31"/>
      <c r="L369" s="31"/>
      <c r="M369" s="31"/>
      <c r="N369" s="31"/>
      <c r="O369" s="31"/>
      <c r="P369" s="31"/>
      <c r="Q369" s="129"/>
      <c r="R369" s="130"/>
      <c r="S369" s="31"/>
      <c r="T369" s="31"/>
      <c r="U369" s="31"/>
      <c r="V369" s="31"/>
      <c r="W369" s="31"/>
      <c r="X369" s="140"/>
      <c r="Y369" s="273"/>
      <c r="Z369" s="273"/>
      <c r="AA369" s="273"/>
      <c r="AB369" s="273"/>
      <c r="AC369" s="273"/>
      <c r="AD369" s="273"/>
      <c r="AE369" s="273"/>
      <c r="AF369" s="273"/>
      <c r="AG369" s="273"/>
      <c r="AH369" s="273"/>
      <c r="AI369" s="273"/>
      <c r="AJ369" s="273"/>
      <c r="AK369" s="273"/>
      <c r="AL369" s="273"/>
      <c r="AM369" s="273"/>
      <c r="AN369" s="273"/>
      <c r="AO369" s="273"/>
      <c r="AP369" s="273"/>
      <c r="AQ369" s="273"/>
      <c r="AR369" s="273"/>
      <c r="AS369" s="273"/>
      <c r="AT369" s="273"/>
      <c r="AU369" s="273"/>
      <c r="AV369" s="273"/>
    </row>
    <row r="370" spans="1:48" ht="12.75">
      <c r="A370" s="139"/>
      <c r="B370" s="132"/>
      <c r="C370" s="132"/>
      <c r="D370" s="132"/>
      <c r="E370" s="132"/>
      <c r="F370" s="132"/>
      <c r="G370" s="132"/>
      <c r="H370" s="135"/>
      <c r="I370" s="134"/>
      <c r="J370" s="132"/>
      <c r="K370" s="132"/>
      <c r="L370" s="132"/>
      <c r="M370" s="132"/>
      <c r="N370" s="132"/>
      <c r="O370" s="132"/>
      <c r="P370" s="132"/>
      <c r="Q370" s="135"/>
      <c r="R370" s="136"/>
      <c r="S370" s="132"/>
      <c r="T370" s="132"/>
      <c r="U370" s="132"/>
      <c r="V370" s="132"/>
      <c r="W370" s="132"/>
      <c r="X370" s="142"/>
      <c r="Y370" s="273"/>
      <c r="Z370" s="273"/>
      <c r="AA370" s="273"/>
      <c r="AB370" s="273"/>
      <c r="AC370" s="273"/>
      <c r="AD370" s="273"/>
      <c r="AE370" s="273"/>
      <c r="AF370" s="273"/>
      <c r="AG370" s="273"/>
      <c r="AH370" s="273"/>
      <c r="AI370" s="273"/>
      <c r="AJ370" s="273"/>
      <c r="AK370" s="273"/>
      <c r="AL370" s="273"/>
      <c r="AM370" s="273"/>
      <c r="AN370" s="273"/>
      <c r="AO370" s="273"/>
      <c r="AP370" s="273"/>
      <c r="AQ370" s="273"/>
      <c r="AR370" s="273"/>
      <c r="AS370" s="273"/>
      <c r="AT370" s="273"/>
      <c r="AU370" s="273"/>
      <c r="AV370" s="273"/>
    </row>
    <row r="371" spans="1:48" ht="12.75">
      <c r="A371" s="138"/>
      <c r="B371" s="31"/>
      <c r="C371" s="31"/>
      <c r="D371" s="31"/>
      <c r="E371" s="31"/>
      <c r="F371" s="31"/>
      <c r="G371" s="31"/>
      <c r="H371" s="129"/>
      <c r="I371" s="128"/>
      <c r="J371" s="31"/>
      <c r="K371" s="31"/>
      <c r="L371" s="31"/>
      <c r="M371" s="31"/>
      <c r="N371" s="31"/>
      <c r="O371" s="31"/>
      <c r="P371" s="31"/>
      <c r="Q371" s="129"/>
      <c r="R371" s="130"/>
      <c r="S371" s="31"/>
      <c r="T371" s="31"/>
      <c r="U371" s="31"/>
      <c r="V371" s="31"/>
      <c r="W371" s="31"/>
      <c r="X371" s="140"/>
      <c r="Y371" s="273"/>
      <c r="Z371" s="273"/>
      <c r="AA371" s="273"/>
      <c r="AB371" s="273"/>
      <c r="AC371" s="273"/>
      <c r="AD371" s="273"/>
      <c r="AE371" s="273"/>
      <c r="AF371" s="273"/>
      <c r="AG371" s="273"/>
      <c r="AH371" s="273"/>
      <c r="AI371" s="273"/>
      <c r="AJ371" s="273"/>
      <c r="AK371" s="273"/>
      <c r="AL371" s="273"/>
      <c r="AM371" s="273"/>
      <c r="AN371" s="273"/>
      <c r="AO371" s="273"/>
      <c r="AP371" s="273"/>
      <c r="AQ371" s="273"/>
      <c r="AR371" s="273"/>
      <c r="AS371" s="273"/>
      <c r="AT371" s="273"/>
      <c r="AU371" s="273"/>
      <c r="AV371" s="273"/>
    </row>
    <row r="372" spans="1:48" ht="12.75">
      <c r="A372" s="139"/>
      <c r="B372" s="132"/>
      <c r="C372" s="132"/>
      <c r="D372" s="132"/>
      <c r="E372" s="132"/>
      <c r="F372" s="132"/>
      <c r="G372" s="132"/>
      <c r="H372" s="135"/>
      <c r="I372" s="134"/>
      <c r="J372" s="132"/>
      <c r="K372" s="132"/>
      <c r="L372" s="132"/>
      <c r="M372" s="132"/>
      <c r="N372" s="132"/>
      <c r="O372" s="132"/>
      <c r="P372" s="132"/>
      <c r="Q372" s="135"/>
      <c r="R372" s="136"/>
      <c r="S372" s="132"/>
      <c r="T372" s="132"/>
      <c r="U372" s="132"/>
      <c r="V372" s="132"/>
      <c r="W372" s="132"/>
      <c r="X372" s="142"/>
      <c r="Y372" s="273"/>
      <c r="Z372" s="273"/>
      <c r="AA372" s="273"/>
      <c r="AB372" s="273"/>
      <c r="AC372" s="273"/>
      <c r="AD372" s="273"/>
      <c r="AE372" s="273"/>
      <c r="AF372" s="273"/>
      <c r="AG372" s="273"/>
      <c r="AH372" s="273"/>
      <c r="AI372" s="273"/>
      <c r="AJ372" s="273"/>
      <c r="AK372" s="273"/>
      <c r="AL372" s="273"/>
      <c r="AM372" s="273"/>
      <c r="AN372" s="273"/>
      <c r="AO372" s="273"/>
      <c r="AP372" s="273"/>
      <c r="AQ372" s="273"/>
      <c r="AR372" s="273"/>
      <c r="AS372" s="273"/>
      <c r="AT372" s="273"/>
      <c r="AU372" s="273"/>
      <c r="AV372" s="273"/>
    </row>
    <row r="373" spans="1:48" ht="12.75">
      <c r="A373" s="138"/>
      <c r="B373" s="31"/>
      <c r="C373" s="31"/>
      <c r="D373" s="31"/>
      <c r="E373" s="31"/>
      <c r="F373" s="31"/>
      <c r="G373" s="31"/>
      <c r="H373" s="129"/>
      <c r="I373" s="128"/>
      <c r="J373" s="31"/>
      <c r="K373" s="31"/>
      <c r="L373" s="31"/>
      <c r="M373" s="31"/>
      <c r="N373" s="31"/>
      <c r="O373" s="31"/>
      <c r="P373" s="31"/>
      <c r="Q373" s="129"/>
      <c r="R373" s="130"/>
      <c r="S373" s="31"/>
      <c r="T373" s="31"/>
      <c r="U373" s="31"/>
      <c r="V373" s="31"/>
      <c r="W373" s="31"/>
      <c r="X373" s="140"/>
      <c r="Y373" s="273"/>
      <c r="Z373" s="273"/>
      <c r="AA373" s="273"/>
      <c r="AB373" s="273"/>
      <c r="AC373" s="273"/>
      <c r="AD373" s="273"/>
      <c r="AE373" s="273"/>
      <c r="AF373" s="273"/>
      <c r="AG373" s="273"/>
      <c r="AH373" s="273"/>
      <c r="AI373" s="273"/>
      <c r="AJ373" s="273"/>
      <c r="AK373" s="273"/>
      <c r="AL373" s="273"/>
      <c r="AM373" s="273"/>
      <c r="AN373" s="273"/>
      <c r="AO373" s="273"/>
      <c r="AP373" s="273"/>
      <c r="AQ373" s="273"/>
      <c r="AR373" s="273"/>
      <c r="AS373" s="273"/>
      <c r="AT373" s="273"/>
      <c r="AU373" s="273"/>
      <c r="AV373" s="273"/>
    </row>
    <row r="374" spans="1:48" ht="12.75">
      <c r="A374" s="139"/>
      <c r="B374" s="132"/>
      <c r="C374" s="132"/>
      <c r="D374" s="132"/>
      <c r="E374" s="132"/>
      <c r="F374" s="132"/>
      <c r="G374" s="132"/>
      <c r="H374" s="135"/>
      <c r="I374" s="134"/>
      <c r="J374" s="132"/>
      <c r="K374" s="132"/>
      <c r="L374" s="132"/>
      <c r="M374" s="132"/>
      <c r="N374" s="132"/>
      <c r="O374" s="132"/>
      <c r="P374" s="132"/>
      <c r="Q374" s="135"/>
      <c r="R374" s="136"/>
      <c r="S374" s="132"/>
      <c r="T374" s="132"/>
      <c r="U374" s="132"/>
      <c r="V374" s="132"/>
      <c r="W374" s="132"/>
      <c r="X374" s="142"/>
      <c r="Y374" s="273"/>
      <c r="Z374" s="273"/>
      <c r="AA374" s="273"/>
      <c r="AB374" s="273"/>
      <c r="AC374" s="273"/>
      <c r="AD374" s="273"/>
      <c r="AE374" s="273"/>
      <c r="AF374" s="273"/>
      <c r="AG374" s="273"/>
      <c r="AH374" s="273"/>
      <c r="AI374" s="273"/>
      <c r="AJ374" s="273"/>
      <c r="AK374" s="273"/>
      <c r="AL374" s="273"/>
      <c r="AM374" s="273"/>
      <c r="AN374" s="273"/>
      <c r="AO374" s="273"/>
      <c r="AP374" s="273"/>
      <c r="AQ374" s="273"/>
      <c r="AR374" s="273"/>
      <c r="AS374" s="273"/>
      <c r="AT374" s="273"/>
      <c r="AU374" s="273"/>
      <c r="AV374" s="273"/>
    </row>
    <row r="375" spans="1:48" ht="12.75">
      <c r="A375" s="138"/>
      <c r="B375" s="31"/>
      <c r="C375" s="31"/>
      <c r="D375" s="31"/>
      <c r="E375" s="31"/>
      <c r="F375" s="31"/>
      <c r="G375" s="31"/>
      <c r="H375" s="129"/>
      <c r="I375" s="128"/>
      <c r="J375" s="31"/>
      <c r="K375" s="31"/>
      <c r="L375" s="31"/>
      <c r="M375" s="31"/>
      <c r="N375" s="31"/>
      <c r="O375" s="31"/>
      <c r="P375" s="31"/>
      <c r="Q375" s="129"/>
      <c r="R375" s="130"/>
      <c r="S375" s="31"/>
      <c r="T375" s="31"/>
      <c r="U375" s="31"/>
      <c r="V375" s="31"/>
      <c r="W375" s="31"/>
      <c r="X375" s="140"/>
      <c r="Y375" s="273"/>
      <c r="Z375" s="273"/>
      <c r="AA375" s="273"/>
      <c r="AB375" s="273"/>
      <c r="AC375" s="273"/>
      <c r="AD375" s="273"/>
      <c r="AE375" s="273"/>
      <c r="AF375" s="273"/>
      <c r="AG375" s="273"/>
      <c r="AH375" s="273"/>
      <c r="AI375" s="273"/>
      <c r="AJ375" s="273"/>
      <c r="AK375" s="273"/>
      <c r="AL375" s="273"/>
      <c r="AM375" s="273"/>
      <c r="AN375" s="273"/>
      <c r="AO375" s="273"/>
      <c r="AP375" s="273"/>
      <c r="AQ375" s="273"/>
      <c r="AR375" s="273"/>
      <c r="AS375" s="273"/>
      <c r="AT375" s="273"/>
      <c r="AU375" s="273"/>
      <c r="AV375" s="273"/>
    </row>
    <row r="376" spans="1:48" ht="12.75">
      <c r="A376" s="139"/>
      <c r="B376" s="132"/>
      <c r="C376" s="132"/>
      <c r="D376" s="132"/>
      <c r="E376" s="132"/>
      <c r="F376" s="132"/>
      <c r="G376" s="132"/>
      <c r="H376" s="135"/>
      <c r="I376" s="134"/>
      <c r="J376" s="132"/>
      <c r="K376" s="132"/>
      <c r="L376" s="132"/>
      <c r="M376" s="132"/>
      <c r="N376" s="132"/>
      <c r="O376" s="132"/>
      <c r="P376" s="132"/>
      <c r="Q376" s="135"/>
      <c r="R376" s="136"/>
      <c r="S376" s="132"/>
      <c r="T376" s="132"/>
      <c r="U376" s="132"/>
      <c r="V376" s="132"/>
      <c r="W376" s="132"/>
      <c r="X376" s="142"/>
      <c r="Y376" s="273"/>
      <c r="Z376" s="273"/>
      <c r="AA376" s="273"/>
      <c r="AB376" s="273"/>
      <c r="AC376" s="273"/>
      <c r="AD376" s="273"/>
      <c r="AE376" s="273"/>
      <c r="AF376" s="273"/>
      <c r="AG376" s="273"/>
      <c r="AH376" s="273"/>
      <c r="AI376" s="273"/>
      <c r="AJ376" s="273"/>
      <c r="AK376" s="273"/>
      <c r="AL376" s="273"/>
      <c r="AM376" s="273"/>
      <c r="AN376" s="273"/>
      <c r="AO376" s="273"/>
      <c r="AP376" s="273"/>
      <c r="AQ376" s="273"/>
      <c r="AR376" s="273"/>
      <c r="AS376" s="273"/>
      <c r="AT376" s="273"/>
      <c r="AU376" s="273"/>
      <c r="AV376" s="273"/>
    </row>
    <row r="377" spans="1:48" ht="12.75">
      <c r="A377" s="138"/>
      <c r="B377" s="31"/>
      <c r="C377" s="31"/>
      <c r="D377" s="31"/>
      <c r="E377" s="31"/>
      <c r="F377" s="31"/>
      <c r="G377" s="31"/>
      <c r="H377" s="129"/>
      <c r="I377" s="128"/>
      <c r="J377" s="31"/>
      <c r="K377" s="31"/>
      <c r="L377" s="31"/>
      <c r="M377" s="31"/>
      <c r="N377" s="31"/>
      <c r="O377" s="31"/>
      <c r="P377" s="31"/>
      <c r="Q377" s="129"/>
      <c r="R377" s="130"/>
      <c r="S377" s="31"/>
      <c r="T377" s="31"/>
      <c r="U377" s="31"/>
      <c r="V377" s="31"/>
      <c r="W377" s="31"/>
      <c r="X377" s="140"/>
      <c r="Y377" s="273"/>
      <c r="Z377" s="273"/>
      <c r="AA377" s="273"/>
      <c r="AB377" s="273"/>
      <c r="AC377" s="273"/>
      <c r="AD377" s="273"/>
      <c r="AE377" s="273"/>
      <c r="AF377" s="273"/>
      <c r="AG377" s="273"/>
      <c r="AH377" s="273"/>
      <c r="AI377" s="273"/>
      <c r="AJ377" s="273"/>
      <c r="AK377" s="273"/>
      <c r="AL377" s="273"/>
      <c r="AM377" s="273"/>
      <c r="AN377" s="273"/>
      <c r="AO377" s="273"/>
      <c r="AP377" s="273"/>
      <c r="AQ377" s="273"/>
      <c r="AR377" s="273"/>
      <c r="AS377" s="273"/>
      <c r="AT377" s="273"/>
      <c r="AU377" s="273"/>
      <c r="AV377" s="273"/>
    </row>
    <row r="378" spans="1:48" ht="12.75">
      <c r="A378" s="139"/>
      <c r="B378" s="132"/>
      <c r="C378" s="132"/>
      <c r="D378" s="132"/>
      <c r="E378" s="132"/>
      <c r="F378" s="132"/>
      <c r="G378" s="132"/>
      <c r="H378" s="135"/>
      <c r="I378" s="134"/>
      <c r="J378" s="132"/>
      <c r="K378" s="132"/>
      <c r="L378" s="132"/>
      <c r="M378" s="132"/>
      <c r="N378" s="132"/>
      <c r="O378" s="132"/>
      <c r="P378" s="132"/>
      <c r="Q378" s="135"/>
      <c r="R378" s="136"/>
      <c r="S378" s="132"/>
      <c r="T378" s="132"/>
      <c r="U378" s="132"/>
      <c r="V378" s="132"/>
      <c r="W378" s="132"/>
      <c r="X378" s="142"/>
      <c r="Y378" s="273"/>
      <c r="Z378" s="273"/>
      <c r="AA378" s="273"/>
      <c r="AB378" s="273"/>
      <c r="AC378" s="273"/>
      <c r="AD378" s="273"/>
      <c r="AE378" s="273"/>
      <c r="AF378" s="273"/>
      <c r="AG378" s="273"/>
      <c r="AH378" s="273"/>
      <c r="AI378" s="273"/>
      <c r="AJ378" s="273"/>
      <c r="AK378" s="273"/>
      <c r="AL378" s="273"/>
      <c r="AM378" s="273"/>
      <c r="AN378" s="273"/>
      <c r="AO378" s="273"/>
      <c r="AP378" s="273"/>
      <c r="AQ378" s="273"/>
      <c r="AR378" s="273"/>
      <c r="AS378" s="273"/>
      <c r="AT378" s="273"/>
      <c r="AU378" s="273"/>
      <c r="AV378" s="273"/>
    </row>
    <row r="379" spans="1:48" ht="12.75">
      <c r="A379" s="138"/>
      <c r="B379" s="31"/>
      <c r="C379" s="31"/>
      <c r="D379" s="31"/>
      <c r="E379" s="31"/>
      <c r="F379" s="31"/>
      <c r="G379" s="31"/>
      <c r="H379" s="129"/>
      <c r="I379" s="128"/>
      <c r="J379" s="31"/>
      <c r="K379" s="31"/>
      <c r="L379" s="31"/>
      <c r="M379" s="31"/>
      <c r="N379" s="31"/>
      <c r="O379" s="31"/>
      <c r="P379" s="31"/>
      <c r="Q379" s="129"/>
      <c r="R379" s="130"/>
      <c r="S379" s="31"/>
      <c r="T379" s="31"/>
      <c r="U379" s="31"/>
      <c r="V379" s="31"/>
      <c r="W379" s="31"/>
      <c r="X379" s="140"/>
      <c r="Y379" s="273"/>
      <c r="Z379" s="273"/>
      <c r="AA379" s="273"/>
      <c r="AB379" s="273"/>
      <c r="AC379" s="273"/>
      <c r="AD379" s="273"/>
      <c r="AE379" s="273"/>
      <c r="AF379" s="273"/>
      <c r="AG379" s="273"/>
      <c r="AH379" s="273"/>
      <c r="AI379" s="273"/>
      <c r="AJ379" s="273"/>
      <c r="AK379" s="273"/>
      <c r="AL379" s="273"/>
      <c r="AM379" s="273"/>
      <c r="AN379" s="273"/>
      <c r="AO379" s="273"/>
      <c r="AP379" s="273"/>
      <c r="AQ379" s="273"/>
      <c r="AR379" s="273"/>
      <c r="AS379" s="273"/>
      <c r="AT379" s="273"/>
      <c r="AU379" s="273"/>
      <c r="AV379" s="273"/>
    </row>
    <row r="380" spans="1:48" ht="12.75">
      <c r="A380" s="139"/>
      <c r="B380" s="132"/>
      <c r="C380" s="132"/>
      <c r="D380" s="132"/>
      <c r="E380" s="132"/>
      <c r="F380" s="132"/>
      <c r="G380" s="132"/>
      <c r="H380" s="135"/>
      <c r="I380" s="134"/>
      <c r="J380" s="132"/>
      <c r="K380" s="132"/>
      <c r="L380" s="132"/>
      <c r="M380" s="132"/>
      <c r="N380" s="132"/>
      <c r="O380" s="132"/>
      <c r="P380" s="132"/>
      <c r="Q380" s="135"/>
      <c r="R380" s="136"/>
      <c r="S380" s="132"/>
      <c r="T380" s="132"/>
      <c r="U380" s="132"/>
      <c r="V380" s="132"/>
      <c r="W380" s="132"/>
      <c r="X380" s="142"/>
      <c r="Y380" s="273"/>
      <c r="Z380" s="273"/>
      <c r="AA380" s="273"/>
      <c r="AB380" s="273"/>
      <c r="AC380" s="273"/>
      <c r="AD380" s="273"/>
      <c r="AE380" s="273"/>
      <c r="AF380" s="273"/>
      <c r="AG380" s="273"/>
      <c r="AH380" s="273"/>
      <c r="AI380" s="273"/>
      <c r="AJ380" s="273"/>
      <c r="AK380" s="273"/>
      <c r="AL380" s="273"/>
      <c r="AM380" s="273"/>
      <c r="AN380" s="273"/>
      <c r="AO380" s="273"/>
      <c r="AP380" s="273"/>
      <c r="AQ380" s="273"/>
      <c r="AR380" s="273"/>
      <c r="AS380" s="273"/>
      <c r="AT380" s="273"/>
      <c r="AU380" s="273"/>
      <c r="AV380" s="273"/>
    </row>
    <row r="381" spans="1:48" ht="12.75">
      <c r="A381" s="138"/>
      <c r="B381" s="31"/>
      <c r="C381" s="31"/>
      <c r="D381" s="31"/>
      <c r="E381" s="31"/>
      <c r="F381" s="31"/>
      <c r="G381" s="31"/>
      <c r="H381" s="129"/>
      <c r="I381" s="128"/>
      <c r="J381" s="31"/>
      <c r="K381" s="31"/>
      <c r="L381" s="31"/>
      <c r="M381" s="31"/>
      <c r="N381" s="31"/>
      <c r="O381" s="31"/>
      <c r="P381" s="31"/>
      <c r="Q381" s="129"/>
      <c r="R381" s="130"/>
      <c r="S381" s="31"/>
      <c r="T381" s="31"/>
      <c r="U381" s="31"/>
      <c r="V381" s="31"/>
      <c r="W381" s="31"/>
      <c r="X381" s="140"/>
      <c r="Y381" s="273"/>
      <c r="Z381" s="273"/>
      <c r="AA381" s="273"/>
      <c r="AB381" s="273"/>
      <c r="AC381" s="273"/>
      <c r="AD381" s="273"/>
      <c r="AE381" s="273"/>
      <c r="AF381" s="273"/>
      <c r="AG381" s="273"/>
      <c r="AH381" s="273"/>
      <c r="AI381" s="273"/>
      <c r="AJ381" s="273"/>
      <c r="AK381" s="273"/>
      <c r="AL381" s="273"/>
      <c r="AM381" s="273"/>
      <c r="AN381" s="273"/>
      <c r="AO381" s="273"/>
      <c r="AP381" s="273"/>
      <c r="AQ381" s="273"/>
      <c r="AR381" s="273"/>
      <c r="AS381" s="273"/>
      <c r="AT381" s="273"/>
      <c r="AU381" s="273"/>
      <c r="AV381" s="273"/>
    </row>
    <row r="382" spans="1:48" ht="12.75">
      <c r="A382" s="139"/>
      <c r="B382" s="132"/>
      <c r="C382" s="132"/>
      <c r="D382" s="132"/>
      <c r="E382" s="132"/>
      <c r="F382" s="132"/>
      <c r="G382" s="132"/>
      <c r="H382" s="135"/>
      <c r="I382" s="134"/>
      <c r="J382" s="132"/>
      <c r="K382" s="132"/>
      <c r="L382" s="132"/>
      <c r="M382" s="132"/>
      <c r="N382" s="132"/>
      <c r="O382" s="132"/>
      <c r="P382" s="132"/>
      <c r="Q382" s="135"/>
      <c r="R382" s="136"/>
      <c r="S382" s="132"/>
      <c r="T382" s="132"/>
      <c r="U382" s="132"/>
      <c r="V382" s="132"/>
      <c r="W382" s="132"/>
      <c r="X382" s="142"/>
      <c r="Y382" s="273"/>
      <c r="Z382" s="273"/>
      <c r="AA382" s="273"/>
      <c r="AB382" s="273"/>
      <c r="AC382" s="273"/>
      <c r="AD382" s="273"/>
      <c r="AE382" s="273"/>
      <c r="AF382" s="273"/>
      <c r="AG382" s="273"/>
      <c r="AH382" s="273"/>
      <c r="AI382" s="273"/>
      <c r="AJ382" s="273"/>
      <c r="AK382" s="273"/>
      <c r="AL382" s="273"/>
      <c r="AM382" s="273"/>
      <c r="AN382" s="273"/>
      <c r="AO382" s="273"/>
      <c r="AP382" s="273"/>
      <c r="AQ382" s="273"/>
      <c r="AR382" s="273"/>
      <c r="AS382" s="273"/>
      <c r="AT382" s="273"/>
      <c r="AU382" s="273"/>
      <c r="AV382" s="273"/>
    </row>
    <row r="383" spans="1:48" ht="12.75">
      <c r="A383" s="138"/>
      <c r="B383" s="31"/>
      <c r="C383" s="31"/>
      <c r="D383" s="31"/>
      <c r="E383" s="31"/>
      <c r="F383" s="31"/>
      <c r="G383" s="31"/>
      <c r="H383" s="129"/>
      <c r="I383" s="128"/>
      <c r="J383" s="31"/>
      <c r="K383" s="31"/>
      <c r="L383" s="31"/>
      <c r="M383" s="31"/>
      <c r="N383" s="31"/>
      <c r="O383" s="31"/>
      <c r="P383" s="31"/>
      <c r="Q383" s="129"/>
      <c r="R383" s="130"/>
      <c r="S383" s="31"/>
      <c r="T383" s="31"/>
      <c r="U383" s="31"/>
      <c r="V383" s="31"/>
      <c r="W383" s="31"/>
      <c r="X383" s="140"/>
      <c r="Y383" s="273"/>
      <c r="Z383" s="273"/>
      <c r="AA383" s="273"/>
      <c r="AB383" s="273"/>
      <c r="AC383" s="273"/>
      <c r="AD383" s="273"/>
      <c r="AE383" s="273"/>
      <c r="AF383" s="273"/>
      <c r="AG383" s="273"/>
      <c r="AH383" s="273"/>
      <c r="AI383" s="273"/>
      <c r="AJ383" s="273"/>
      <c r="AK383" s="273"/>
      <c r="AL383" s="273"/>
      <c r="AM383" s="273"/>
      <c r="AN383" s="273"/>
      <c r="AO383" s="273"/>
      <c r="AP383" s="273"/>
      <c r="AQ383" s="273"/>
      <c r="AR383" s="273"/>
      <c r="AS383" s="273"/>
      <c r="AT383" s="273"/>
      <c r="AU383" s="273"/>
      <c r="AV383" s="273"/>
    </row>
    <row r="384" spans="1:48" ht="12.75">
      <c r="A384" s="139"/>
      <c r="B384" s="132"/>
      <c r="C384" s="132"/>
      <c r="D384" s="132"/>
      <c r="E384" s="132"/>
      <c r="F384" s="132"/>
      <c r="G384" s="132"/>
      <c r="H384" s="135"/>
      <c r="I384" s="134"/>
      <c r="J384" s="132"/>
      <c r="K384" s="132"/>
      <c r="L384" s="132"/>
      <c r="M384" s="132"/>
      <c r="N384" s="132"/>
      <c r="O384" s="132"/>
      <c r="P384" s="132"/>
      <c r="Q384" s="135"/>
      <c r="R384" s="136"/>
      <c r="S384" s="132"/>
      <c r="T384" s="132"/>
      <c r="U384" s="132"/>
      <c r="V384" s="132"/>
      <c r="W384" s="132"/>
      <c r="X384" s="142"/>
      <c r="Y384" s="273"/>
      <c r="Z384" s="273"/>
      <c r="AA384" s="273"/>
      <c r="AB384" s="273"/>
      <c r="AC384" s="273"/>
      <c r="AD384" s="273"/>
      <c r="AE384" s="273"/>
      <c r="AF384" s="273"/>
      <c r="AG384" s="273"/>
      <c r="AH384" s="273"/>
      <c r="AI384" s="273"/>
      <c r="AJ384" s="273"/>
      <c r="AK384" s="273"/>
      <c r="AL384" s="273"/>
      <c r="AM384" s="273"/>
      <c r="AN384" s="273"/>
      <c r="AO384" s="273"/>
      <c r="AP384" s="273"/>
      <c r="AQ384" s="273"/>
      <c r="AR384" s="273"/>
      <c r="AS384" s="273"/>
      <c r="AT384" s="273"/>
      <c r="AU384" s="273"/>
      <c r="AV384" s="273"/>
    </row>
    <row r="385" spans="1:48" ht="12.75">
      <c r="A385" s="138"/>
      <c r="B385" s="31"/>
      <c r="C385" s="31"/>
      <c r="D385" s="31"/>
      <c r="E385" s="31"/>
      <c r="F385" s="31"/>
      <c r="G385" s="31"/>
      <c r="H385" s="129"/>
      <c r="I385" s="128"/>
      <c r="J385" s="31"/>
      <c r="K385" s="31"/>
      <c r="L385" s="31"/>
      <c r="M385" s="31"/>
      <c r="N385" s="31"/>
      <c r="O385" s="31"/>
      <c r="P385" s="31"/>
      <c r="Q385" s="129"/>
      <c r="R385" s="130"/>
      <c r="S385" s="31"/>
      <c r="T385" s="31"/>
      <c r="U385" s="31"/>
      <c r="V385" s="31"/>
      <c r="W385" s="31"/>
      <c r="X385" s="140"/>
      <c r="Y385" s="273"/>
      <c r="Z385" s="273"/>
      <c r="AA385" s="273"/>
      <c r="AB385" s="273"/>
      <c r="AC385" s="273"/>
      <c r="AD385" s="273"/>
      <c r="AE385" s="273"/>
      <c r="AF385" s="273"/>
      <c r="AG385" s="273"/>
      <c r="AH385" s="273"/>
      <c r="AI385" s="273"/>
      <c r="AJ385" s="273"/>
      <c r="AK385" s="273"/>
      <c r="AL385" s="273"/>
      <c r="AM385" s="273"/>
      <c r="AN385" s="273"/>
      <c r="AO385" s="273"/>
      <c r="AP385" s="273"/>
      <c r="AQ385" s="273"/>
      <c r="AR385" s="273"/>
      <c r="AS385" s="273"/>
      <c r="AT385" s="273"/>
      <c r="AU385" s="273"/>
      <c r="AV385" s="273"/>
    </row>
    <row r="386" spans="1:48" ht="12.75">
      <c r="A386" s="139"/>
      <c r="B386" s="132"/>
      <c r="C386" s="132"/>
      <c r="D386" s="132"/>
      <c r="E386" s="132"/>
      <c r="F386" s="132"/>
      <c r="G386" s="132"/>
      <c r="H386" s="135"/>
      <c r="I386" s="134"/>
      <c r="J386" s="132"/>
      <c r="K386" s="132"/>
      <c r="L386" s="132"/>
      <c r="M386" s="132"/>
      <c r="N386" s="132"/>
      <c r="O386" s="132"/>
      <c r="P386" s="132"/>
      <c r="Q386" s="135"/>
      <c r="R386" s="136"/>
      <c r="S386" s="132"/>
      <c r="T386" s="132"/>
      <c r="U386" s="132"/>
      <c r="V386" s="132"/>
      <c r="W386" s="132"/>
      <c r="X386" s="142"/>
      <c r="Y386" s="273"/>
      <c r="Z386" s="273"/>
      <c r="AA386" s="273"/>
      <c r="AB386" s="273"/>
      <c r="AC386" s="273"/>
      <c r="AD386" s="273"/>
      <c r="AE386" s="273"/>
      <c r="AF386" s="273"/>
      <c r="AG386" s="273"/>
      <c r="AH386" s="273"/>
      <c r="AI386" s="273"/>
      <c r="AJ386" s="273"/>
      <c r="AK386" s="273"/>
      <c r="AL386" s="273"/>
      <c r="AM386" s="273"/>
      <c r="AN386" s="273"/>
      <c r="AO386" s="273"/>
      <c r="AP386" s="273"/>
      <c r="AQ386" s="273"/>
      <c r="AR386" s="273"/>
      <c r="AS386" s="273"/>
      <c r="AT386" s="273"/>
      <c r="AU386" s="273"/>
      <c r="AV386" s="273"/>
    </row>
    <row r="387" spans="1:48" ht="12.75">
      <c r="A387" s="138"/>
      <c r="B387" s="31"/>
      <c r="C387" s="31"/>
      <c r="D387" s="31"/>
      <c r="E387" s="31"/>
      <c r="F387" s="31"/>
      <c r="G387" s="31"/>
      <c r="H387" s="129"/>
      <c r="I387" s="128"/>
      <c r="J387" s="31"/>
      <c r="K387" s="31"/>
      <c r="L387" s="31"/>
      <c r="M387" s="31"/>
      <c r="N387" s="31"/>
      <c r="O387" s="31"/>
      <c r="P387" s="31"/>
      <c r="Q387" s="129"/>
      <c r="R387" s="130"/>
      <c r="S387" s="31"/>
      <c r="T387" s="31"/>
      <c r="U387" s="31"/>
      <c r="V387" s="31"/>
      <c r="W387" s="31"/>
      <c r="X387" s="140"/>
      <c r="Y387" s="273"/>
      <c r="Z387" s="273"/>
      <c r="AA387" s="273"/>
      <c r="AB387" s="273"/>
      <c r="AC387" s="273"/>
      <c r="AD387" s="273"/>
      <c r="AE387" s="273"/>
      <c r="AF387" s="273"/>
      <c r="AG387" s="273"/>
      <c r="AH387" s="273"/>
      <c r="AI387" s="273"/>
      <c r="AJ387" s="273"/>
      <c r="AK387" s="273"/>
      <c r="AL387" s="273"/>
      <c r="AM387" s="273"/>
      <c r="AN387" s="273"/>
      <c r="AO387" s="273"/>
      <c r="AP387" s="273"/>
      <c r="AQ387" s="273"/>
      <c r="AR387" s="273"/>
      <c r="AS387" s="273"/>
      <c r="AT387" s="273"/>
      <c r="AU387" s="273"/>
      <c r="AV387" s="273"/>
    </row>
    <row r="388" spans="1:48" ht="12.75">
      <c r="A388" s="139"/>
      <c r="B388" s="132"/>
      <c r="C388" s="132"/>
      <c r="D388" s="132"/>
      <c r="E388" s="132"/>
      <c r="F388" s="132"/>
      <c r="G388" s="132"/>
      <c r="H388" s="135"/>
      <c r="I388" s="134"/>
      <c r="J388" s="132"/>
      <c r="K388" s="132"/>
      <c r="L388" s="132"/>
      <c r="M388" s="132"/>
      <c r="N388" s="132"/>
      <c r="O388" s="132"/>
      <c r="P388" s="132"/>
      <c r="Q388" s="135"/>
      <c r="R388" s="136"/>
      <c r="S388" s="132"/>
      <c r="T388" s="132"/>
      <c r="U388" s="132"/>
      <c r="V388" s="132"/>
      <c r="W388" s="132"/>
      <c r="X388" s="142"/>
      <c r="Y388" s="273"/>
      <c r="Z388" s="273"/>
      <c r="AA388" s="273"/>
      <c r="AB388" s="273"/>
      <c r="AC388" s="273"/>
      <c r="AD388" s="273"/>
      <c r="AE388" s="273"/>
      <c r="AF388" s="273"/>
      <c r="AG388" s="273"/>
      <c r="AH388" s="273"/>
      <c r="AI388" s="273"/>
      <c r="AJ388" s="273"/>
      <c r="AK388" s="273"/>
      <c r="AL388" s="273"/>
      <c r="AM388" s="273"/>
      <c r="AN388" s="273"/>
      <c r="AO388" s="273"/>
      <c r="AP388" s="273"/>
      <c r="AQ388" s="273"/>
      <c r="AR388" s="273"/>
      <c r="AS388" s="273"/>
      <c r="AT388" s="273"/>
      <c r="AU388" s="273"/>
      <c r="AV388" s="273"/>
    </row>
    <row r="389" spans="1:48" ht="12.75">
      <c r="A389" s="138"/>
      <c r="B389" s="31"/>
      <c r="C389" s="31"/>
      <c r="D389" s="31"/>
      <c r="E389" s="31"/>
      <c r="F389" s="31"/>
      <c r="G389" s="31"/>
      <c r="H389" s="129"/>
      <c r="I389" s="128"/>
      <c r="J389" s="31"/>
      <c r="K389" s="31"/>
      <c r="L389" s="31"/>
      <c r="M389" s="31"/>
      <c r="N389" s="31"/>
      <c r="O389" s="31"/>
      <c r="P389" s="31"/>
      <c r="Q389" s="129"/>
      <c r="R389" s="130"/>
      <c r="S389" s="31"/>
      <c r="T389" s="31"/>
      <c r="U389" s="31"/>
      <c r="V389" s="31"/>
      <c r="W389" s="31"/>
      <c r="X389" s="140"/>
      <c r="Y389" s="273"/>
      <c r="Z389" s="273"/>
      <c r="AA389" s="273"/>
      <c r="AB389" s="273"/>
      <c r="AC389" s="273"/>
      <c r="AD389" s="273"/>
      <c r="AE389" s="273"/>
      <c r="AF389" s="273"/>
      <c r="AG389" s="273"/>
      <c r="AH389" s="273"/>
      <c r="AI389" s="273"/>
      <c r="AJ389" s="273"/>
      <c r="AK389" s="273"/>
      <c r="AL389" s="273"/>
      <c r="AM389" s="273"/>
      <c r="AN389" s="273"/>
      <c r="AO389" s="273"/>
      <c r="AP389" s="273"/>
      <c r="AQ389" s="273"/>
      <c r="AR389" s="273"/>
      <c r="AS389" s="273"/>
      <c r="AT389" s="273"/>
      <c r="AU389" s="273"/>
      <c r="AV389" s="273"/>
    </row>
    <row r="390" spans="1:48" ht="12.75">
      <c r="A390" s="139"/>
      <c r="B390" s="132"/>
      <c r="C390" s="132"/>
      <c r="D390" s="132"/>
      <c r="E390" s="132"/>
      <c r="F390" s="132"/>
      <c r="G390" s="132"/>
      <c r="H390" s="135"/>
      <c r="I390" s="134"/>
      <c r="J390" s="132"/>
      <c r="K390" s="132"/>
      <c r="L390" s="132"/>
      <c r="M390" s="132"/>
      <c r="N390" s="132"/>
      <c r="O390" s="132"/>
      <c r="P390" s="132"/>
      <c r="Q390" s="135"/>
      <c r="R390" s="136"/>
      <c r="S390" s="132"/>
      <c r="T390" s="132"/>
      <c r="U390" s="132"/>
      <c r="V390" s="132"/>
      <c r="W390" s="132"/>
      <c r="X390" s="142"/>
      <c r="Y390" s="273"/>
      <c r="Z390" s="273"/>
      <c r="AA390" s="273"/>
      <c r="AB390" s="273"/>
      <c r="AC390" s="273"/>
      <c r="AD390" s="273"/>
      <c r="AE390" s="273"/>
      <c r="AF390" s="273"/>
      <c r="AG390" s="273"/>
      <c r="AH390" s="273"/>
      <c r="AI390" s="273"/>
      <c r="AJ390" s="273"/>
      <c r="AK390" s="273"/>
      <c r="AL390" s="273"/>
      <c r="AM390" s="273"/>
      <c r="AN390" s="273"/>
      <c r="AO390" s="273"/>
      <c r="AP390" s="273"/>
      <c r="AQ390" s="273"/>
      <c r="AR390" s="273"/>
      <c r="AS390" s="273"/>
      <c r="AT390" s="273"/>
      <c r="AU390" s="273"/>
      <c r="AV390" s="273"/>
    </row>
    <row r="391" spans="1:48" ht="12.75">
      <c r="A391" s="138"/>
      <c r="B391" s="31"/>
      <c r="C391" s="31"/>
      <c r="D391" s="31"/>
      <c r="E391" s="31"/>
      <c r="F391" s="31"/>
      <c r="G391" s="31"/>
      <c r="H391" s="129"/>
      <c r="I391" s="128"/>
      <c r="J391" s="31"/>
      <c r="K391" s="31"/>
      <c r="L391" s="31"/>
      <c r="M391" s="31"/>
      <c r="N391" s="31"/>
      <c r="O391" s="31"/>
      <c r="P391" s="31"/>
      <c r="Q391" s="129"/>
      <c r="R391" s="130"/>
      <c r="S391" s="31"/>
      <c r="T391" s="31"/>
      <c r="U391" s="31"/>
      <c r="V391" s="31"/>
      <c r="W391" s="31"/>
      <c r="X391" s="140"/>
      <c r="Y391" s="273"/>
      <c r="Z391" s="273"/>
      <c r="AA391" s="273"/>
      <c r="AB391" s="273"/>
      <c r="AC391" s="273"/>
      <c r="AD391" s="273"/>
      <c r="AE391" s="273"/>
      <c r="AF391" s="273"/>
      <c r="AG391" s="273"/>
      <c r="AH391" s="273"/>
      <c r="AI391" s="273"/>
      <c r="AJ391" s="273"/>
      <c r="AK391" s="273"/>
      <c r="AL391" s="273"/>
      <c r="AM391" s="273"/>
      <c r="AN391" s="273"/>
      <c r="AO391" s="273"/>
      <c r="AP391" s="273"/>
      <c r="AQ391" s="273"/>
      <c r="AR391" s="273"/>
      <c r="AS391" s="273"/>
      <c r="AT391" s="273"/>
      <c r="AU391" s="273"/>
      <c r="AV391" s="273"/>
    </row>
    <row r="392" spans="1:48" ht="12.75">
      <c r="A392" s="139"/>
      <c r="B392" s="132"/>
      <c r="C392" s="132"/>
      <c r="D392" s="132"/>
      <c r="E392" s="132"/>
      <c r="F392" s="132"/>
      <c r="G392" s="132"/>
      <c r="H392" s="135"/>
      <c r="I392" s="134"/>
      <c r="J392" s="132"/>
      <c r="K392" s="132"/>
      <c r="L392" s="132"/>
      <c r="M392" s="132"/>
      <c r="N392" s="132"/>
      <c r="O392" s="132"/>
      <c r="P392" s="132"/>
      <c r="Q392" s="135"/>
      <c r="R392" s="136"/>
      <c r="S392" s="132"/>
      <c r="T392" s="132"/>
      <c r="U392" s="132"/>
      <c r="V392" s="132"/>
      <c r="W392" s="132"/>
      <c r="X392" s="142"/>
      <c r="Y392" s="273"/>
      <c r="Z392" s="273"/>
      <c r="AA392" s="273"/>
      <c r="AB392" s="273"/>
      <c r="AC392" s="273"/>
      <c r="AD392" s="273"/>
      <c r="AE392" s="273"/>
      <c r="AF392" s="273"/>
      <c r="AG392" s="273"/>
      <c r="AH392" s="273"/>
      <c r="AI392" s="273"/>
      <c r="AJ392" s="273"/>
      <c r="AK392" s="273"/>
      <c r="AL392" s="273"/>
      <c r="AM392" s="273"/>
      <c r="AN392" s="273"/>
      <c r="AO392" s="273"/>
      <c r="AP392" s="273"/>
      <c r="AQ392" s="273"/>
      <c r="AR392" s="273"/>
      <c r="AS392" s="273"/>
      <c r="AT392" s="273"/>
      <c r="AU392" s="273"/>
      <c r="AV392" s="273"/>
    </row>
    <row r="393" spans="1:48" ht="12.75">
      <c r="A393" s="138"/>
      <c r="B393" s="31"/>
      <c r="C393" s="31"/>
      <c r="D393" s="31"/>
      <c r="E393" s="31"/>
      <c r="F393" s="31"/>
      <c r="G393" s="31"/>
      <c r="H393" s="129"/>
      <c r="I393" s="128"/>
      <c r="J393" s="31"/>
      <c r="K393" s="31"/>
      <c r="L393" s="31"/>
      <c r="M393" s="31"/>
      <c r="N393" s="31"/>
      <c r="O393" s="31"/>
      <c r="P393" s="31"/>
      <c r="Q393" s="129"/>
      <c r="R393" s="130"/>
      <c r="S393" s="31"/>
      <c r="T393" s="31"/>
      <c r="U393" s="31"/>
      <c r="V393" s="31"/>
      <c r="W393" s="31"/>
      <c r="X393" s="140"/>
      <c r="Y393" s="273"/>
      <c r="Z393" s="273"/>
      <c r="AA393" s="273"/>
      <c r="AB393" s="273"/>
      <c r="AC393" s="273"/>
      <c r="AD393" s="273"/>
      <c r="AE393" s="273"/>
      <c r="AF393" s="273"/>
      <c r="AG393" s="273"/>
      <c r="AH393" s="273"/>
      <c r="AI393" s="273"/>
      <c r="AJ393" s="273"/>
      <c r="AK393" s="273"/>
      <c r="AL393" s="273"/>
      <c r="AM393" s="273"/>
      <c r="AN393" s="273"/>
      <c r="AO393" s="273"/>
      <c r="AP393" s="273"/>
      <c r="AQ393" s="273"/>
      <c r="AR393" s="273"/>
      <c r="AS393" s="273"/>
      <c r="AT393" s="273"/>
      <c r="AU393" s="273"/>
      <c r="AV393" s="273"/>
    </row>
    <row r="394" spans="1:48" ht="12.75">
      <c r="A394" s="139"/>
      <c r="B394" s="132"/>
      <c r="C394" s="132"/>
      <c r="D394" s="132"/>
      <c r="E394" s="132"/>
      <c r="F394" s="132"/>
      <c r="G394" s="132"/>
      <c r="H394" s="135"/>
      <c r="I394" s="134"/>
      <c r="J394" s="132"/>
      <c r="K394" s="132"/>
      <c r="L394" s="132"/>
      <c r="M394" s="132"/>
      <c r="N394" s="132"/>
      <c r="O394" s="132"/>
      <c r="P394" s="132"/>
      <c r="Q394" s="135"/>
      <c r="R394" s="136"/>
      <c r="S394" s="132"/>
      <c r="T394" s="132"/>
      <c r="U394" s="132"/>
      <c r="V394" s="132"/>
      <c r="W394" s="132"/>
      <c r="X394" s="142"/>
      <c r="Y394" s="273"/>
      <c r="Z394" s="273"/>
      <c r="AA394" s="273"/>
      <c r="AB394" s="273"/>
      <c r="AC394" s="273"/>
      <c r="AD394" s="273"/>
      <c r="AE394" s="273"/>
      <c r="AF394" s="273"/>
      <c r="AG394" s="273"/>
      <c r="AH394" s="273"/>
      <c r="AI394" s="273"/>
      <c r="AJ394" s="273"/>
      <c r="AK394" s="273"/>
      <c r="AL394" s="273"/>
      <c r="AM394" s="273"/>
      <c r="AN394" s="273"/>
      <c r="AO394" s="273"/>
      <c r="AP394" s="273"/>
      <c r="AQ394" s="273"/>
      <c r="AR394" s="273"/>
      <c r="AS394" s="273"/>
      <c r="AT394" s="273"/>
      <c r="AU394" s="273"/>
      <c r="AV394" s="273"/>
    </row>
    <row r="395" spans="1:48" ht="12.75">
      <c r="A395" s="138"/>
      <c r="B395" s="31"/>
      <c r="C395" s="31"/>
      <c r="D395" s="31"/>
      <c r="E395" s="31"/>
      <c r="F395" s="31"/>
      <c r="G395" s="31"/>
      <c r="H395" s="129"/>
      <c r="I395" s="128"/>
      <c r="J395" s="31"/>
      <c r="K395" s="31"/>
      <c r="L395" s="31"/>
      <c r="M395" s="31"/>
      <c r="N395" s="31"/>
      <c r="O395" s="31"/>
      <c r="P395" s="31"/>
      <c r="Q395" s="129"/>
      <c r="R395" s="130"/>
      <c r="S395" s="31"/>
      <c r="T395" s="31"/>
      <c r="U395" s="31"/>
      <c r="V395" s="31"/>
      <c r="W395" s="31"/>
      <c r="X395" s="140"/>
      <c r="Y395" s="273"/>
      <c r="Z395" s="273"/>
      <c r="AA395" s="273"/>
      <c r="AB395" s="273"/>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row>
    <row r="396" spans="1:48" ht="12.75">
      <c r="A396" s="139"/>
      <c r="B396" s="132"/>
      <c r="C396" s="132"/>
      <c r="D396" s="132"/>
      <c r="E396" s="132"/>
      <c r="F396" s="132"/>
      <c r="G396" s="132"/>
      <c r="H396" s="135"/>
      <c r="I396" s="134"/>
      <c r="J396" s="132"/>
      <c r="K396" s="132"/>
      <c r="L396" s="132"/>
      <c r="M396" s="132"/>
      <c r="N396" s="132"/>
      <c r="O396" s="132"/>
      <c r="P396" s="132"/>
      <c r="Q396" s="135"/>
      <c r="R396" s="136"/>
      <c r="S396" s="132"/>
      <c r="T396" s="132"/>
      <c r="U396" s="132"/>
      <c r="V396" s="132"/>
      <c r="W396" s="132"/>
      <c r="X396" s="142"/>
      <c r="Y396" s="273"/>
      <c r="Z396" s="273"/>
      <c r="AA396" s="273"/>
      <c r="AB396" s="273"/>
      <c r="AC396" s="273"/>
      <c r="AD396" s="273"/>
      <c r="AE396" s="273"/>
      <c r="AF396" s="273"/>
      <c r="AG396" s="273"/>
      <c r="AH396" s="273"/>
      <c r="AI396" s="273"/>
      <c r="AJ396" s="273"/>
      <c r="AK396" s="273"/>
      <c r="AL396" s="273"/>
      <c r="AM396" s="273"/>
      <c r="AN396" s="273"/>
      <c r="AO396" s="273"/>
      <c r="AP396" s="273"/>
      <c r="AQ396" s="273"/>
      <c r="AR396" s="273"/>
      <c r="AS396" s="273"/>
      <c r="AT396" s="273"/>
      <c r="AU396" s="273"/>
      <c r="AV396" s="273"/>
    </row>
    <row r="397" spans="1:48" ht="12.75">
      <c r="A397" s="138"/>
      <c r="B397" s="31"/>
      <c r="C397" s="31"/>
      <c r="D397" s="31"/>
      <c r="E397" s="31"/>
      <c r="F397" s="31"/>
      <c r="G397" s="31"/>
      <c r="H397" s="129"/>
      <c r="I397" s="128"/>
      <c r="J397" s="31"/>
      <c r="K397" s="31"/>
      <c r="L397" s="31"/>
      <c r="M397" s="31"/>
      <c r="N397" s="31"/>
      <c r="O397" s="31"/>
      <c r="P397" s="31"/>
      <c r="Q397" s="129"/>
      <c r="R397" s="130"/>
      <c r="S397" s="31"/>
      <c r="T397" s="31"/>
      <c r="U397" s="31"/>
      <c r="V397" s="31"/>
      <c r="W397" s="31"/>
      <c r="X397" s="140"/>
      <c r="Y397" s="273"/>
      <c r="Z397" s="273"/>
      <c r="AA397" s="273"/>
      <c r="AB397" s="273"/>
      <c r="AC397" s="273"/>
      <c r="AD397" s="273"/>
      <c r="AE397" s="273"/>
      <c r="AF397" s="273"/>
      <c r="AG397" s="273"/>
      <c r="AH397" s="273"/>
      <c r="AI397" s="273"/>
      <c r="AJ397" s="273"/>
      <c r="AK397" s="273"/>
      <c r="AL397" s="273"/>
      <c r="AM397" s="273"/>
      <c r="AN397" s="273"/>
      <c r="AO397" s="273"/>
      <c r="AP397" s="273"/>
      <c r="AQ397" s="273"/>
      <c r="AR397" s="273"/>
      <c r="AS397" s="273"/>
      <c r="AT397" s="273"/>
      <c r="AU397" s="273"/>
      <c r="AV397" s="273"/>
    </row>
    <row r="398" spans="1:48" ht="12.75">
      <c r="A398" s="139"/>
      <c r="B398" s="132"/>
      <c r="C398" s="132"/>
      <c r="D398" s="132"/>
      <c r="E398" s="132"/>
      <c r="F398" s="132"/>
      <c r="G398" s="132"/>
      <c r="H398" s="135"/>
      <c r="I398" s="134"/>
      <c r="J398" s="132"/>
      <c r="K398" s="132"/>
      <c r="L398" s="132"/>
      <c r="M398" s="132"/>
      <c r="N398" s="132"/>
      <c r="O398" s="132"/>
      <c r="P398" s="132"/>
      <c r="Q398" s="135"/>
      <c r="R398" s="136"/>
      <c r="S398" s="132"/>
      <c r="T398" s="132"/>
      <c r="U398" s="132"/>
      <c r="V398" s="132"/>
      <c r="W398" s="132"/>
      <c r="X398" s="142"/>
      <c r="Y398" s="273"/>
      <c r="Z398" s="273"/>
      <c r="AA398" s="273"/>
      <c r="AB398" s="273"/>
      <c r="AC398" s="273"/>
      <c r="AD398" s="273"/>
      <c r="AE398" s="273"/>
      <c r="AF398" s="273"/>
      <c r="AG398" s="273"/>
      <c r="AH398" s="273"/>
      <c r="AI398" s="273"/>
      <c r="AJ398" s="273"/>
      <c r="AK398" s="273"/>
      <c r="AL398" s="273"/>
      <c r="AM398" s="273"/>
      <c r="AN398" s="273"/>
      <c r="AO398" s="273"/>
      <c r="AP398" s="273"/>
      <c r="AQ398" s="273"/>
      <c r="AR398" s="273"/>
      <c r="AS398" s="273"/>
      <c r="AT398" s="273"/>
      <c r="AU398" s="273"/>
      <c r="AV398" s="273"/>
    </row>
    <row r="399" spans="1:48" ht="12.75">
      <c r="B399" s="273"/>
      <c r="C399" s="273"/>
      <c r="D399" s="273"/>
      <c r="E399" s="273"/>
      <c r="F399" s="273"/>
      <c r="G399" s="273"/>
      <c r="H399" s="39"/>
      <c r="I399" s="273"/>
      <c r="J399" s="273"/>
      <c r="K399" s="273"/>
      <c r="L399" s="273"/>
      <c r="M399" s="273"/>
      <c r="N399" s="273"/>
      <c r="O399" s="273"/>
      <c r="P399" s="273"/>
      <c r="Q399" s="39"/>
      <c r="R399" s="273"/>
      <c r="S399" s="273"/>
      <c r="T399" s="273"/>
      <c r="U399" s="273"/>
      <c r="V399" s="273"/>
      <c r="W399" s="273"/>
      <c r="X399" s="39"/>
      <c r="Y399" s="273"/>
      <c r="Z399" s="273"/>
      <c r="AA399" s="273"/>
      <c r="AB399" s="273"/>
      <c r="AC399" s="273"/>
      <c r="AD399" s="273"/>
      <c r="AE399" s="273"/>
      <c r="AF399" s="273"/>
      <c r="AG399" s="273"/>
      <c r="AH399" s="273"/>
      <c r="AI399" s="273"/>
      <c r="AJ399" s="273"/>
      <c r="AK399" s="273"/>
      <c r="AL399" s="273"/>
      <c r="AM399" s="273"/>
      <c r="AN399" s="273"/>
      <c r="AO399" s="273"/>
      <c r="AP399" s="273"/>
      <c r="AQ399" s="273"/>
      <c r="AR399" s="273"/>
      <c r="AS399" s="273"/>
      <c r="AT399" s="273"/>
      <c r="AU399" s="273"/>
      <c r="AV399" s="273"/>
    </row>
    <row r="400" spans="1:48" ht="12.75">
      <c r="B400" s="273"/>
      <c r="C400" s="273"/>
      <c r="D400" s="273"/>
      <c r="E400" s="273"/>
      <c r="F400" s="273"/>
      <c r="G400" s="273"/>
      <c r="H400" s="39"/>
      <c r="I400" s="273"/>
      <c r="J400" s="273"/>
      <c r="K400" s="273"/>
      <c r="L400" s="273"/>
      <c r="M400" s="273"/>
      <c r="N400" s="273"/>
      <c r="O400" s="273"/>
      <c r="P400" s="273"/>
      <c r="Q400" s="39"/>
      <c r="R400" s="273"/>
      <c r="S400" s="273"/>
      <c r="T400" s="273"/>
      <c r="U400" s="273"/>
      <c r="V400" s="273"/>
      <c r="W400" s="273"/>
      <c r="X400" s="39"/>
      <c r="Y400" s="273"/>
      <c r="Z400" s="273"/>
      <c r="AA400" s="273"/>
      <c r="AB400" s="273"/>
      <c r="AC400" s="273"/>
      <c r="AD400" s="273"/>
      <c r="AE400" s="273"/>
      <c r="AF400" s="273"/>
      <c r="AG400" s="273"/>
      <c r="AH400" s="273"/>
      <c r="AI400" s="273"/>
      <c r="AJ400" s="273"/>
      <c r="AK400" s="273"/>
      <c r="AL400" s="273"/>
      <c r="AM400" s="273"/>
      <c r="AN400" s="273"/>
      <c r="AO400" s="273"/>
      <c r="AP400" s="273"/>
      <c r="AQ400" s="273"/>
      <c r="AR400" s="273"/>
      <c r="AS400" s="273"/>
      <c r="AT400" s="273"/>
      <c r="AU400" s="273"/>
      <c r="AV400" s="273"/>
    </row>
    <row r="401" spans="2:48" ht="12.75">
      <c r="B401" s="273"/>
      <c r="C401" s="273"/>
      <c r="D401" s="273"/>
      <c r="E401" s="273"/>
      <c r="F401" s="273"/>
      <c r="G401" s="273"/>
      <c r="H401" s="39"/>
      <c r="I401" s="273"/>
      <c r="J401" s="273"/>
      <c r="K401" s="273"/>
      <c r="L401" s="273"/>
      <c r="M401" s="273"/>
      <c r="N401" s="273"/>
      <c r="O401" s="273"/>
      <c r="P401" s="273"/>
      <c r="Q401" s="39"/>
      <c r="R401" s="273"/>
      <c r="S401" s="273"/>
      <c r="T401" s="273"/>
      <c r="U401" s="273"/>
      <c r="V401" s="273"/>
      <c r="W401" s="273"/>
      <c r="X401" s="39"/>
      <c r="Y401" s="273"/>
      <c r="Z401" s="273"/>
      <c r="AA401" s="273"/>
      <c r="AB401" s="273"/>
      <c r="AC401" s="273"/>
      <c r="AD401" s="273"/>
      <c r="AE401" s="273"/>
      <c r="AF401" s="273"/>
      <c r="AG401" s="273"/>
      <c r="AH401" s="273"/>
      <c r="AI401" s="273"/>
      <c r="AJ401" s="273"/>
      <c r="AK401" s="273"/>
      <c r="AL401" s="273"/>
      <c r="AM401" s="273"/>
      <c r="AN401" s="273"/>
      <c r="AO401" s="273"/>
      <c r="AP401" s="273"/>
      <c r="AQ401" s="273"/>
      <c r="AR401" s="273"/>
      <c r="AS401" s="273"/>
      <c r="AT401" s="273"/>
      <c r="AU401" s="273"/>
      <c r="AV401" s="273"/>
    </row>
    <row r="402" spans="2:48" ht="12.75">
      <c r="B402" s="273"/>
      <c r="C402" s="273"/>
      <c r="D402" s="273"/>
      <c r="E402" s="273"/>
      <c r="F402" s="273"/>
      <c r="G402" s="273"/>
      <c r="H402" s="39"/>
      <c r="I402" s="273"/>
      <c r="J402" s="273"/>
      <c r="K402" s="273"/>
      <c r="L402" s="273"/>
      <c r="M402" s="273"/>
      <c r="N402" s="273"/>
      <c r="O402" s="273"/>
      <c r="P402" s="273"/>
      <c r="Q402" s="39"/>
      <c r="R402" s="273"/>
      <c r="S402" s="273"/>
      <c r="T402" s="273"/>
      <c r="U402" s="273"/>
      <c r="V402" s="273"/>
      <c r="W402" s="273"/>
      <c r="X402" s="39"/>
      <c r="Y402" s="273"/>
      <c r="Z402" s="273"/>
      <c r="AA402" s="273"/>
      <c r="AB402" s="273"/>
      <c r="AC402" s="273"/>
      <c r="AD402" s="273"/>
      <c r="AE402" s="273"/>
      <c r="AF402" s="273"/>
      <c r="AG402" s="273"/>
      <c r="AH402" s="273"/>
      <c r="AI402" s="273"/>
      <c r="AJ402" s="273"/>
      <c r="AK402" s="273"/>
      <c r="AL402" s="273"/>
      <c r="AM402" s="273"/>
      <c r="AN402" s="273"/>
      <c r="AO402" s="273"/>
      <c r="AP402" s="273"/>
      <c r="AQ402" s="273"/>
      <c r="AR402" s="273"/>
      <c r="AS402" s="273"/>
      <c r="AT402" s="273"/>
      <c r="AU402" s="273"/>
      <c r="AV402" s="273"/>
    </row>
    <row r="403" spans="2:48" ht="12.75">
      <c r="B403" s="273"/>
      <c r="C403" s="273"/>
      <c r="D403" s="273"/>
      <c r="E403" s="273"/>
      <c r="F403" s="273"/>
      <c r="G403" s="273"/>
      <c r="H403" s="39"/>
      <c r="I403" s="273"/>
      <c r="J403" s="273"/>
      <c r="K403" s="273"/>
      <c r="L403" s="273"/>
      <c r="M403" s="273"/>
      <c r="N403" s="273"/>
      <c r="O403" s="273"/>
      <c r="P403" s="273"/>
      <c r="Q403" s="39"/>
      <c r="R403" s="273"/>
      <c r="S403" s="273"/>
      <c r="T403" s="273"/>
      <c r="U403" s="273"/>
      <c r="V403" s="273"/>
      <c r="W403" s="273"/>
      <c r="X403" s="39"/>
      <c r="Y403" s="273"/>
      <c r="Z403" s="273"/>
      <c r="AA403" s="273"/>
      <c r="AB403" s="273"/>
      <c r="AC403" s="273"/>
      <c r="AD403" s="273"/>
      <c r="AE403" s="273"/>
      <c r="AF403" s="273"/>
      <c r="AG403" s="273"/>
      <c r="AH403" s="273"/>
      <c r="AI403" s="273"/>
      <c r="AJ403" s="273"/>
      <c r="AK403" s="273"/>
      <c r="AL403" s="273"/>
      <c r="AM403" s="273"/>
      <c r="AN403" s="273"/>
      <c r="AO403" s="273"/>
      <c r="AP403" s="273"/>
      <c r="AQ403" s="273"/>
      <c r="AR403" s="273"/>
      <c r="AS403" s="273"/>
      <c r="AT403" s="273"/>
      <c r="AU403" s="273"/>
      <c r="AV403" s="273"/>
    </row>
    <row r="404" spans="2:48" ht="12.75">
      <c r="B404" s="273"/>
      <c r="C404" s="273"/>
      <c r="D404" s="273"/>
      <c r="E404" s="273"/>
      <c r="F404" s="273"/>
      <c r="G404" s="273"/>
      <c r="H404" s="39"/>
      <c r="I404" s="273"/>
      <c r="J404" s="273"/>
      <c r="K404" s="273"/>
      <c r="L404" s="273"/>
      <c r="M404" s="273"/>
      <c r="N404" s="273"/>
      <c r="O404" s="273"/>
      <c r="P404" s="273"/>
      <c r="Q404" s="39"/>
      <c r="R404" s="273"/>
      <c r="S404" s="273"/>
      <c r="T404" s="273"/>
      <c r="U404" s="273"/>
      <c r="V404" s="273"/>
      <c r="W404" s="273"/>
      <c r="X404" s="39"/>
      <c r="Y404" s="273"/>
      <c r="Z404" s="273"/>
      <c r="AA404" s="273"/>
      <c r="AB404" s="273"/>
      <c r="AC404" s="273"/>
      <c r="AD404" s="273"/>
      <c r="AE404" s="273"/>
      <c r="AF404" s="273"/>
      <c r="AG404" s="273"/>
      <c r="AH404" s="273"/>
      <c r="AI404" s="273"/>
      <c r="AJ404" s="273"/>
      <c r="AK404" s="273"/>
      <c r="AL404" s="273"/>
      <c r="AM404" s="273"/>
      <c r="AN404" s="273"/>
      <c r="AO404" s="273"/>
      <c r="AP404" s="273"/>
      <c r="AQ404" s="273"/>
      <c r="AR404" s="273"/>
      <c r="AS404" s="273"/>
      <c r="AT404" s="273"/>
      <c r="AU404" s="273"/>
      <c r="AV404" s="273"/>
    </row>
    <row r="405" spans="2:48" ht="12.75">
      <c r="B405" s="273"/>
      <c r="C405" s="273"/>
      <c r="D405" s="273"/>
      <c r="E405" s="273"/>
      <c r="F405" s="273"/>
      <c r="G405" s="273"/>
      <c r="H405" s="39"/>
      <c r="I405" s="273"/>
      <c r="J405" s="273"/>
      <c r="K405" s="273"/>
      <c r="L405" s="273"/>
      <c r="M405" s="273"/>
      <c r="N405" s="273"/>
      <c r="O405" s="273"/>
      <c r="P405" s="273"/>
      <c r="Q405" s="39"/>
      <c r="R405" s="273"/>
      <c r="S405" s="273"/>
      <c r="T405" s="273"/>
      <c r="U405" s="273"/>
      <c r="V405" s="273"/>
      <c r="W405" s="273"/>
      <c r="X405" s="39"/>
      <c r="Y405" s="273"/>
      <c r="Z405" s="273"/>
      <c r="AA405" s="273"/>
      <c r="AB405" s="273"/>
      <c r="AC405" s="273"/>
      <c r="AD405" s="273"/>
      <c r="AE405" s="273"/>
      <c r="AF405" s="273"/>
      <c r="AG405" s="273"/>
      <c r="AH405" s="273"/>
      <c r="AI405" s="273"/>
      <c r="AJ405" s="273"/>
      <c r="AK405" s="273"/>
      <c r="AL405" s="273"/>
      <c r="AM405" s="273"/>
      <c r="AN405" s="273"/>
      <c r="AO405" s="273"/>
      <c r="AP405" s="273"/>
      <c r="AQ405" s="273"/>
      <c r="AR405" s="273"/>
      <c r="AS405" s="273"/>
      <c r="AT405" s="273"/>
      <c r="AU405" s="273"/>
      <c r="AV405" s="273"/>
    </row>
    <row r="406" spans="2:48" ht="12.75">
      <c r="B406" s="273"/>
      <c r="C406" s="273"/>
      <c r="D406" s="273"/>
      <c r="E406" s="273"/>
      <c r="F406" s="273"/>
      <c r="G406" s="273"/>
      <c r="H406" s="39"/>
      <c r="I406" s="273"/>
      <c r="J406" s="273"/>
      <c r="K406" s="273"/>
      <c r="L406" s="273"/>
      <c r="M406" s="273"/>
      <c r="N406" s="273"/>
      <c r="O406" s="273"/>
      <c r="P406" s="273"/>
      <c r="Q406" s="39"/>
      <c r="R406" s="273"/>
      <c r="S406" s="273"/>
      <c r="T406" s="273"/>
      <c r="U406" s="273"/>
      <c r="V406" s="273"/>
      <c r="W406" s="273"/>
      <c r="X406" s="39"/>
      <c r="Y406" s="273"/>
      <c r="Z406" s="273"/>
      <c r="AA406" s="273"/>
      <c r="AB406" s="273"/>
      <c r="AC406" s="273"/>
      <c r="AD406" s="273"/>
      <c r="AE406" s="273"/>
      <c r="AF406" s="273"/>
      <c r="AG406" s="273"/>
      <c r="AH406" s="273"/>
      <c r="AI406" s="273"/>
      <c r="AJ406" s="273"/>
      <c r="AK406" s="273"/>
      <c r="AL406" s="273"/>
      <c r="AM406" s="273"/>
      <c r="AN406" s="273"/>
      <c r="AO406" s="273"/>
      <c r="AP406" s="273"/>
      <c r="AQ406" s="273"/>
      <c r="AR406" s="273"/>
      <c r="AS406" s="273"/>
      <c r="AT406" s="273"/>
      <c r="AU406" s="273"/>
      <c r="AV406" s="273"/>
    </row>
    <row r="407" spans="2:48" ht="12.75">
      <c r="B407" s="273"/>
      <c r="C407" s="273"/>
      <c r="D407" s="273"/>
      <c r="E407" s="273"/>
      <c r="F407" s="273"/>
      <c r="G407" s="273"/>
      <c r="H407" s="39"/>
      <c r="I407" s="273"/>
      <c r="J407" s="273"/>
      <c r="K407" s="273"/>
      <c r="L407" s="273"/>
      <c r="M407" s="273"/>
      <c r="N407" s="273"/>
      <c r="O407" s="273"/>
      <c r="P407" s="273"/>
      <c r="Q407" s="39"/>
      <c r="R407" s="273"/>
      <c r="S407" s="273"/>
      <c r="T407" s="273"/>
      <c r="U407" s="273"/>
      <c r="V407" s="273"/>
      <c r="W407" s="273"/>
      <c r="X407" s="39"/>
      <c r="Y407" s="273"/>
      <c r="Z407" s="273"/>
      <c r="AA407" s="273"/>
      <c r="AB407" s="273"/>
      <c r="AC407" s="273"/>
      <c r="AD407" s="273"/>
      <c r="AE407" s="273"/>
      <c r="AF407" s="273"/>
      <c r="AG407" s="273"/>
      <c r="AH407" s="273"/>
      <c r="AI407" s="273"/>
      <c r="AJ407" s="273"/>
      <c r="AK407" s="273"/>
      <c r="AL407" s="273"/>
      <c r="AM407" s="273"/>
      <c r="AN407" s="273"/>
      <c r="AO407" s="273"/>
      <c r="AP407" s="273"/>
      <c r="AQ407" s="273"/>
      <c r="AR407" s="273"/>
      <c r="AS407" s="273"/>
      <c r="AT407" s="273"/>
      <c r="AU407" s="273"/>
      <c r="AV407" s="273"/>
    </row>
    <row r="408" spans="2:48" ht="12.75">
      <c r="B408" s="273"/>
      <c r="C408" s="273"/>
      <c r="D408" s="273"/>
      <c r="E408" s="273"/>
      <c r="F408" s="273"/>
      <c r="G408" s="273"/>
      <c r="H408" s="39"/>
      <c r="I408" s="273"/>
      <c r="J408" s="273"/>
      <c r="K408" s="273"/>
      <c r="L408" s="273"/>
      <c r="M408" s="273"/>
      <c r="N408" s="273"/>
      <c r="O408" s="273"/>
      <c r="P408" s="273"/>
      <c r="Q408" s="39"/>
      <c r="R408" s="273"/>
      <c r="S408" s="273"/>
      <c r="T408" s="273"/>
      <c r="U408" s="273"/>
      <c r="V408" s="273"/>
      <c r="W408" s="273"/>
      <c r="X408" s="39"/>
      <c r="Y408" s="273"/>
      <c r="Z408" s="273"/>
      <c r="AA408" s="273"/>
      <c r="AB408" s="273"/>
      <c r="AC408" s="273"/>
      <c r="AD408" s="273"/>
      <c r="AE408" s="273"/>
      <c r="AF408" s="273"/>
      <c r="AG408" s="273"/>
      <c r="AH408" s="273"/>
      <c r="AI408" s="273"/>
      <c r="AJ408" s="273"/>
      <c r="AK408" s="273"/>
      <c r="AL408" s="273"/>
      <c r="AM408" s="273"/>
      <c r="AN408" s="273"/>
      <c r="AO408" s="273"/>
      <c r="AP408" s="273"/>
      <c r="AQ408" s="273"/>
      <c r="AR408" s="273"/>
      <c r="AS408" s="273"/>
      <c r="AT408" s="273"/>
      <c r="AU408" s="273"/>
      <c r="AV408" s="273"/>
    </row>
    <row r="409" spans="2:48" ht="12.75">
      <c r="B409" s="273"/>
      <c r="C409" s="273"/>
      <c r="D409" s="273"/>
      <c r="E409" s="273"/>
      <c r="F409" s="273"/>
      <c r="G409" s="273"/>
      <c r="H409" s="39"/>
      <c r="I409" s="273"/>
      <c r="J409" s="273"/>
      <c r="K409" s="273"/>
      <c r="L409" s="273"/>
      <c r="M409" s="273"/>
      <c r="N409" s="273"/>
      <c r="O409" s="273"/>
      <c r="P409" s="273"/>
      <c r="Q409" s="39"/>
      <c r="R409" s="273"/>
      <c r="S409" s="273"/>
      <c r="T409" s="273"/>
      <c r="U409" s="273"/>
      <c r="V409" s="273"/>
      <c r="W409" s="273"/>
      <c r="X409" s="39"/>
      <c r="Y409" s="273"/>
      <c r="Z409" s="273"/>
      <c r="AA409" s="273"/>
      <c r="AB409" s="273"/>
      <c r="AC409" s="273"/>
      <c r="AD409" s="273"/>
      <c r="AE409" s="273"/>
      <c r="AF409" s="273"/>
      <c r="AG409" s="273"/>
      <c r="AH409" s="273"/>
      <c r="AI409" s="273"/>
      <c r="AJ409" s="273"/>
      <c r="AK409" s="273"/>
      <c r="AL409" s="273"/>
      <c r="AM409" s="273"/>
      <c r="AN409" s="273"/>
      <c r="AO409" s="273"/>
      <c r="AP409" s="273"/>
      <c r="AQ409" s="273"/>
      <c r="AR409" s="273"/>
      <c r="AS409" s="273"/>
      <c r="AT409" s="273"/>
      <c r="AU409" s="273"/>
      <c r="AV409" s="273"/>
    </row>
    <row r="410" spans="2:48" ht="12.75">
      <c r="B410" s="273"/>
      <c r="C410" s="273"/>
      <c r="D410" s="273"/>
      <c r="E410" s="273"/>
      <c r="F410" s="273"/>
      <c r="G410" s="273"/>
      <c r="H410" s="39"/>
      <c r="I410" s="273"/>
      <c r="J410" s="273"/>
      <c r="K410" s="273"/>
      <c r="L410" s="273"/>
      <c r="M410" s="273"/>
      <c r="N410" s="273"/>
      <c r="O410" s="273"/>
      <c r="P410" s="273"/>
      <c r="Q410" s="39"/>
      <c r="R410" s="273"/>
      <c r="S410" s="273"/>
      <c r="T410" s="273"/>
      <c r="U410" s="273"/>
      <c r="V410" s="273"/>
      <c r="W410" s="273"/>
      <c r="X410" s="39"/>
      <c r="Y410" s="273"/>
      <c r="Z410" s="273"/>
      <c r="AA410" s="273"/>
      <c r="AB410" s="273"/>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row>
    <row r="411" spans="2:48" ht="12.75">
      <c r="B411" s="273"/>
      <c r="C411" s="273"/>
      <c r="D411" s="273"/>
      <c r="E411" s="273"/>
      <c r="F411" s="273"/>
      <c r="G411" s="273"/>
      <c r="H411" s="39"/>
      <c r="I411" s="273"/>
      <c r="J411" s="273"/>
      <c r="K411" s="273"/>
      <c r="L411" s="273"/>
      <c r="M411" s="273"/>
      <c r="N411" s="273"/>
      <c r="O411" s="273"/>
      <c r="P411" s="273"/>
      <c r="Q411" s="39"/>
      <c r="R411" s="273"/>
      <c r="S411" s="273"/>
      <c r="T411" s="273"/>
      <c r="U411" s="273"/>
      <c r="V411" s="273"/>
      <c r="W411" s="273"/>
      <c r="X411" s="39"/>
      <c r="Y411" s="273"/>
      <c r="Z411" s="273"/>
      <c r="AA411" s="273"/>
      <c r="AB411" s="273"/>
      <c r="AC411" s="273"/>
      <c r="AD411" s="273"/>
      <c r="AE411" s="273"/>
      <c r="AF411" s="273"/>
      <c r="AG411" s="273"/>
      <c r="AH411" s="273"/>
      <c r="AI411" s="273"/>
      <c r="AJ411" s="273"/>
      <c r="AK411" s="273"/>
      <c r="AL411" s="273"/>
      <c r="AM411" s="273"/>
      <c r="AN411" s="273"/>
      <c r="AO411" s="273"/>
      <c r="AP411" s="273"/>
      <c r="AQ411" s="273"/>
      <c r="AR411" s="273"/>
      <c r="AS411" s="273"/>
      <c r="AT411" s="273"/>
      <c r="AU411" s="273"/>
      <c r="AV411" s="273"/>
    </row>
    <row r="412" spans="2:48" ht="12.75">
      <c r="B412" s="273"/>
      <c r="C412" s="273"/>
      <c r="D412" s="273"/>
      <c r="E412" s="273"/>
      <c r="F412" s="273"/>
      <c r="G412" s="273"/>
      <c r="H412" s="39"/>
      <c r="I412" s="273"/>
      <c r="J412" s="273"/>
      <c r="K412" s="273"/>
      <c r="L412" s="273"/>
      <c r="M412" s="273"/>
      <c r="N412" s="273"/>
      <c r="O412" s="273"/>
      <c r="P412" s="273"/>
      <c r="Q412" s="39"/>
      <c r="R412" s="273"/>
      <c r="S412" s="273"/>
      <c r="T412" s="273"/>
      <c r="U412" s="273"/>
      <c r="V412" s="273"/>
      <c r="W412" s="273"/>
      <c r="X412" s="39"/>
      <c r="Y412" s="273"/>
      <c r="Z412" s="273"/>
      <c r="AA412" s="273"/>
      <c r="AB412" s="273"/>
      <c r="AC412" s="273"/>
      <c r="AD412" s="273"/>
      <c r="AE412" s="273"/>
      <c r="AF412" s="273"/>
      <c r="AG412" s="273"/>
      <c r="AH412" s="273"/>
      <c r="AI412" s="273"/>
      <c r="AJ412" s="273"/>
      <c r="AK412" s="273"/>
      <c r="AL412" s="273"/>
      <c r="AM412" s="273"/>
      <c r="AN412" s="273"/>
      <c r="AO412" s="273"/>
      <c r="AP412" s="273"/>
      <c r="AQ412" s="273"/>
      <c r="AR412" s="273"/>
      <c r="AS412" s="273"/>
      <c r="AT412" s="273"/>
      <c r="AU412" s="273"/>
      <c r="AV412" s="273"/>
    </row>
    <row r="413" spans="2:48" ht="12.75">
      <c r="B413" s="273"/>
      <c r="C413" s="273"/>
      <c r="D413" s="273"/>
      <c r="E413" s="273"/>
      <c r="F413" s="273"/>
      <c r="G413" s="273"/>
      <c r="H413" s="39"/>
      <c r="I413" s="273"/>
      <c r="J413" s="273"/>
      <c r="K413" s="273"/>
      <c r="L413" s="273"/>
      <c r="M413" s="273"/>
      <c r="N413" s="273"/>
      <c r="O413" s="273"/>
      <c r="P413" s="273"/>
      <c r="Q413" s="39"/>
      <c r="R413" s="273"/>
      <c r="S413" s="273"/>
      <c r="T413" s="273"/>
      <c r="U413" s="273"/>
      <c r="V413" s="273"/>
      <c r="W413" s="273"/>
      <c r="X413" s="39"/>
      <c r="Y413" s="273"/>
      <c r="Z413" s="273"/>
      <c r="AA413" s="273"/>
      <c r="AB413" s="273"/>
      <c r="AC413" s="273"/>
      <c r="AD413" s="273"/>
      <c r="AE413" s="273"/>
      <c r="AF413" s="273"/>
      <c r="AG413" s="273"/>
      <c r="AH413" s="273"/>
      <c r="AI413" s="273"/>
      <c r="AJ413" s="273"/>
      <c r="AK413" s="273"/>
      <c r="AL413" s="273"/>
      <c r="AM413" s="273"/>
      <c r="AN413" s="273"/>
      <c r="AO413" s="273"/>
      <c r="AP413" s="273"/>
      <c r="AQ413" s="273"/>
      <c r="AR413" s="273"/>
      <c r="AS413" s="273"/>
      <c r="AT413" s="273"/>
      <c r="AU413" s="273"/>
      <c r="AV413" s="273"/>
    </row>
    <row r="414" spans="2:48" ht="12.75">
      <c r="B414" s="273"/>
      <c r="C414" s="273"/>
      <c r="D414" s="273"/>
      <c r="E414" s="273"/>
      <c r="F414" s="273"/>
      <c r="G414" s="273"/>
      <c r="H414" s="39"/>
      <c r="I414" s="273"/>
      <c r="J414" s="273"/>
      <c r="K414" s="273"/>
      <c r="L414" s="273"/>
      <c r="M414" s="273"/>
      <c r="N414" s="273"/>
      <c r="O414" s="273"/>
      <c r="P414" s="273"/>
      <c r="Q414" s="39"/>
      <c r="R414" s="273"/>
      <c r="S414" s="273"/>
      <c r="T414" s="273"/>
      <c r="U414" s="273"/>
      <c r="V414" s="273"/>
      <c r="W414" s="273"/>
      <c r="X414" s="39"/>
      <c r="Y414" s="273"/>
      <c r="Z414" s="273"/>
      <c r="AA414" s="273"/>
      <c r="AB414" s="273"/>
      <c r="AC414" s="273"/>
      <c r="AD414" s="273"/>
      <c r="AE414" s="273"/>
      <c r="AF414" s="273"/>
      <c r="AG414" s="273"/>
      <c r="AH414" s="273"/>
      <c r="AI414" s="273"/>
      <c r="AJ414" s="273"/>
      <c r="AK414" s="273"/>
      <c r="AL414" s="273"/>
      <c r="AM414" s="273"/>
      <c r="AN414" s="273"/>
      <c r="AO414" s="273"/>
      <c r="AP414" s="273"/>
      <c r="AQ414" s="273"/>
      <c r="AR414" s="273"/>
      <c r="AS414" s="273"/>
      <c r="AT414" s="273"/>
      <c r="AU414" s="273"/>
      <c r="AV414" s="273"/>
    </row>
    <row r="415" spans="2:48" ht="12.75">
      <c r="B415" s="273"/>
      <c r="C415" s="273"/>
      <c r="D415" s="273"/>
      <c r="E415" s="273"/>
      <c r="F415" s="273"/>
      <c r="G415" s="273"/>
      <c r="H415" s="39"/>
      <c r="I415" s="273"/>
      <c r="J415" s="273"/>
      <c r="K415" s="273"/>
      <c r="L415" s="273"/>
      <c r="M415" s="273"/>
      <c r="N415" s="273"/>
      <c r="O415" s="273"/>
      <c r="P415" s="273"/>
      <c r="Q415" s="39"/>
      <c r="R415" s="273"/>
      <c r="S415" s="273"/>
      <c r="T415" s="273"/>
      <c r="U415" s="273"/>
      <c r="V415" s="273"/>
      <c r="W415" s="273"/>
      <c r="X415" s="39"/>
      <c r="Y415" s="273"/>
      <c r="Z415" s="273"/>
      <c r="AA415" s="273"/>
      <c r="AB415" s="273"/>
      <c r="AC415" s="273"/>
      <c r="AD415" s="273"/>
      <c r="AE415" s="273"/>
      <c r="AF415" s="273"/>
      <c r="AG415" s="273"/>
      <c r="AH415" s="273"/>
      <c r="AI415" s="273"/>
      <c r="AJ415" s="273"/>
      <c r="AK415" s="273"/>
      <c r="AL415" s="273"/>
      <c r="AM415" s="273"/>
      <c r="AN415" s="273"/>
      <c r="AO415" s="273"/>
      <c r="AP415" s="273"/>
      <c r="AQ415" s="273"/>
      <c r="AR415" s="273"/>
      <c r="AS415" s="273"/>
      <c r="AT415" s="273"/>
      <c r="AU415" s="273"/>
      <c r="AV415" s="273"/>
    </row>
    <row r="416" spans="2:48" ht="12.75">
      <c r="B416" s="273"/>
      <c r="C416" s="273"/>
      <c r="D416" s="273"/>
      <c r="E416" s="273"/>
      <c r="F416" s="273"/>
      <c r="G416" s="273"/>
      <c r="H416" s="39"/>
      <c r="I416" s="273"/>
      <c r="J416" s="273"/>
      <c r="K416" s="273"/>
      <c r="L416" s="273"/>
      <c r="M416" s="273"/>
      <c r="N416" s="273"/>
      <c r="O416" s="273"/>
      <c r="P416" s="273"/>
      <c r="Q416" s="39"/>
      <c r="R416" s="273"/>
      <c r="S416" s="273"/>
      <c r="T416" s="273"/>
      <c r="U416" s="273"/>
      <c r="V416" s="273"/>
      <c r="W416" s="273"/>
      <c r="X416" s="39"/>
      <c r="Y416" s="273"/>
      <c r="Z416" s="273"/>
      <c r="AA416" s="273"/>
      <c r="AB416" s="273"/>
      <c r="AC416" s="273"/>
      <c r="AD416" s="273"/>
      <c r="AE416" s="273"/>
      <c r="AF416" s="273"/>
      <c r="AG416" s="273"/>
      <c r="AH416" s="273"/>
      <c r="AI416" s="273"/>
      <c r="AJ416" s="273"/>
      <c r="AK416" s="273"/>
      <c r="AL416" s="273"/>
      <c r="AM416" s="273"/>
      <c r="AN416" s="273"/>
      <c r="AO416" s="273"/>
      <c r="AP416" s="273"/>
      <c r="AQ416" s="273"/>
      <c r="AR416" s="273"/>
      <c r="AS416" s="273"/>
      <c r="AT416" s="273"/>
      <c r="AU416" s="273"/>
      <c r="AV416" s="273"/>
    </row>
    <row r="417" spans="2:48" ht="12.75">
      <c r="B417" s="273"/>
      <c r="C417" s="273"/>
      <c r="D417" s="273"/>
      <c r="E417" s="273"/>
      <c r="F417" s="273"/>
      <c r="G417" s="273"/>
      <c r="H417" s="39"/>
      <c r="I417" s="273"/>
      <c r="J417" s="273"/>
      <c r="K417" s="273"/>
      <c r="L417" s="273"/>
      <c r="M417" s="273"/>
      <c r="N417" s="273"/>
      <c r="O417" s="273"/>
      <c r="P417" s="273"/>
      <c r="Q417" s="39"/>
      <c r="R417" s="273"/>
      <c r="S417" s="273"/>
      <c r="T417" s="273"/>
      <c r="U417" s="273"/>
      <c r="V417" s="273"/>
      <c r="W417" s="273"/>
      <c r="X417" s="39"/>
      <c r="Y417" s="273"/>
      <c r="Z417" s="273"/>
      <c r="AA417" s="273"/>
      <c r="AB417" s="273"/>
      <c r="AC417" s="273"/>
      <c r="AD417" s="273"/>
      <c r="AE417" s="273"/>
      <c r="AF417" s="273"/>
      <c r="AG417" s="273"/>
      <c r="AH417" s="273"/>
      <c r="AI417" s="273"/>
      <c r="AJ417" s="273"/>
      <c r="AK417" s="273"/>
      <c r="AL417" s="273"/>
      <c r="AM417" s="273"/>
      <c r="AN417" s="273"/>
      <c r="AO417" s="273"/>
      <c r="AP417" s="273"/>
      <c r="AQ417" s="273"/>
      <c r="AR417" s="273"/>
      <c r="AS417" s="273"/>
      <c r="AT417" s="273"/>
      <c r="AU417" s="273"/>
      <c r="AV417" s="273"/>
    </row>
    <row r="418" spans="2:48" ht="12.75">
      <c r="B418" s="273"/>
      <c r="C418" s="273"/>
      <c r="D418" s="273"/>
      <c r="E418" s="273"/>
      <c r="F418" s="273"/>
      <c r="G418" s="273"/>
      <c r="H418" s="39"/>
      <c r="I418" s="273"/>
      <c r="J418" s="273"/>
      <c r="K418" s="273"/>
      <c r="L418" s="273"/>
      <c r="M418" s="273"/>
      <c r="N418" s="273"/>
      <c r="O418" s="273"/>
      <c r="P418" s="273"/>
      <c r="Q418" s="39"/>
      <c r="R418" s="273"/>
      <c r="S418" s="273"/>
      <c r="T418" s="273"/>
      <c r="U418" s="273"/>
      <c r="V418" s="273"/>
      <c r="W418" s="273"/>
      <c r="X418" s="39"/>
      <c r="Y418" s="273"/>
      <c r="Z418" s="273"/>
      <c r="AA418" s="273"/>
      <c r="AB418" s="273"/>
      <c r="AC418" s="273"/>
      <c r="AD418" s="273"/>
      <c r="AE418" s="273"/>
      <c r="AF418" s="273"/>
      <c r="AG418" s="273"/>
      <c r="AH418" s="273"/>
      <c r="AI418" s="273"/>
      <c r="AJ418" s="273"/>
      <c r="AK418" s="273"/>
      <c r="AL418" s="273"/>
      <c r="AM418" s="273"/>
      <c r="AN418" s="273"/>
      <c r="AO418" s="273"/>
      <c r="AP418" s="273"/>
      <c r="AQ418" s="273"/>
      <c r="AR418" s="273"/>
      <c r="AS418" s="273"/>
      <c r="AT418" s="273"/>
      <c r="AU418" s="273"/>
      <c r="AV418" s="273"/>
    </row>
    <row r="419" spans="2:48" ht="12.75">
      <c r="B419" s="273"/>
      <c r="C419" s="273"/>
      <c r="D419" s="273"/>
      <c r="E419" s="273"/>
      <c r="F419" s="273"/>
      <c r="G419" s="273"/>
      <c r="H419" s="39"/>
      <c r="I419" s="273"/>
      <c r="J419" s="273"/>
      <c r="K419" s="273"/>
      <c r="L419" s="273"/>
      <c r="M419" s="273"/>
      <c r="N419" s="273"/>
      <c r="O419" s="273"/>
      <c r="P419" s="273"/>
      <c r="Q419" s="39"/>
      <c r="R419" s="273"/>
      <c r="S419" s="273"/>
      <c r="T419" s="273"/>
      <c r="U419" s="273"/>
      <c r="V419" s="273"/>
      <c r="W419" s="273"/>
      <c r="X419" s="39"/>
      <c r="Y419" s="273"/>
      <c r="Z419" s="273"/>
      <c r="AA419" s="273"/>
      <c r="AB419" s="273"/>
      <c r="AC419" s="273"/>
      <c r="AD419" s="273"/>
      <c r="AE419" s="273"/>
      <c r="AF419" s="273"/>
      <c r="AG419" s="273"/>
      <c r="AH419" s="273"/>
      <c r="AI419" s="273"/>
      <c r="AJ419" s="273"/>
      <c r="AK419" s="273"/>
      <c r="AL419" s="273"/>
      <c r="AM419" s="273"/>
      <c r="AN419" s="273"/>
      <c r="AO419" s="273"/>
      <c r="AP419" s="273"/>
      <c r="AQ419" s="273"/>
      <c r="AR419" s="273"/>
      <c r="AS419" s="273"/>
      <c r="AT419" s="273"/>
      <c r="AU419" s="273"/>
      <c r="AV419" s="273"/>
    </row>
    <row r="420" spans="2:48" ht="12.75">
      <c r="B420" s="273"/>
      <c r="C420" s="273"/>
      <c r="D420" s="273"/>
      <c r="E420" s="273"/>
      <c r="F420" s="273"/>
      <c r="G420" s="273"/>
      <c r="H420" s="39"/>
      <c r="I420" s="273"/>
      <c r="J420" s="273"/>
      <c r="K420" s="273"/>
      <c r="L420" s="273"/>
      <c r="M420" s="273"/>
      <c r="N420" s="273"/>
      <c r="O420" s="273"/>
      <c r="P420" s="273"/>
      <c r="Q420" s="39"/>
      <c r="R420" s="273"/>
      <c r="S420" s="273"/>
      <c r="T420" s="273"/>
      <c r="U420" s="273"/>
      <c r="V420" s="273"/>
      <c r="W420" s="273"/>
      <c r="X420" s="39"/>
      <c r="Y420" s="273"/>
      <c r="Z420" s="273"/>
      <c r="AA420" s="273"/>
      <c r="AB420" s="273"/>
      <c r="AC420" s="273"/>
      <c r="AD420" s="273"/>
      <c r="AE420" s="273"/>
      <c r="AF420" s="273"/>
      <c r="AG420" s="273"/>
      <c r="AH420" s="273"/>
      <c r="AI420" s="273"/>
      <c r="AJ420" s="273"/>
      <c r="AK420" s="273"/>
      <c r="AL420" s="273"/>
      <c r="AM420" s="273"/>
      <c r="AN420" s="273"/>
      <c r="AO420" s="273"/>
      <c r="AP420" s="273"/>
      <c r="AQ420" s="273"/>
      <c r="AR420" s="273"/>
      <c r="AS420" s="273"/>
      <c r="AT420" s="273"/>
      <c r="AU420" s="273"/>
      <c r="AV420" s="273"/>
    </row>
    <row r="421" spans="2:48" ht="12.75">
      <c r="B421" s="273"/>
      <c r="C421" s="273"/>
      <c r="D421" s="273"/>
      <c r="E421" s="273"/>
      <c r="F421" s="273"/>
      <c r="G421" s="273"/>
      <c r="H421" s="39"/>
      <c r="I421" s="273"/>
      <c r="J421" s="273"/>
      <c r="K421" s="273"/>
      <c r="L421" s="273"/>
      <c r="M421" s="273"/>
      <c r="N421" s="273"/>
      <c r="O421" s="273"/>
      <c r="P421" s="273"/>
      <c r="Q421" s="39"/>
      <c r="R421" s="273"/>
      <c r="S421" s="273"/>
      <c r="T421" s="273"/>
      <c r="U421" s="273"/>
      <c r="V421" s="273"/>
      <c r="W421" s="273"/>
      <c r="X421" s="39"/>
      <c r="Y421" s="273"/>
      <c r="Z421" s="273"/>
      <c r="AA421" s="273"/>
      <c r="AB421" s="273"/>
      <c r="AC421" s="273"/>
      <c r="AD421" s="273"/>
      <c r="AE421" s="273"/>
      <c r="AF421" s="273"/>
      <c r="AG421" s="273"/>
      <c r="AH421" s="273"/>
      <c r="AI421" s="273"/>
      <c r="AJ421" s="273"/>
      <c r="AK421" s="273"/>
      <c r="AL421" s="273"/>
      <c r="AM421" s="273"/>
      <c r="AN421" s="273"/>
      <c r="AO421" s="273"/>
      <c r="AP421" s="273"/>
      <c r="AQ421" s="273"/>
      <c r="AR421" s="273"/>
      <c r="AS421" s="273"/>
      <c r="AT421" s="273"/>
      <c r="AU421" s="273"/>
      <c r="AV421" s="273"/>
    </row>
    <row r="422" spans="2:48" ht="12.75">
      <c r="B422" s="273"/>
      <c r="C422" s="273"/>
      <c r="D422" s="273"/>
      <c r="E422" s="273"/>
      <c r="F422" s="273"/>
      <c r="G422" s="273"/>
      <c r="H422" s="39"/>
      <c r="I422" s="273"/>
      <c r="J422" s="273"/>
      <c r="K422" s="273"/>
      <c r="L422" s="273"/>
      <c r="M422" s="273"/>
      <c r="N422" s="273"/>
      <c r="O422" s="273"/>
      <c r="P422" s="273"/>
      <c r="Q422" s="39"/>
      <c r="R422" s="273"/>
      <c r="S422" s="273"/>
      <c r="T422" s="273"/>
      <c r="U422" s="273"/>
      <c r="V422" s="273"/>
      <c r="W422" s="273"/>
      <c r="X422" s="39"/>
      <c r="Y422" s="273"/>
      <c r="Z422" s="273"/>
      <c r="AA422" s="273"/>
      <c r="AB422" s="273"/>
      <c r="AC422" s="273"/>
      <c r="AD422" s="273"/>
      <c r="AE422" s="273"/>
      <c r="AF422" s="273"/>
      <c r="AG422" s="273"/>
      <c r="AH422" s="273"/>
      <c r="AI422" s="273"/>
      <c r="AJ422" s="273"/>
      <c r="AK422" s="273"/>
      <c r="AL422" s="273"/>
      <c r="AM422" s="273"/>
      <c r="AN422" s="273"/>
      <c r="AO422" s="273"/>
      <c r="AP422" s="273"/>
      <c r="AQ422" s="273"/>
      <c r="AR422" s="273"/>
      <c r="AS422" s="273"/>
      <c r="AT422" s="273"/>
      <c r="AU422" s="273"/>
      <c r="AV422" s="273"/>
    </row>
    <row r="423" spans="2:48" ht="12.75">
      <c r="B423" s="273"/>
      <c r="C423" s="273"/>
      <c r="D423" s="273"/>
      <c r="E423" s="273"/>
      <c r="F423" s="273"/>
      <c r="G423" s="273"/>
      <c r="H423" s="39"/>
      <c r="I423" s="273"/>
      <c r="J423" s="273"/>
      <c r="K423" s="273"/>
      <c r="L423" s="273"/>
      <c r="M423" s="273"/>
      <c r="N423" s="273"/>
      <c r="O423" s="273"/>
      <c r="P423" s="273"/>
      <c r="Q423" s="39"/>
      <c r="R423" s="273"/>
      <c r="S423" s="273"/>
      <c r="T423" s="273"/>
      <c r="U423" s="273"/>
      <c r="V423" s="273"/>
      <c r="W423" s="273"/>
      <c r="X423" s="39"/>
      <c r="Y423" s="273"/>
      <c r="Z423" s="273"/>
      <c r="AA423" s="273"/>
      <c r="AB423" s="273"/>
      <c r="AC423" s="273"/>
      <c r="AD423" s="273"/>
      <c r="AE423" s="273"/>
      <c r="AF423" s="273"/>
      <c r="AG423" s="273"/>
      <c r="AH423" s="273"/>
      <c r="AI423" s="273"/>
      <c r="AJ423" s="273"/>
      <c r="AK423" s="273"/>
      <c r="AL423" s="273"/>
      <c r="AM423" s="273"/>
      <c r="AN423" s="273"/>
      <c r="AO423" s="273"/>
      <c r="AP423" s="273"/>
      <c r="AQ423" s="273"/>
      <c r="AR423" s="273"/>
      <c r="AS423" s="273"/>
      <c r="AT423" s="273"/>
      <c r="AU423" s="273"/>
      <c r="AV423" s="273"/>
    </row>
    <row r="424" spans="2:48" ht="12.75">
      <c r="B424" s="273"/>
      <c r="C424" s="273"/>
      <c r="D424" s="273"/>
      <c r="E424" s="273"/>
      <c r="F424" s="273"/>
      <c r="G424" s="273"/>
      <c r="H424" s="39"/>
      <c r="I424" s="273"/>
      <c r="J424" s="273"/>
      <c r="K424" s="273"/>
      <c r="L424" s="273"/>
      <c r="M424" s="273"/>
      <c r="N424" s="273"/>
      <c r="O424" s="273"/>
      <c r="P424" s="273"/>
      <c r="Q424" s="39"/>
      <c r="R424" s="273"/>
      <c r="S424" s="273"/>
      <c r="T424" s="273"/>
      <c r="U424" s="273"/>
      <c r="V424" s="273"/>
      <c r="W424" s="273"/>
      <c r="X424" s="39"/>
      <c r="Y424" s="273"/>
      <c r="Z424" s="273"/>
      <c r="AA424" s="273"/>
      <c r="AB424" s="273"/>
      <c r="AC424" s="273"/>
      <c r="AD424" s="273"/>
      <c r="AE424" s="273"/>
      <c r="AF424" s="273"/>
      <c r="AG424" s="273"/>
      <c r="AH424" s="273"/>
      <c r="AI424" s="273"/>
      <c r="AJ424" s="273"/>
      <c r="AK424" s="273"/>
      <c r="AL424" s="273"/>
      <c r="AM424" s="273"/>
      <c r="AN424" s="273"/>
      <c r="AO424" s="273"/>
      <c r="AP424" s="273"/>
      <c r="AQ424" s="273"/>
      <c r="AR424" s="273"/>
      <c r="AS424" s="273"/>
      <c r="AT424" s="273"/>
      <c r="AU424" s="273"/>
      <c r="AV424" s="273"/>
    </row>
    <row r="425" spans="2:48" ht="12.75">
      <c r="B425" s="273"/>
      <c r="C425" s="273"/>
      <c r="D425" s="273"/>
      <c r="E425" s="273"/>
      <c r="F425" s="273"/>
      <c r="G425" s="273"/>
      <c r="H425" s="39"/>
      <c r="I425" s="273"/>
      <c r="J425" s="273"/>
      <c r="K425" s="273"/>
      <c r="L425" s="273"/>
      <c r="M425" s="273"/>
      <c r="N425" s="273"/>
      <c r="O425" s="273"/>
      <c r="P425" s="273"/>
      <c r="Q425" s="39"/>
      <c r="R425" s="273"/>
      <c r="S425" s="273"/>
      <c r="T425" s="273"/>
      <c r="U425" s="273"/>
      <c r="V425" s="273"/>
      <c r="W425" s="273"/>
      <c r="X425" s="39"/>
      <c r="Y425" s="273"/>
      <c r="Z425" s="273"/>
      <c r="AA425" s="273"/>
      <c r="AB425" s="273"/>
      <c r="AC425" s="273"/>
      <c r="AD425" s="273"/>
      <c r="AE425" s="273"/>
      <c r="AF425" s="273"/>
      <c r="AG425" s="273"/>
      <c r="AH425" s="273"/>
      <c r="AI425" s="273"/>
      <c r="AJ425" s="273"/>
      <c r="AK425" s="273"/>
      <c r="AL425" s="273"/>
      <c r="AM425" s="273"/>
      <c r="AN425" s="273"/>
      <c r="AO425" s="273"/>
      <c r="AP425" s="273"/>
      <c r="AQ425" s="273"/>
      <c r="AR425" s="273"/>
      <c r="AS425" s="273"/>
      <c r="AT425" s="273"/>
      <c r="AU425" s="273"/>
      <c r="AV425" s="273"/>
    </row>
    <row r="426" spans="2:48" ht="12.75">
      <c r="B426" s="273"/>
      <c r="C426" s="273"/>
      <c r="D426" s="273"/>
      <c r="E426" s="273"/>
      <c r="F426" s="273"/>
      <c r="G426" s="273"/>
      <c r="H426" s="39"/>
      <c r="I426" s="273"/>
      <c r="J426" s="273"/>
      <c r="K426" s="273"/>
      <c r="L426" s="273"/>
      <c r="M426" s="273"/>
      <c r="N426" s="273"/>
      <c r="O426" s="273"/>
      <c r="P426" s="273"/>
      <c r="Q426" s="39"/>
      <c r="R426" s="273"/>
      <c r="S426" s="273"/>
      <c r="T426" s="273"/>
      <c r="U426" s="273"/>
      <c r="V426" s="273"/>
      <c r="W426" s="273"/>
      <c r="X426" s="39"/>
      <c r="Y426" s="273"/>
      <c r="Z426" s="273"/>
      <c r="AA426" s="273"/>
      <c r="AB426" s="273"/>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row>
    <row r="427" spans="2:48" ht="12.75">
      <c r="B427" s="273"/>
      <c r="C427" s="273"/>
      <c r="D427" s="273"/>
      <c r="E427" s="273"/>
      <c r="F427" s="273"/>
      <c r="G427" s="273"/>
      <c r="H427" s="39"/>
      <c r="I427" s="273"/>
      <c r="J427" s="273"/>
      <c r="K427" s="273"/>
      <c r="L427" s="273"/>
      <c r="M427" s="273"/>
      <c r="N427" s="273"/>
      <c r="O427" s="273"/>
      <c r="P427" s="273"/>
      <c r="Q427" s="39"/>
      <c r="R427" s="273"/>
      <c r="S427" s="273"/>
      <c r="T427" s="273"/>
      <c r="U427" s="273"/>
      <c r="V427" s="273"/>
      <c r="W427" s="273"/>
      <c r="X427" s="39"/>
      <c r="Y427" s="273"/>
      <c r="Z427" s="273"/>
      <c r="AA427" s="273"/>
      <c r="AB427" s="273"/>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row>
    <row r="428" spans="2:48" ht="12.75">
      <c r="B428" s="273"/>
      <c r="C428" s="273"/>
      <c r="D428" s="273"/>
      <c r="E428" s="273"/>
      <c r="F428" s="273"/>
      <c r="G428" s="273"/>
      <c r="H428" s="39"/>
      <c r="I428" s="273"/>
      <c r="J428" s="273"/>
      <c r="K428" s="273"/>
      <c r="L428" s="273"/>
      <c r="M428" s="273"/>
      <c r="N428" s="273"/>
      <c r="O428" s="273"/>
      <c r="P428" s="273"/>
      <c r="Q428" s="39"/>
      <c r="R428" s="273"/>
      <c r="S428" s="273"/>
      <c r="T428" s="273"/>
      <c r="U428" s="273"/>
      <c r="V428" s="273"/>
      <c r="W428" s="273"/>
      <c r="X428" s="39"/>
      <c r="Y428" s="273"/>
      <c r="Z428" s="273"/>
      <c r="AA428" s="273"/>
      <c r="AB428" s="273"/>
      <c r="AC428" s="273"/>
      <c r="AD428" s="273"/>
      <c r="AE428" s="273"/>
      <c r="AF428" s="273"/>
      <c r="AG428" s="273"/>
      <c r="AH428" s="273"/>
      <c r="AI428" s="273"/>
      <c r="AJ428" s="273"/>
      <c r="AK428" s="273"/>
      <c r="AL428" s="273"/>
      <c r="AM428" s="273"/>
      <c r="AN428" s="273"/>
      <c r="AO428" s="273"/>
      <c r="AP428" s="273"/>
      <c r="AQ428" s="273"/>
      <c r="AR428" s="273"/>
      <c r="AS428" s="273"/>
      <c r="AT428" s="273"/>
      <c r="AU428" s="273"/>
      <c r="AV428" s="273"/>
    </row>
    <row r="429" spans="2:48" ht="12.75">
      <c r="B429" s="273"/>
      <c r="C429" s="273"/>
      <c r="D429" s="273"/>
      <c r="E429" s="273"/>
      <c r="F429" s="273"/>
      <c r="G429" s="273"/>
      <c r="H429" s="39"/>
      <c r="I429" s="273"/>
      <c r="J429" s="273"/>
      <c r="K429" s="273"/>
      <c r="L429" s="273"/>
      <c r="M429" s="273"/>
      <c r="N429" s="273"/>
      <c r="O429" s="273"/>
      <c r="P429" s="273"/>
      <c r="Q429" s="39"/>
      <c r="R429" s="273"/>
      <c r="S429" s="273"/>
      <c r="T429" s="273"/>
      <c r="U429" s="273"/>
      <c r="V429" s="273"/>
      <c r="W429" s="273"/>
      <c r="X429" s="39"/>
      <c r="Y429" s="273"/>
      <c r="Z429" s="273"/>
      <c r="AA429" s="273"/>
      <c r="AB429" s="273"/>
      <c r="AC429" s="273"/>
      <c r="AD429" s="273"/>
      <c r="AE429" s="273"/>
      <c r="AF429" s="273"/>
      <c r="AG429" s="273"/>
      <c r="AH429" s="273"/>
      <c r="AI429" s="273"/>
      <c r="AJ429" s="273"/>
      <c r="AK429" s="273"/>
      <c r="AL429" s="273"/>
      <c r="AM429" s="273"/>
      <c r="AN429" s="273"/>
      <c r="AO429" s="273"/>
      <c r="AP429" s="273"/>
      <c r="AQ429" s="273"/>
      <c r="AR429" s="273"/>
      <c r="AS429" s="273"/>
      <c r="AT429" s="273"/>
      <c r="AU429" s="273"/>
      <c r="AV429" s="273"/>
    </row>
    <row r="430" spans="2:48" ht="12.75">
      <c r="B430" s="273"/>
      <c r="C430" s="273"/>
      <c r="D430" s="273"/>
      <c r="E430" s="273"/>
      <c r="F430" s="273"/>
      <c r="G430" s="273"/>
      <c r="H430" s="39"/>
      <c r="I430" s="273"/>
      <c r="J430" s="273"/>
      <c r="K430" s="273"/>
      <c r="L430" s="273"/>
      <c r="M430" s="273"/>
      <c r="N430" s="273"/>
      <c r="O430" s="273"/>
      <c r="P430" s="273"/>
      <c r="Q430" s="39"/>
      <c r="R430" s="273"/>
      <c r="S430" s="273"/>
      <c r="T430" s="273"/>
      <c r="U430" s="273"/>
      <c r="V430" s="273"/>
      <c r="W430" s="273"/>
      <c r="X430" s="39"/>
      <c r="Y430" s="273"/>
      <c r="Z430" s="273"/>
      <c r="AA430" s="273"/>
      <c r="AB430" s="273"/>
      <c r="AC430" s="273"/>
      <c r="AD430" s="273"/>
      <c r="AE430" s="273"/>
      <c r="AF430" s="273"/>
      <c r="AG430" s="273"/>
      <c r="AH430" s="273"/>
      <c r="AI430" s="273"/>
      <c r="AJ430" s="273"/>
      <c r="AK430" s="273"/>
      <c r="AL430" s="273"/>
      <c r="AM430" s="273"/>
      <c r="AN430" s="273"/>
      <c r="AO430" s="273"/>
      <c r="AP430" s="273"/>
      <c r="AQ430" s="273"/>
      <c r="AR430" s="273"/>
      <c r="AS430" s="273"/>
      <c r="AT430" s="273"/>
      <c r="AU430" s="273"/>
      <c r="AV430" s="273"/>
    </row>
    <row r="431" spans="2:48" ht="12.75">
      <c r="B431" s="273"/>
      <c r="C431" s="273"/>
      <c r="D431" s="273"/>
      <c r="E431" s="273"/>
      <c r="F431" s="273"/>
      <c r="G431" s="273"/>
      <c r="H431" s="39"/>
      <c r="I431" s="273"/>
      <c r="J431" s="273"/>
      <c r="K431" s="273"/>
      <c r="L431" s="273"/>
      <c r="M431" s="273"/>
      <c r="N431" s="273"/>
      <c r="O431" s="273"/>
      <c r="P431" s="273"/>
      <c r="Q431" s="39"/>
      <c r="R431" s="273"/>
      <c r="S431" s="273"/>
      <c r="T431" s="273"/>
      <c r="U431" s="273"/>
      <c r="V431" s="273"/>
      <c r="W431" s="273"/>
      <c r="X431" s="39"/>
      <c r="Y431" s="273"/>
      <c r="Z431" s="273"/>
      <c r="AA431" s="273"/>
      <c r="AB431" s="273"/>
      <c r="AC431" s="273"/>
      <c r="AD431" s="273"/>
      <c r="AE431" s="273"/>
      <c r="AF431" s="273"/>
      <c r="AG431" s="273"/>
      <c r="AH431" s="273"/>
      <c r="AI431" s="273"/>
      <c r="AJ431" s="273"/>
      <c r="AK431" s="273"/>
      <c r="AL431" s="273"/>
      <c r="AM431" s="273"/>
      <c r="AN431" s="273"/>
      <c r="AO431" s="273"/>
      <c r="AP431" s="273"/>
      <c r="AQ431" s="273"/>
      <c r="AR431" s="273"/>
      <c r="AS431" s="273"/>
      <c r="AT431" s="273"/>
      <c r="AU431" s="273"/>
      <c r="AV431" s="273"/>
    </row>
    <row r="432" spans="2:48" ht="12.75">
      <c r="B432" s="273"/>
      <c r="C432" s="273"/>
      <c r="D432" s="273"/>
      <c r="E432" s="273"/>
      <c r="F432" s="273"/>
      <c r="G432" s="273"/>
      <c r="H432" s="39"/>
      <c r="I432" s="273"/>
      <c r="J432" s="273"/>
      <c r="K432" s="273"/>
      <c r="L432" s="273"/>
      <c r="M432" s="273"/>
      <c r="N432" s="273"/>
      <c r="O432" s="273"/>
      <c r="P432" s="273"/>
      <c r="Q432" s="39"/>
      <c r="R432" s="273"/>
      <c r="S432" s="273"/>
      <c r="T432" s="273"/>
      <c r="U432" s="273"/>
      <c r="V432" s="273"/>
      <c r="W432" s="273"/>
      <c r="X432" s="39"/>
      <c r="Y432" s="273"/>
      <c r="Z432" s="273"/>
      <c r="AA432" s="273"/>
      <c r="AB432" s="273"/>
      <c r="AC432" s="273"/>
      <c r="AD432" s="273"/>
      <c r="AE432" s="273"/>
      <c r="AF432" s="273"/>
      <c r="AG432" s="273"/>
      <c r="AH432" s="273"/>
      <c r="AI432" s="273"/>
      <c r="AJ432" s="273"/>
      <c r="AK432" s="273"/>
      <c r="AL432" s="273"/>
      <c r="AM432" s="273"/>
      <c r="AN432" s="273"/>
      <c r="AO432" s="273"/>
      <c r="AP432" s="273"/>
      <c r="AQ432" s="273"/>
      <c r="AR432" s="273"/>
      <c r="AS432" s="273"/>
      <c r="AT432" s="273"/>
      <c r="AU432" s="273"/>
      <c r="AV432" s="273"/>
    </row>
    <row r="433" spans="2:48" ht="12.75">
      <c r="B433" s="273"/>
      <c r="C433" s="273"/>
      <c r="D433" s="273"/>
      <c r="E433" s="273"/>
      <c r="F433" s="273"/>
      <c r="G433" s="273"/>
      <c r="H433" s="39"/>
      <c r="I433" s="273"/>
      <c r="J433" s="273"/>
      <c r="K433" s="273"/>
      <c r="L433" s="273"/>
      <c r="M433" s="273"/>
      <c r="N433" s="273"/>
      <c r="O433" s="273"/>
      <c r="P433" s="273"/>
      <c r="Q433" s="39"/>
      <c r="R433" s="273"/>
      <c r="S433" s="273"/>
      <c r="T433" s="273"/>
      <c r="U433" s="273"/>
      <c r="V433" s="273"/>
      <c r="W433" s="273"/>
      <c r="X433" s="39"/>
      <c r="Y433" s="273"/>
      <c r="Z433" s="273"/>
      <c r="AA433" s="273"/>
      <c r="AB433" s="273"/>
      <c r="AC433" s="273"/>
      <c r="AD433" s="273"/>
      <c r="AE433" s="273"/>
      <c r="AF433" s="273"/>
      <c r="AG433" s="273"/>
      <c r="AH433" s="273"/>
      <c r="AI433" s="273"/>
      <c r="AJ433" s="273"/>
      <c r="AK433" s="273"/>
      <c r="AL433" s="273"/>
      <c r="AM433" s="273"/>
      <c r="AN433" s="273"/>
      <c r="AO433" s="273"/>
      <c r="AP433" s="273"/>
      <c r="AQ433" s="273"/>
      <c r="AR433" s="273"/>
      <c r="AS433" s="273"/>
      <c r="AT433" s="273"/>
      <c r="AU433" s="273"/>
      <c r="AV433" s="273"/>
    </row>
    <row r="434" spans="2:48" ht="12.75">
      <c r="B434" s="273"/>
      <c r="C434" s="273"/>
      <c r="D434" s="273"/>
      <c r="E434" s="273"/>
      <c r="F434" s="273"/>
      <c r="G434" s="273"/>
      <c r="H434" s="39"/>
      <c r="I434" s="273"/>
      <c r="J434" s="273"/>
      <c r="K434" s="273"/>
      <c r="L434" s="273"/>
      <c r="M434" s="273"/>
      <c r="N434" s="273"/>
      <c r="O434" s="273"/>
      <c r="P434" s="273"/>
      <c r="Q434" s="39"/>
      <c r="R434" s="273"/>
      <c r="S434" s="273"/>
      <c r="T434" s="273"/>
      <c r="U434" s="273"/>
      <c r="V434" s="273"/>
      <c r="W434" s="273"/>
      <c r="X434" s="39"/>
      <c r="Y434" s="273"/>
      <c r="Z434" s="273"/>
      <c r="AA434" s="273"/>
      <c r="AB434" s="273"/>
      <c r="AC434" s="273"/>
      <c r="AD434" s="273"/>
      <c r="AE434" s="273"/>
      <c r="AF434" s="273"/>
      <c r="AG434" s="273"/>
      <c r="AH434" s="273"/>
      <c r="AI434" s="273"/>
      <c r="AJ434" s="273"/>
      <c r="AK434" s="273"/>
      <c r="AL434" s="273"/>
      <c r="AM434" s="273"/>
      <c r="AN434" s="273"/>
      <c r="AO434" s="273"/>
      <c r="AP434" s="273"/>
      <c r="AQ434" s="273"/>
      <c r="AR434" s="273"/>
      <c r="AS434" s="273"/>
      <c r="AT434" s="273"/>
      <c r="AU434" s="273"/>
      <c r="AV434" s="273"/>
    </row>
    <row r="435" spans="2:48" ht="12.75">
      <c r="B435" s="273"/>
      <c r="C435" s="273"/>
      <c r="D435" s="273"/>
      <c r="E435" s="273"/>
      <c r="F435" s="273"/>
      <c r="G435" s="273"/>
      <c r="H435" s="39"/>
      <c r="I435" s="273"/>
      <c r="J435" s="273"/>
      <c r="K435" s="273"/>
      <c r="L435" s="273"/>
      <c r="M435" s="273"/>
      <c r="N435" s="273"/>
      <c r="O435" s="273"/>
      <c r="P435" s="273"/>
      <c r="Q435" s="39"/>
      <c r="R435" s="273"/>
      <c r="S435" s="273"/>
      <c r="T435" s="273"/>
      <c r="U435" s="273"/>
      <c r="V435" s="273"/>
      <c r="W435" s="273"/>
      <c r="X435" s="39"/>
      <c r="Y435" s="273"/>
      <c r="Z435" s="273"/>
      <c r="AA435" s="273"/>
      <c r="AB435" s="273"/>
      <c r="AC435" s="273"/>
      <c r="AD435" s="273"/>
      <c r="AE435" s="273"/>
      <c r="AF435" s="273"/>
      <c r="AG435" s="273"/>
      <c r="AH435" s="273"/>
      <c r="AI435" s="273"/>
      <c r="AJ435" s="273"/>
      <c r="AK435" s="273"/>
      <c r="AL435" s="273"/>
      <c r="AM435" s="273"/>
      <c r="AN435" s="273"/>
      <c r="AO435" s="273"/>
      <c r="AP435" s="273"/>
      <c r="AQ435" s="273"/>
      <c r="AR435" s="273"/>
      <c r="AS435" s="273"/>
      <c r="AT435" s="273"/>
      <c r="AU435" s="273"/>
      <c r="AV435" s="273"/>
    </row>
    <row r="436" spans="2:48" ht="12.75">
      <c r="B436" s="273"/>
      <c r="C436" s="273"/>
      <c r="D436" s="273"/>
      <c r="E436" s="273"/>
      <c r="F436" s="273"/>
      <c r="G436" s="273"/>
      <c r="H436" s="39"/>
      <c r="I436" s="273"/>
      <c r="J436" s="273"/>
      <c r="K436" s="273"/>
      <c r="L436" s="273"/>
      <c r="M436" s="273"/>
      <c r="N436" s="273"/>
      <c r="O436" s="273"/>
      <c r="P436" s="273"/>
      <c r="Q436" s="39"/>
      <c r="R436" s="273"/>
      <c r="S436" s="273"/>
      <c r="T436" s="273"/>
      <c r="U436" s="273"/>
      <c r="V436" s="273"/>
      <c r="W436" s="273"/>
      <c r="X436" s="39"/>
      <c r="Y436" s="273"/>
      <c r="Z436" s="273"/>
      <c r="AA436" s="273"/>
      <c r="AB436" s="273"/>
      <c r="AC436" s="273"/>
      <c r="AD436" s="273"/>
      <c r="AE436" s="273"/>
      <c r="AF436" s="273"/>
      <c r="AG436" s="273"/>
      <c r="AH436" s="273"/>
      <c r="AI436" s="273"/>
      <c r="AJ436" s="273"/>
      <c r="AK436" s="273"/>
      <c r="AL436" s="273"/>
      <c r="AM436" s="273"/>
      <c r="AN436" s="273"/>
      <c r="AO436" s="273"/>
      <c r="AP436" s="273"/>
      <c r="AQ436" s="273"/>
      <c r="AR436" s="273"/>
      <c r="AS436" s="273"/>
      <c r="AT436" s="273"/>
      <c r="AU436" s="273"/>
      <c r="AV436" s="273"/>
    </row>
    <row r="437" spans="2:48" ht="12.75">
      <c r="B437" s="273"/>
      <c r="C437" s="273"/>
      <c r="D437" s="273"/>
      <c r="E437" s="273"/>
      <c r="F437" s="273"/>
      <c r="G437" s="273"/>
      <c r="H437" s="39"/>
      <c r="I437" s="273"/>
      <c r="J437" s="273"/>
      <c r="K437" s="273"/>
      <c r="L437" s="273"/>
      <c r="M437" s="273"/>
      <c r="N437" s="273"/>
      <c r="O437" s="273"/>
      <c r="P437" s="273"/>
      <c r="Q437" s="39"/>
      <c r="R437" s="273"/>
      <c r="S437" s="273"/>
      <c r="T437" s="273"/>
      <c r="U437" s="273"/>
      <c r="V437" s="273"/>
      <c r="W437" s="273"/>
      <c r="X437" s="39"/>
      <c r="Y437" s="273"/>
      <c r="Z437" s="273"/>
      <c r="AA437" s="273"/>
      <c r="AB437" s="273"/>
      <c r="AC437" s="273"/>
      <c r="AD437" s="273"/>
      <c r="AE437" s="273"/>
      <c r="AF437" s="273"/>
      <c r="AG437" s="273"/>
      <c r="AH437" s="273"/>
      <c r="AI437" s="273"/>
      <c r="AJ437" s="273"/>
      <c r="AK437" s="273"/>
      <c r="AL437" s="273"/>
      <c r="AM437" s="273"/>
      <c r="AN437" s="273"/>
      <c r="AO437" s="273"/>
      <c r="AP437" s="273"/>
      <c r="AQ437" s="273"/>
      <c r="AR437" s="273"/>
      <c r="AS437" s="273"/>
      <c r="AT437" s="273"/>
      <c r="AU437" s="273"/>
      <c r="AV437" s="273"/>
    </row>
    <row r="438" spans="2:48" ht="12.75">
      <c r="B438" s="273"/>
      <c r="C438" s="273"/>
      <c r="D438" s="273"/>
      <c r="E438" s="273"/>
      <c r="F438" s="273"/>
      <c r="G438" s="273"/>
      <c r="H438" s="39"/>
      <c r="I438" s="273"/>
      <c r="J438" s="273"/>
      <c r="K438" s="273"/>
      <c r="L438" s="273"/>
      <c r="M438" s="273"/>
      <c r="N438" s="273"/>
      <c r="O438" s="273"/>
      <c r="P438" s="273"/>
      <c r="Q438" s="39"/>
      <c r="R438" s="273"/>
      <c r="S438" s="273"/>
      <c r="T438" s="273"/>
      <c r="U438" s="273"/>
      <c r="V438" s="273"/>
      <c r="W438" s="273"/>
      <c r="X438" s="39"/>
      <c r="Y438" s="273"/>
      <c r="Z438" s="273"/>
      <c r="AA438" s="273"/>
      <c r="AB438" s="273"/>
      <c r="AC438" s="273"/>
      <c r="AD438" s="273"/>
      <c r="AE438" s="273"/>
      <c r="AF438" s="273"/>
      <c r="AG438" s="273"/>
      <c r="AH438" s="273"/>
      <c r="AI438" s="273"/>
      <c r="AJ438" s="273"/>
      <c r="AK438" s="273"/>
      <c r="AL438" s="273"/>
      <c r="AM438" s="273"/>
      <c r="AN438" s="273"/>
      <c r="AO438" s="273"/>
      <c r="AP438" s="273"/>
      <c r="AQ438" s="273"/>
      <c r="AR438" s="273"/>
      <c r="AS438" s="273"/>
      <c r="AT438" s="273"/>
      <c r="AU438" s="273"/>
      <c r="AV438" s="273"/>
    </row>
    <row r="439" spans="2:48" ht="12.75">
      <c r="B439" s="273"/>
      <c r="C439" s="273"/>
      <c r="D439" s="273"/>
      <c r="E439" s="273"/>
      <c r="F439" s="273"/>
      <c r="G439" s="273"/>
      <c r="H439" s="39"/>
      <c r="I439" s="273"/>
      <c r="J439" s="273"/>
      <c r="K439" s="273"/>
      <c r="L439" s="273"/>
      <c r="M439" s="273"/>
      <c r="N439" s="273"/>
      <c r="O439" s="273"/>
      <c r="P439" s="273"/>
      <c r="Q439" s="39"/>
      <c r="R439" s="273"/>
      <c r="S439" s="273"/>
      <c r="T439" s="273"/>
      <c r="U439" s="273"/>
      <c r="V439" s="273"/>
      <c r="W439" s="273"/>
      <c r="X439" s="39"/>
      <c r="Y439" s="273"/>
      <c r="Z439" s="273"/>
      <c r="AA439" s="273"/>
      <c r="AB439" s="273"/>
      <c r="AC439" s="273"/>
      <c r="AD439" s="273"/>
      <c r="AE439" s="273"/>
      <c r="AF439" s="273"/>
      <c r="AG439" s="273"/>
      <c r="AH439" s="273"/>
      <c r="AI439" s="273"/>
      <c r="AJ439" s="273"/>
      <c r="AK439" s="273"/>
      <c r="AL439" s="273"/>
      <c r="AM439" s="273"/>
      <c r="AN439" s="273"/>
      <c r="AO439" s="273"/>
      <c r="AP439" s="273"/>
      <c r="AQ439" s="273"/>
      <c r="AR439" s="273"/>
      <c r="AS439" s="273"/>
      <c r="AT439" s="273"/>
      <c r="AU439" s="273"/>
      <c r="AV439" s="273"/>
    </row>
    <row r="440" spans="2:48" ht="12.75">
      <c r="B440" s="273"/>
      <c r="C440" s="273"/>
      <c r="D440" s="273"/>
      <c r="E440" s="273"/>
      <c r="F440" s="273"/>
      <c r="G440" s="273"/>
      <c r="H440" s="39"/>
      <c r="I440" s="273"/>
      <c r="J440" s="273"/>
      <c r="K440" s="273"/>
      <c r="L440" s="273"/>
      <c r="M440" s="273"/>
      <c r="N440" s="273"/>
      <c r="O440" s="273"/>
      <c r="P440" s="273"/>
      <c r="Q440" s="39"/>
      <c r="R440" s="273"/>
      <c r="S440" s="273"/>
      <c r="T440" s="273"/>
      <c r="U440" s="273"/>
      <c r="V440" s="273"/>
      <c r="W440" s="273"/>
      <c r="X440" s="39"/>
      <c r="Y440" s="273"/>
      <c r="Z440" s="273"/>
      <c r="AA440" s="273"/>
      <c r="AB440" s="273"/>
      <c r="AC440" s="273"/>
      <c r="AD440" s="273"/>
      <c r="AE440" s="273"/>
      <c r="AF440" s="273"/>
      <c r="AG440" s="273"/>
      <c r="AH440" s="273"/>
      <c r="AI440" s="273"/>
      <c r="AJ440" s="273"/>
      <c r="AK440" s="273"/>
      <c r="AL440" s="273"/>
      <c r="AM440" s="273"/>
      <c r="AN440" s="273"/>
      <c r="AO440" s="273"/>
      <c r="AP440" s="273"/>
      <c r="AQ440" s="273"/>
      <c r="AR440" s="273"/>
      <c r="AS440" s="273"/>
      <c r="AT440" s="273"/>
      <c r="AU440" s="273"/>
      <c r="AV440" s="273"/>
    </row>
    <row r="441" spans="2:48" ht="12.75">
      <c r="B441" s="273"/>
      <c r="C441" s="273"/>
      <c r="D441" s="273"/>
      <c r="E441" s="273"/>
      <c r="F441" s="273"/>
      <c r="G441" s="273"/>
      <c r="H441" s="39"/>
      <c r="I441" s="273"/>
      <c r="J441" s="273"/>
      <c r="K441" s="273"/>
      <c r="L441" s="273"/>
      <c r="M441" s="273"/>
      <c r="N441" s="273"/>
      <c r="O441" s="273"/>
      <c r="P441" s="273"/>
      <c r="Q441" s="39"/>
      <c r="R441" s="273"/>
      <c r="S441" s="273"/>
      <c r="T441" s="273"/>
      <c r="U441" s="273"/>
      <c r="V441" s="273"/>
      <c r="W441" s="273"/>
      <c r="X441" s="39"/>
      <c r="Y441" s="273"/>
      <c r="Z441" s="273"/>
      <c r="AA441" s="273"/>
      <c r="AB441" s="273"/>
      <c r="AC441" s="273"/>
      <c r="AD441" s="273"/>
      <c r="AE441" s="273"/>
      <c r="AF441" s="273"/>
      <c r="AG441" s="273"/>
      <c r="AH441" s="273"/>
      <c r="AI441" s="273"/>
      <c r="AJ441" s="273"/>
      <c r="AK441" s="273"/>
      <c r="AL441" s="273"/>
      <c r="AM441" s="273"/>
      <c r="AN441" s="273"/>
      <c r="AO441" s="273"/>
      <c r="AP441" s="273"/>
      <c r="AQ441" s="273"/>
      <c r="AR441" s="273"/>
      <c r="AS441" s="273"/>
      <c r="AT441" s="273"/>
      <c r="AU441" s="273"/>
      <c r="AV441" s="273"/>
    </row>
    <row r="442" spans="2:48" ht="12.75">
      <c r="B442" s="273"/>
      <c r="C442" s="273"/>
      <c r="D442" s="273"/>
      <c r="E442" s="273"/>
      <c r="F442" s="273"/>
      <c r="G442" s="273"/>
      <c r="H442" s="39"/>
      <c r="I442" s="273"/>
      <c r="J442" s="273"/>
      <c r="K442" s="273"/>
      <c r="L442" s="273"/>
      <c r="M442" s="273"/>
      <c r="N442" s="273"/>
      <c r="O442" s="273"/>
      <c r="P442" s="273"/>
      <c r="Q442" s="39"/>
      <c r="R442" s="273"/>
      <c r="S442" s="273"/>
      <c r="T442" s="273"/>
      <c r="U442" s="273"/>
      <c r="V442" s="273"/>
      <c r="W442" s="273"/>
      <c r="X442" s="39"/>
      <c r="Y442" s="273"/>
      <c r="Z442" s="273"/>
      <c r="AA442" s="273"/>
      <c r="AB442" s="273"/>
      <c r="AC442" s="273"/>
      <c r="AD442" s="273"/>
      <c r="AE442" s="273"/>
      <c r="AF442" s="273"/>
      <c r="AG442" s="273"/>
      <c r="AH442" s="273"/>
      <c r="AI442" s="273"/>
      <c r="AJ442" s="273"/>
      <c r="AK442" s="273"/>
      <c r="AL442" s="273"/>
      <c r="AM442" s="273"/>
      <c r="AN442" s="273"/>
      <c r="AO442" s="273"/>
      <c r="AP442" s="273"/>
      <c r="AQ442" s="273"/>
      <c r="AR442" s="273"/>
      <c r="AS442" s="273"/>
      <c r="AT442" s="273"/>
      <c r="AU442" s="273"/>
      <c r="AV442" s="273"/>
    </row>
    <row r="443" spans="2:48" ht="12.75">
      <c r="B443" s="273"/>
      <c r="C443" s="273"/>
      <c r="D443" s="273"/>
      <c r="E443" s="273"/>
      <c r="F443" s="273"/>
      <c r="G443" s="273"/>
      <c r="H443" s="39"/>
      <c r="I443" s="273"/>
      <c r="J443" s="273"/>
      <c r="K443" s="273"/>
      <c r="L443" s="273"/>
      <c r="M443" s="273"/>
      <c r="N443" s="273"/>
      <c r="O443" s="273"/>
      <c r="P443" s="273"/>
      <c r="Q443" s="39"/>
      <c r="R443" s="273"/>
      <c r="S443" s="273"/>
      <c r="T443" s="273"/>
      <c r="U443" s="273"/>
      <c r="V443" s="273"/>
      <c r="W443" s="273"/>
      <c r="X443" s="39"/>
      <c r="Y443" s="273"/>
      <c r="Z443" s="273"/>
      <c r="AA443" s="273"/>
      <c r="AB443" s="273"/>
      <c r="AC443" s="273"/>
      <c r="AD443" s="273"/>
      <c r="AE443" s="273"/>
      <c r="AF443" s="273"/>
      <c r="AG443" s="273"/>
      <c r="AH443" s="273"/>
      <c r="AI443" s="273"/>
      <c r="AJ443" s="273"/>
      <c r="AK443" s="273"/>
      <c r="AL443" s="273"/>
      <c r="AM443" s="273"/>
      <c r="AN443" s="273"/>
      <c r="AO443" s="273"/>
      <c r="AP443" s="273"/>
      <c r="AQ443" s="273"/>
      <c r="AR443" s="273"/>
      <c r="AS443" s="273"/>
      <c r="AT443" s="273"/>
      <c r="AU443" s="273"/>
      <c r="AV443" s="273"/>
    </row>
    <row r="444" spans="2:48" ht="12.75">
      <c r="B444" s="273"/>
      <c r="C444" s="273"/>
      <c r="D444" s="273"/>
      <c r="E444" s="273"/>
      <c r="F444" s="273"/>
      <c r="G444" s="273"/>
      <c r="H444" s="39"/>
      <c r="I444" s="273"/>
      <c r="J444" s="273"/>
      <c r="K444" s="273"/>
      <c r="L444" s="273"/>
      <c r="M444" s="273"/>
      <c r="N444" s="273"/>
      <c r="O444" s="273"/>
      <c r="P444" s="273"/>
      <c r="Q444" s="39"/>
      <c r="R444" s="273"/>
      <c r="S444" s="273"/>
      <c r="T444" s="273"/>
      <c r="U444" s="273"/>
      <c r="V444" s="273"/>
      <c r="W444" s="273"/>
      <c r="X444" s="39"/>
      <c r="Y444" s="273"/>
      <c r="Z444" s="273"/>
      <c r="AA444" s="273"/>
      <c r="AB444" s="273"/>
      <c r="AC444" s="273"/>
      <c r="AD444" s="273"/>
      <c r="AE444" s="273"/>
      <c r="AF444" s="273"/>
      <c r="AG444" s="273"/>
      <c r="AH444" s="273"/>
      <c r="AI444" s="273"/>
      <c r="AJ444" s="273"/>
      <c r="AK444" s="273"/>
      <c r="AL444" s="273"/>
      <c r="AM444" s="273"/>
      <c r="AN444" s="273"/>
      <c r="AO444" s="273"/>
      <c r="AP444" s="273"/>
      <c r="AQ444" s="273"/>
      <c r="AR444" s="273"/>
      <c r="AS444" s="273"/>
      <c r="AT444" s="273"/>
      <c r="AU444" s="273"/>
      <c r="AV444" s="273"/>
    </row>
    <row r="445" spans="2:48" ht="12.75">
      <c r="B445" s="273"/>
      <c r="C445" s="273"/>
      <c r="D445" s="273"/>
      <c r="E445" s="273"/>
      <c r="F445" s="273"/>
      <c r="G445" s="273"/>
      <c r="H445" s="39"/>
      <c r="I445" s="273"/>
      <c r="J445" s="273"/>
      <c r="K445" s="273"/>
      <c r="L445" s="273"/>
      <c r="M445" s="273"/>
      <c r="N445" s="273"/>
      <c r="O445" s="273"/>
      <c r="P445" s="273"/>
      <c r="Q445" s="39"/>
      <c r="R445" s="273"/>
      <c r="S445" s="273"/>
      <c r="T445" s="273"/>
      <c r="U445" s="273"/>
      <c r="V445" s="273"/>
      <c r="W445" s="273"/>
      <c r="X445" s="39"/>
      <c r="Y445" s="273"/>
      <c r="Z445" s="273"/>
      <c r="AA445" s="273"/>
      <c r="AB445" s="273"/>
      <c r="AC445" s="273"/>
      <c r="AD445" s="273"/>
      <c r="AE445" s="273"/>
      <c r="AF445" s="273"/>
      <c r="AG445" s="273"/>
      <c r="AH445" s="273"/>
      <c r="AI445" s="273"/>
      <c r="AJ445" s="273"/>
      <c r="AK445" s="273"/>
      <c r="AL445" s="273"/>
      <c r="AM445" s="273"/>
      <c r="AN445" s="273"/>
      <c r="AO445" s="273"/>
      <c r="AP445" s="273"/>
      <c r="AQ445" s="273"/>
      <c r="AR445" s="273"/>
      <c r="AS445" s="273"/>
      <c r="AT445" s="273"/>
      <c r="AU445" s="273"/>
      <c r="AV445" s="273"/>
    </row>
    <row r="446" spans="2:48" ht="12.75">
      <c r="B446" s="273"/>
      <c r="C446" s="273"/>
      <c r="D446" s="273"/>
      <c r="E446" s="273"/>
      <c r="F446" s="273"/>
      <c r="G446" s="273"/>
      <c r="H446" s="39"/>
      <c r="I446" s="273"/>
      <c r="J446" s="273"/>
      <c r="K446" s="273"/>
      <c r="L446" s="273"/>
      <c r="M446" s="273"/>
      <c r="N446" s="273"/>
      <c r="O446" s="273"/>
      <c r="P446" s="273"/>
      <c r="Q446" s="39"/>
      <c r="R446" s="273"/>
      <c r="S446" s="273"/>
      <c r="T446" s="273"/>
      <c r="U446" s="273"/>
      <c r="V446" s="273"/>
      <c r="W446" s="273"/>
      <c r="X446" s="39"/>
      <c r="Y446" s="273"/>
      <c r="Z446" s="273"/>
      <c r="AA446" s="273"/>
      <c r="AB446" s="273"/>
      <c r="AC446" s="273"/>
      <c r="AD446" s="273"/>
      <c r="AE446" s="273"/>
      <c r="AF446" s="273"/>
      <c r="AG446" s="273"/>
      <c r="AH446" s="273"/>
      <c r="AI446" s="273"/>
      <c r="AJ446" s="273"/>
      <c r="AK446" s="273"/>
      <c r="AL446" s="273"/>
      <c r="AM446" s="273"/>
      <c r="AN446" s="273"/>
      <c r="AO446" s="273"/>
      <c r="AP446" s="273"/>
      <c r="AQ446" s="273"/>
      <c r="AR446" s="273"/>
      <c r="AS446" s="273"/>
      <c r="AT446" s="273"/>
      <c r="AU446" s="273"/>
      <c r="AV446" s="273"/>
    </row>
    <row r="447" spans="2:48" ht="12.75">
      <c r="B447" s="273"/>
      <c r="C447" s="273"/>
      <c r="D447" s="273"/>
      <c r="E447" s="273"/>
      <c r="F447" s="273"/>
      <c r="G447" s="273"/>
      <c r="H447" s="39"/>
      <c r="I447" s="273"/>
      <c r="J447" s="273"/>
      <c r="K447" s="273"/>
      <c r="L447" s="273"/>
      <c r="M447" s="273"/>
      <c r="N447" s="273"/>
      <c r="O447" s="273"/>
      <c r="P447" s="273"/>
      <c r="Q447" s="39"/>
      <c r="R447" s="273"/>
      <c r="S447" s="273"/>
      <c r="T447" s="273"/>
      <c r="U447" s="273"/>
      <c r="V447" s="273"/>
      <c r="W447" s="273"/>
      <c r="X447" s="39"/>
      <c r="Y447" s="273"/>
      <c r="Z447" s="273"/>
      <c r="AA447" s="273"/>
      <c r="AB447" s="273"/>
      <c r="AC447" s="273"/>
      <c r="AD447" s="273"/>
      <c r="AE447" s="273"/>
      <c r="AF447" s="273"/>
      <c r="AG447" s="273"/>
      <c r="AH447" s="273"/>
      <c r="AI447" s="273"/>
      <c r="AJ447" s="273"/>
      <c r="AK447" s="273"/>
      <c r="AL447" s="273"/>
      <c r="AM447" s="273"/>
      <c r="AN447" s="273"/>
      <c r="AO447" s="273"/>
      <c r="AP447" s="273"/>
      <c r="AQ447" s="273"/>
      <c r="AR447" s="273"/>
      <c r="AS447" s="273"/>
      <c r="AT447" s="273"/>
      <c r="AU447" s="273"/>
      <c r="AV447" s="273"/>
    </row>
    <row r="448" spans="2:48" ht="12.75">
      <c r="B448" s="273"/>
      <c r="C448" s="273"/>
      <c r="D448" s="273"/>
      <c r="E448" s="273"/>
      <c r="F448" s="273"/>
      <c r="G448" s="273"/>
      <c r="H448" s="39"/>
      <c r="I448" s="273"/>
      <c r="J448" s="273"/>
      <c r="K448" s="273"/>
      <c r="L448" s="273"/>
      <c r="M448" s="273"/>
      <c r="N448" s="273"/>
      <c r="O448" s="273"/>
      <c r="P448" s="273"/>
      <c r="Q448" s="39"/>
      <c r="R448" s="273"/>
      <c r="S448" s="273"/>
      <c r="T448" s="273"/>
      <c r="U448" s="273"/>
      <c r="V448" s="273"/>
      <c r="W448" s="273"/>
      <c r="X448" s="39"/>
      <c r="Y448" s="273"/>
      <c r="Z448" s="273"/>
      <c r="AA448" s="273"/>
      <c r="AB448" s="273"/>
      <c r="AC448" s="273"/>
      <c r="AD448" s="273"/>
      <c r="AE448" s="273"/>
      <c r="AF448" s="273"/>
      <c r="AG448" s="273"/>
      <c r="AH448" s="273"/>
      <c r="AI448" s="273"/>
      <c r="AJ448" s="273"/>
      <c r="AK448" s="273"/>
      <c r="AL448" s="273"/>
      <c r="AM448" s="273"/>
      <c r="AN448" s="273"/>
      <c r="AO448" s="273"/>
      <c r="AP448" s="273"/>
      <c r="AQ448" s="273"/>
      <c r="AR448" s="273"/>
      <c r="AS448" s="273"/>
      <c r="AT448" s="273"/>
      <c r="AU448" s="273"/>
      <c r="AV448" s="273"/>
    </row>
    <row r="449" spans="2:48" ht="12.75">
      <c r="B449" s="273"/>
      <c r="C449" s="273"/>
      <c r="D449" s="273"/>
      <c r="E449" s="273"/>
      <c r="F449" s="273"/>
      <c r="G449" s="273"/>
      <c r="H449" s="39"/>
      <c r="I449" s="273"/>
      <c r="J449" s="273"/>
      <c r="K449" s="273"/>
      <c r="L449" s="273"/>
      <c r="M449" s="273"/>
      <c r="N449" s="273"/>
      <c r="O449" s="273"/>
      <c r="P449" s="273"/>
      <c r="Q449" s="39"/>
      <c r="R449" s="273"/>
      <c r="S449" s="273"/>
      <c r="T449" s="273"/>
      <c r="U449" s="273"/>
      <c r="V449" s="273"/>
      <c r="W449" s="273"/>
      <c r="X449" s="39"/>
      <c r="Y449" s="273"/>
      <c r="Z449" s="273"/>
      <c r="AA449" s="273"/>
      <c r="AB449" s="273"/>
      <c r="AC449" s="273"/>
      <c r="AD449" s="273"/>
      <c r="AE449" s="273"/>
      <c r="AF449" s="273"/>
      <c r="AG449" s="273"/>
      <c r="AH449" s="273"/>
      <c r="AI449" s="273"/>
      <c r="AJ449" s="273"/>
      <c r="AK449" s="273"/>
      <c r="AL449" s="273"/>
      <c r="AM449" s="273"/>
      <c r="AN449" s="273"/>
      <c r="AO449" s="273"/>
      <c r="AP449" s="273"/>
      <c r="AQ449" s="273"/>
      <c r="AR449" s="273"/>
      <c r="AS449" s="273"/>
      <c r="AT449" s="273"/>
      <c r="AU449" s="273"/>
      <c r="AV449" s="273"/>
    </row>
    <row r="450" spans="2:48" ht="12.75">
      <c r="B450" s="273"/>
      <c r="C450" s="273"/>
      <c r="D450" s="273"/>
      <c r="E450" s="273"/>
      <c r="F450" s="273"/>
      <c r="G450" s="273"/>
      <c r="H450" s="39"/>
      <c r="I450" s="273"/>
      <c r="J450" s="273"/>
      <c r="K450" s="273"/>
      <c r="L450" s="273"/>
      <c r="M450" s="273"/>
      <c r="N450" s="273"/>
      <c r="O450" s="273"/>
      <c r="P450" s="273"/>
      <c r="Q450" s="39"/>
      <c r="R450" s="273"/>
      <c r="S450" s="273"/>
      <c r="T450" s="273"/>
      <c r="U450" s="273"/>
      <c r="V450" s="273"/>
      <c r="W450" s="273"/>
      <c r="X450" s="39"/>
      <c r="Y450" s="273"/>
      <c r="Z450" s="273"/>
      <c r="AA450" s="273"/>
      <c r="AB450" s="273"/>
      <c r="AC450" s="273"/>
      <c r="AD450" s="273"/>
      <c r="AE450" s="273"/>
      <c r="AF450" s="273"/>
      <c r="AG450" s="273"/>
      <c r="AH450" s="273"/>
      <c r="AI450" s="273"/>
      <c r="AJ450" s="273"/>
      <c r="AK450" s="273"/>
      <c r="AL450" s="273"/>
      <c r="AM450" s="273"/>
      <c r="AN450" s="273"/>
      <c r="AO450" s="273"/>
      <c r="AP450" s="273"/>
      <c r="AQ450" s="273"/>
      <c r="AR450" s="273"/>
      <c r="AS450" s="273"/>
      <c r="AT450" s="273"/>
      <c r="AU450" s="273"/>
      <c r="AV450" s="273"/>
    </row>
    <row r="451" spans="2:48" ht="12.75">
      <c r="B451" s="273"/>
      <c r="C451" s="273"/>
      <c r="D451" s="273"/>
      <c r="E451" s="273"/>
      <c r="F451" s="273"/>
      <c r="G451" s="273"/>
      <c r="H451" s="39"/>
      <c r="I451" s="273"/>
      <c r="J451" s="273"/>
      <c r="K451" s="273"/>
      <c r="L451" s="273"/>
      <c r="M451" s="273"/>
      <c r="N451" s="273"/>
      <c r="O451" s="273"/>
      <c r="P451" s="273"/>
      <c r="Q451" s="39"/>
      <c r="R451" s="273"/>
      <c r="S451" s="273"/>
      <c r="T451" s="273"/>
      <c r="U451" s="273"/>
      <c r="V451" s="273"/>
      <c r="W451" s="273"/>
      <c r="X451" s="39"/>
      <c r="Y451" s="273"/>
      <c r="Z451" s="273"/>
      <c r="AA451" s="273"/>
      <c r="AB451" s="273"/>
      <c r="AC451" s="273"/>
      <c r="AD451" s="273"/>
      <c r="AE451" s="273"/>
      <c r="AF451" s="273"/>
      <c r="AG451" s="273"/>
      <c r="AH451" s="273"/>
      <c r="AI451" s="273"/>
      <c r="AJ451" s="273"/>
      <c r="AK451" s="273"/>
      <c r="AL451" s="273"/>
      <c r="AM451" s="273"/>
      <c r="AN451" s="273"/>
      <c r="AO451" s="273"/>
      <c r="AP451" s="273"/>
      <c r="AQ451" s="273"/>
      <c r="AR451" s="273"/>
      <c r="AS451" s="273"/>
      <c r="AT451" s="273"/>
      <c r="AU451" s="273"/>
      <c r="AV451" s="273"/>
    </row>
    <row r="452" spans="2:48" ht="12.75">
      <c r="B452" s="273"/>
      <c r="C452" s="273"/>
      <c r="D452" s="273"/>
      <c r="E452" s="273"/>
      <c r="F452" s="273"/>
      <c r="G452" s="273"/>
      <c r="H452" s="39"/>
      <c r="I452" s="273"/>
      <c r="J452" s="273"/>
      <c r="K452" s="273"/>
      <c r="L452" s="273"/>
      <c r="M452" s="273"/>
      <c r="N452" s="273"/>
      <c r="O452" s="273"/>
      <c r="P452" s="273"/>
      <c r="Q452" s="39"/>
      <c r="R452" s="273"/>
      <c r="S452" s="273"/>
      <c r="T452" s="273"/>
      <c r="U452" s="273"/>
      <c r="V452" s="273"/>
      <c r="W452" s="273"/>
      <c r="X452" s="39"/>
      <c r="Y452" s="273"/>
      <c r="Z452" s="273"/>
      <c r="AA452" s="273"/>
      <c r="AB452" s="273"/>
      <c r="AC452" s="273"/>
      <c r="AD452" s="273"/>
      <c r="AE452" s="273"/>
      <c r="AF452" s="273"/>
      <c r="AG452" s="273"/>
      <c r="AH452" s="273"/>
      <c r="AI452" s="273"/>
      <c r="AJ452" s="273"/>
      <c r="AK452" s="273"/>
      <c r="AL452" s="273"/>
      <c r="AM452" s="273"/>
      <c r="AN452" s="273"/>
      <c r="AO452" s="273"/>
      <c r="AP452" s="273"/>
      <c r="AQ452" s="273"/>
      <c r="AR452" s="273"/>
      <c r="AS452" s="273"/>
      <c r="AT452" s="273"/>
      <c r="AU452" s="273"/>
      <c r="AV452" s="273"/>
    </row>
    <row r="453" spans="2:48" ht="12.75">
      <c r="B453" s="273"/>
      <c r="C453" s="273"/>
      <c r="D453" s="273"/>
      <c r="E453" s="273"/>
      <c r="F453" s="273"/>
      <c r="G453" s="273"/>
      <c r="H453" s="39"/>
      <c r="I453" s="273"/>
      <c r="J453" s="273"/>
      <c r="K453" s="273"/>
      <c r="L453" s="273"/>
      <c r="M453" s="273"/>
      <c r="N453" s="273"/>
      <c r="O453" s="273"/>
      <c r="P453" s="273"/>
      <c r="Q453" s="39"/>
      <c r="R453" s="273"/>
      <c r="S453" s="273"/>
      <c r="T453" s="273"/>
      <c r="U453" s="273"/>
      <c r="V453" s="273"/>
      <c r="W453" s="273"/>
      <c r="X453" s="39"/>
      <c r="Y453" s="273"/>
      <c r="Z453" s="273"/>
      <c r="AA453" s="273"/>
      <c r="AB453" s="273"/>
      <c r="AC453" s="273"/>
      <c r="AD453" s="273"/>
      <c r="AE453" s="273"/>
      <c r="AF453" s="273"/>
      <c r="AG453" s="273"/>
      <c r="AH453" s="273"/>
      <c r="AI453" s="273"/>
      <c r="AJ453" s="273"/>
      <c r="AK453" s="273"/>
      <c r="AL453" s="273"/>
      <c r="AM453" s="273"/>
      <c r="AN453" s="273"/>
      <c r="AO453" s="273"/>
      <c r="AP453" s="273"/>
      <c r="AQ453" s="273"/>
      <c r="AR453" s="273"/>
      <c r="AS453" s="273"/>
      <c r="AT453" s="273"/>
      <c r="AU453" s="273"/>
      <c r="AV453" s="273"/>
    </row>
    <row r="454" spans="2:48" ht="12.75">
      <c r="B454" s="273"/>
      <c r="C454" s="273"/>
      <c r="D454" s="273"/>
      <c r="E454" s="273"/>
      <c r="F454" s="273"/>
      <c r="G454" s="273"/>
      <c r="H454" s="39"/>
      <c r="I454" s="273"/>
      <c r="J454" s="273"/>
      <c r="K454" s="273"/>
      <c r="L454" s="273"/>
      <c r="M454" s="273"/>
      <c r="N454" s="273"/>
      <c r="O454" s="273"/>
      <c r="P454" s="273"/>
      <c r="Q454" s="39"/>
      <c r="R454" s="273"/>
      <c r="S454" s="273"/>
      <c r="T454" s="273"/>
      <c r="U454" s="273"/>
      <c r="V454" s="273"/>
      <c r="W454" s="273"/>
      <c r="X454" s="39"/>
      <c r="Y454" s="273"/>
      <c r="Z454" s="273"/>
      <c r="AA454" s="273"/>
      <c r="AB454" s="273"/>
      <c r="AC454" s="273"/>
      <c r="AD454" s="273"/>
      <c r="AE454" s="273"/>
      <c r="AF454" s="273"/>
      <c r="AG454" s="273"/>
      <c r="AH454" s="273"/>
      <c r="AI454" s="273"/>
      <c r="AJ454" s="273"/>
      <c r="AK454" s="273"/>
      <c r="AL454" s="273"/>
      <c r="AM454" s="273"/>
      <c r="AN454" s="273"/>
      <c r="AO454" s="273"/>
      <c r="AP454" s="273"/>
      <c r="AQ454" s="273"/>
      <c r="AR454" s="273"/>
      <c r="AS454" s="273"/>
      <c r="AT454" s="273"/>
      <c r="AU454" s="273"/>
      <c r="AV454" s="273"/>
    </row>
    <row r="455" spans="2:48" ht="12.75">
      <c r="B455" s="273"/>
      <c r="C455" s="273"/>
      <c r="D455" s="273"/>
      <c r="E455" s="273"/>
      <c r="F455" s="273"/>
      <c r="G455" s="273"/>
      <c r="H455" s="39"/>
      <c r="I455" s="273"/>
      <c r="J455" s="273"/>
      <c r="K455" s="273"/>
      <c r="L455" s="273"/>
      <c r="M455" s="273"/>
      <c r="N455" s="273"/>
      <c r="O455" s="273"/>
      <c r="P455" s="273"/>
      <c r="Q455" s="39"/>
      <c r="R455" s="273"/>
      <c r="S455" s="273"/>
      <c r="T455" s="273"/>
      <c r="U455" s="273"/>
      <c r="V455" s="273"/>
      <c r="W455" s="273"/>
      <c r="X455" s="39"/>
      <c r="Y455" s="273"/>
      <c r="Z455" s="273"/>
      <c r="AA455" s="273"/>
      <c r="AB455" s="273"/>
      <c r="AC455" s="273"/>
      <c r="AD455" s="273"/>
      <c r="AE455" s="273"/>
      <c r="AF455" s="273"/>
      <c r="AG455" s="273"/>
      <c r="AH455" s="273"/>
      <c r="AI455" s="273"/>
      <c r="AJ455" s="273"/>
      <c r="AK455" s="273"/>
      <c r="AL455" s="273"/>
      <c r="AM455" s="273"/>
      <c r="AN455" s="273"/>
      <c r="AO455" s="273"/>
      <c r="AP455" s="273"/>
      <c r="AQ455" s="273"/>
      <c r="AR455" s="273"/>
      <c r="AS455" s="273"/>
      <c r="AT455" s="273"/>
      <c r="AU455" s="273"/>
      <c r="AV455" s="273"/>
    </row>
    <row r="456" spans="2:48" ht="12.75">
      <c r="B456" s="273"/>
      <c r="C456" s="273"/>
      <c r="D456" s="273"/>
      <c r="E456" s="273"/>
      <c r="F456" s="273"/>
      <c r="G456" s="273"/>
      <c r="H456" s="39"/>
      <c r="I456" s="273"/>
      <c r="J456" s="273"/>
      <c r="K456" s="273"/>
      <c r="L456" s="273"/>
      <c r="M456" s="273"/>
      <c r="N456" s="273"/>
      <c r="O456" s="273"/>
      <c r="P456" s="273"/>
      <c r="Q456" s="39"/>
      <c r="R456" s="273"/>
      <c r="S456" s="273"/>
      <c r="T456" s="273"/>
      <c r="U456" s="273"/>
      <c r="V456" s="273"/>
      <c r="W456" s="273"/>
      <c r="X456" s="39"/>
      <c r="Y456" s="273"/>
      <c r="Z456" s="273"/>
      <c r="AA456" s="273"/>
      <c r="AB456" s="273"/>
      <c r="AC456" s="273"/>
      <c r="AD456" s="273"/>
      <c r="AE456" s="273"/>
      <c r="AF456" s="273"/>
      <c r="AG456" s="273"/>
      <c r="AH456" s="273"/>
      <c r="AI456" s="273"/>
      <c r="AJ456" s="273"/>
      <c r="AK456" s="273"/>
      <c r="AL456" s="273"/>
      <c r="AM456" s="273"/>
      <c r="AN456" s="273"/>
      <c r="AO456" s="273"/>
      <c r="AP456" s="273"/>
      <c r="AQ456" s="273"/>
      <c r="AR456" s="273"/>
      <c r="AS456" s="273"/>
      <c r="AT456" s="273"/>
      <c r="AU456" s="273"/>
      <c r="AV456" s="273"/>
    </row>
    <row r="457" spans="2:48" ht="12.75">
      <c r="B457" s="273"/>
      <c r="C457" s="273"/>
      <c r="D457" s="273"/>
      <c r="E457" s="273"/>
      <c r="F457" s="273"/>
      <c r="G457" s="273"/>
      <c r="H457" s="39"/>
      <c r="I457" s="273"/>
      <c r="J457" s="273"/>
      <c r="K457" s="273"/>
      <c r="L457" s="273"/>
      <c r="M457" s="273"/>
      <c r="N457" s="273"/>
      <c r="O457" s="273"/>
      <c r="P457" s="273"/>
      <c r="Q457" s="39"/>
      <c r="R457" s="273"/>
      <c r="S457" s="273"/>
      <c r="T457" s="273"/>
      <c r="U457" s="273"/>
      <c r="V457" s="273"/>
      <c r="W457" s="273"/>
      <c r="X457" s="39"/>
      <c r="Y457" s="273"/>
      <c r="Z457" s="273"/>
      <c r="AA457" s="273"/>
      <c r="AB457" s="273"/>
      <c r="AC457" s="273"/>
      <c r="AD457" s="273"/>
      <c r="AE457" s="273"/>
      <c r="AF457" s="273"/>
      <c r="AG457" s="273"/>
      <c r="AH457" s="273"/>
      <c r="AI457" s="273"/>
      <c r="AJ457" s="273"/>
      <c r="AK457" s="273"/>
      <c r="AL457" s="273"/>
      <c r="AM457" s="273"/>
      <c r="AN457" s="273"/>
      <c r="AO457" s="273"/>
      <c r="AP457" s="273"/>
      <c r="AQ457" s="273"/>
      <c r="AR457" s="273"/>
      <c r="AS457" s="273"/>
      <c r="AT457" s="273"/>
      <c r="AU457" s="273"/>
      <c r="AV457" s="273"/>
    </row>
    <row r="458" spans="2:48" ht="12.75">
      <c r="B458" s="273"/>
      <c r="C458" s="273"/>
      <c r="D458" s="273"/>
      <c r="E458" s="273"/>
      <c r="F458" s="273"/>
      <c r="G458" s="273"/>
      <c r="H458" s="39"/>
      <c r="I458" s="273"/>
      <c r="J458" s="273"/>
      <c r="K458" s="273"/>
      <c r="L458" s="273"/>
      <c r="M458" s="273"/>
      <c r="N458" s="273"/>
      <c r="O458" s="273"/>
      <c r="P458" s="273"/>
      <c r="Q458" s="39"/>
      <c r="R458" s="273"/>
      <c r="S458" s="273"/>
      <c r="T458" s="273"/>
      <c r="U458" s="273"/>
      <c r="V458" s="273"/>
      <c r="W458" s="273"/>
      <c r="X458" s="39"/>
      <c r="Y458" s="273"/>
      <c r="Z458" s="273"/>
      <c r="AA458" s="273"/>
      <c r="AB458" s="273"/>
      <c r="AC458" s="273"/>
      <c r="AD458" s="273"/>
      <c r="AE458" s="273"/>
      <c r="AF458" s="273"/>
      <c r="AG458" s="273"/>
      <c r="AH458" s="273"/>
      <c r="AI458" s="273"/>
      <c r="AJ458" s="273"/>
      <c r="AK458" s="273"/>
      <c r="AL458" s="273"/>
      <c r="AM458" s="273"/>
      <c r="AN458" s="273"/>
      <c r="AO458" s="273"/>
      <c r="AP458" s="273"/>
      <c r="AQ458" s="273"/>
      <c r="AR458" s="273"/>
      <c r="AS458" s="273"/>
      <c r="AT458" s="273"/>
      <c r="AU458" s="273"/>
      <c r="AV458" s="273"/>
    </row>
    <row r="459" spans="2:48" ht="12.75">
      <c r="B459" s="273"/>
      <c r="C459" s="273"/>
      <c r="D459" s="273"/>
      <c r="E459" s="273"/>
      <c r="F459" s="273"/>
      <c r="G459" s="273"/>
      <c r="H459" s="39"/>
      <c r="I459" s="273"/>
      <c r="J459" s="273"/>
      <c r="K459" s="273"/>
      <c r="L459" s="273"/>
      <c r="M459" s="273"/>
      <c r="N459" s="273"/>
      <c r="O459" s="273"/>
      <c r="P459" s="273"/>
      <c r="Q459" s="39"/>
      <c r="R459" s="273"/>
      <c r="S459" s="273"/>
      <c r="T459" s="273"/>
      <c r="U459" s="273"/>
      <c r="V459" s="273"/>
      <c r="W459" s="273"/>
      <c r="X459" s="39"/>
      <c r="Y459" s="273"/>
      <c r="Z459" s="273"/>
      <c r="AA459" s="273"/>
      <c r="AB459" s="273"/>
      <c r="AC459" s="273"/>
      <c r="AD459" s="273"/>
      <c r="AE459" s="273"/>
      <c r="AF459" s="273"/>
      <c r="AG459" s="273"/>
      <c r="AH459" s="273"/>
      <c r="AI459" s="273"/>
      <c r="AJ459" s="273"/>
      <c r="AK459" s="273"/>
      <c r="AL459" s="273"/>
      <c r="AM459" s="273"/>
      <c r="AN459" s="273"/>
      <c r="AO459" s="273"/>
      <c r="AP459" s="273"/>
      <c r="AQ459" s="273"/>
      <c r="AR459" s="273"/>
      <c r="AS459" s="273"/>
      <c r="AT459" s="273"/>
      <c r="AU459" s="273"/>
      <c r="AV459" s="273"/>
    </row>
    <row r="460" spans="2:48" ht="12.75">
      <c r="B460" s="273"/>
      <c r="C460" s="273"/>
      <c r="D460" s="273"/>
      <c r="E460" s="273"/>
      <c r="F460" s="273"/>
      <c r="G460" s="273"/>
      <c r="H460" s="39"/>
      <c r="I460" s="273"/>
      <c r="J460" s="273"/>
      <c r="K460" s="273"/>
      <c r="L460" s="273"/>
      <c r="M460" s="273"/>
      <c r="N460" s="273"/>
      <c r="O460" s="273"/>
      <c r="P460" s="273"/>
      <c r="Q460" s="39"/>
      <c r="R460" s="273"/>
      <c r="S460" s="273"/>
      <c r="T460" s="273"/>
      <c r="U460" s="273"/>
      <c r="V460" s="273"/>
      <c r="W460" s="273"/>
      <c r="X460" s="39"/>
      <c r="Y460" s="273"/>
      <c r="Z460" s="273"/>
      <c r="AA460" s="273"/>
      <c r="AB460" s="273"/>
      <c r="AC460" s="273"/>
      <c r="AD460" s="273"/>
      <c r="AE460" s="273"/>
      <c r="AF460" s="273"/>
      <c r="AG460" s="273"/>
      <c r="AH460" s="273"/>
      <c r="AI460" s="273"/>
      <c r="AJ460" s="273"/>
      <c r="AK460" s="273"/>
      <c r="AL460" s="273"/>
      <c r="AM460" s="273"/>
      <c r="AN460" s="273"/>
      <c r="AO460" s="273"/>
      <c r="AP460" s="273"/>
      <c r="AQ460" s="273"/>
      <c r="AR460" s="273"/>
      <c r="AS460" s="273"/>
      <c r="AT460" s="273"/>
      <c r="AU460" s="273"/>
      <c r="AV460" s="273"/>
    </row>
    <row r="461" spans="2:48" ht="12.75">
      <c r="B461" s="273"/>
      <c r="C461" s="273"/>
      <c r="D461" s="273"/>
      <c r="E461" s="273"/>
      <c r="F461" s="273"/>
      <c r="G461" s="273"/>
      <c r="H461" s="39"/>
      <c r="I461" s="273"/>
      <c r="J461" s="273"/>
      <c r="K461" s="273"/>
      <c r="L461" s="273"/>
      <c r="M461" s="273"/>
      <c r="N461" s="273"/>
      <c r="O461" s="273"/>
      <c r="P461" s="273"/>
      <c r="Q461" s="39"/>
      <c r="R461" s="273"/>
      <c r="S461" s="273"/>
      <c r="T461" s="273"/>
      <c r="U461" s="273"/>
      <c r="V461" s="273"/>
      <c r="W461" s="273"/>
      <c r="X461" s="39"/>
      <c r="Y461" s="273"/>
      <c r="Z461" s="273"/>
      <c r="AA461" s="273"/>
      <c r="AB461" s="273"/>
      <c r="AC461" s="273"/>
      <c r="AD461" s="273"/>
      <c r="AE461" s="273"/>
      <c r="AF461" s="273"/>
      <c r="AG461" s="273"/>
      <c r="AH461" s="273"/>
      <c r="AI461" s="273"/>
      <c r="AJ461" s="273"/>
      <c r="AK461" s="273"/>
      <c r="AL461" s="273"/>
      <c r="AM461" s="273"/>
      <c r="AN461" s="273"/>
      <c r="AO461" s="273"/>
      <c r="AP461" s="273"/>
      <c r="AQ461" s="273"/>
      <c r="AR461" s="273"/>
      <c r="AS461" s="273"/>
      <c r="AT461" s="273"/>
      <c r="AU461" s="273"/>
      <c r="AV461" s="273"/>
    </row>
    <row r="462" spans="2:48" ht="12.75">
      <c r="B462" s="273"/>
      <c r="C462" s="273"/>
      <c r="D462" s="273"/>
      <c r="E462" s="273"/>
      <c r="F462" s="273"/>
      <c r="G462" s="273"/>
      <c r="H462" s="39"/>
      <c r="I462" s="273"/>
      <c r="J462" s="273"/>
      <c r="K462" s="273"/>
      <c r="L462" s="273"/>
      <c r="M462" s="273"/>
      <c r="N462" s="273"/>
      <c r="O462" s="273"/>
      <c r="P462" s="273"/>
      <c r="Q462" s="39"/>
      <c r="R462" s="273"/>
      <c r="S462" s="273"/>
      <c r="T462" s="273"/>
      <c r="U462" s="273"/>
      <c r="V462" s="273"/>
      <c r="W462" s="273"/>
      <c r="X462" s="39"/>
      <c r="Y462" s="273"/>
      <c r="Z462" s="273"/>
      <c r="AA462" s="273"/>
      <c r="AB462" s="273"/>
      <c r="AC462" s="273"/>
      <c r="AD462" s="273"/>
      <c r="AE462" s="273"/>
      <c r="AF462" s="273"/>
      <c r="AG462" s="273"/>
      <c r="AH462" s="273"/>
      <c r="AI462" s="273"/>
      <c r="AJ462" s="273"/>
      <c r="AK462" s="273"/>
      <c r="AL462" s="273"/>
      <c r="AM462" s="273"/>
      <c r="AN462" s="273"/>
      <c r="AO462" s="273"/>
      <c r="AP462" s="273"/>
      <c r="AQ462" s="273"/>
      <c r="AR462" s="273"/>
      <c r="AS462" s="273"/>
      <c r="AT462" s="273"/>
      <c r="AU462" s="273"/>
      <c r="AV462" s="273"/>
    </row>
    <row r="463" spans="2:48" ht="12.75">
      <c r="B463" s="273"/>
      <c r="C463" s="273"/>
      <c r="D463" s="273"/>
      <c r="E463" s="273"/>
      <c r="F463" s="273"/>
      <c r="G463" s="273"/>
      <c r="H463" s="39"/>
      <c r="I463" s="273"/>
      <c r="J463" s="273"/>
      <c r="K463" s="273"/>
      <c r="L463" s="273"/>
      <c r="M463" s="273"/>
      <c r="N463" s="273"/>
      <c r="O463" s="273"/>
      <c r="P463" s="273"/>
      <c r="Q463" s="39"/>
      <c r="R463" s="273"/>
      <c r="S463" s="273"/>
      <c r="T463" s="273"/>
      <c r="U463" s="273"/>
      <c r="V463" s="273"/>
      <c r="W463" s="273"/>
      <c r="X463" s="39"/>
      <c r="Y463" s="273"/>
      <c r="Z463" s="273"/>
      <c r="AA463" s="273"/>
      <c r="AB463" s="273"/>
      <c r="AC463" s="273"/>
      <c r="AD463" s="273"/>
      <c r="AE463" s="273"/>
      <c r="AF463" s="273"/>
      <c r="AG463" s="273"/>
      <c r="AH463" s="273"/>
      <c r="AI463" s="273"/>
      <c r="AJ463" s="273"/>
      <c r="AK463" s="273"/>
      <c r="AL463" s="273"/>
      <c r="AM463" s="273"/>
      <c r="AN463" s="273"/>
      <c r="AO463" s="273"/>
      <c r="AP463" s="273"/>
      <c r="AQ463" s="273"/>
      <c r="AR463" s="273"/>
      <c r="AS463" s="273"/>
      <c r="AT463" s="273"/>
      <c r="AU463" s="273"/>
      <c r="AV463" s="273"/>
    </row>
    <row r="464" spans="2:48" ht="12.75">
      <c r="B464" s="273"/>
      <c r="C464" s="273"/>
      <c r="D464" s="273"/>
      <c r="E464" s="273"/>
      <c r="F464" s="273"/>
      <c r="G464" s="273"/>
      <c r="H464" s="39"/>
      <c r="I464" s="273"/>
      <c r="J464" s="273"/>
      <c r="K464" s="273"/>
      <c r="L464" s="273"/>
      <c r="M464" s="273"/>
      <c r="N464" s="273"/>
      <c r="O464" s="273"/>
      <c r="P464" s="273"/>
      <c r="Q464" s="39"/>
      <c r="R464" s="273"/>
      <c r="S464" s="273"/>
      <c r="T464" s="273"/>
      <c r="U464" s="273"/>
      <c r="V464" s="273"/>
      <c r="W464" s="273"/>
      <c r="X464" s="39"/>
      <c r="Y464" s="273"/>
      <c r="Z464" s="273"/>
      <c r="AA464" s="273"/>
      <c r="AB464" s="273"/>
      <c r="AC464" s="273"/>
      <c r="AD464" s="273"/>
      <c r="AE464" s="273"/>
      <c r="AF464" s="273"/>
      <c r="AG464" s="273"/>
      <c r="AH464" s="273"/>
      <c r="AI464" s="273"/>
      <c r="AJ464" s="273"/>
      <c r="AK464" s="273"/>
      <c r="AL464" s="273"/>
      <c r="AM464" s="273"/>
      <c r="AN464" s="273"/>
      <c r="AO464" s="273"/>
      <c r="AP464" s="273"/>
      <c r="AQ464" s="273"/>
      <c r="AR464" s="273"/>
      <c r="AS464" s="273"/>
      <c r="AT464" s="273"/>
      <c r="AU464" s="273"/>
      <c r="AV464" s="273"/>
    </row>
    <row r="465" spans="2:48" ht="12.75">
      <c r="B465" s="273"/>
      <c r="C465" s="273"/>
      <c r="D465" s="273"/>
      <c r="E465" s="273"/>
      <c r="F465" s="273"/>
      <c r="G465" s="273"/>
      <c r="H465" s="39"/>
      <c r="I465" s="273"/>
      <c r="J465" s="273"/>
      <c r="K465" s="273"/>
      <c r="L465" s="273"/>
      <c r="M465" s="273"/>
      <c r="N465" s="273"/>
      <c r="O465" s="273"/>
      <c r="P465" s="273"/>
      <c r="Q465" s="39"/>
      <c r="R465" s="273"/>
      <c r="S465" s="273"/>
      <c r="T465" s="273"/>
      <c r="U465" s="273"/>
      <c r="V465" s="273"/>
      <c r="W465" s="273"/>
      <c r="X465" s="39"/>
      <c r="Y465" s="273"/>
      <c r="Z465" s="273"/>
      <c r="AA465" s="273"/>
      <c r="AB465" s="273"/>
      <c r="AC465" s="273"/>
      <c r="AD465" s="273"/>
      <c r="AE465" s="273"/>
      <c r="AF465" s="273"/>
      <c r="AG465" s="273"/>
      <c r="AH465" s="273"/>
      <c r="AI465" s="273"/>
      <c r="AJ465" s="273"/>
      <c r="AK465" s="273"/>
      <c r="AL465" s="273"/>
      <c r="AM465" s="273"/>
      <c r="AN465" s="273"/>
      <c r="AO465" s="273"/>
      <c r="AP465" s="273"/>
      <c r="AQ465" s="273"/>
      <c r="AR465" s="273"/>
      <c r="AS465" s="273"/>
      <c r="AT465" s="273"/>
      <c r="AU465" s="273"/>
      <c r="AV465" s="273"/>
    </row>
    <row r="466" spans="2:48" ht="12.75">
      <c r="B466" s="273"/>
      <c r="C466" s="273"/>
      <c r="D466" s="273"/>
      <c r="E466" s="273"/>
      <c r="F466" s="273"/>
      <c r="G466" s="273"/>
      <c r="H466" s="39"/>
      <c r="I466" s="273"/>
      <c r="J466" s="273"/>
      <c r="K466" s="273"/>
      <c r="L466" s="273"/>
      <c r="M466" s="273"/>
      <c r="N466" s="273"/>
      <c r="O466" s="273"/>
      <c r="P466" s="273"/>
      <c r="Q466" s="39"/>
      <c r="R466" s="273"/>
      <c r="S466" s="273"/>
      <c r="T466" s="273"/>
      <c r="U466" s="273"/>
      <c r="V466" s="273"/>
      <c r="W466" s="273"/>
      <c r="X466" s="39"/>
      <c r="Y466" s="273"/>
      <c r="Z466" s="273"/>
      <c r="AA466" s="273"/>
      <c r="AB466" s="273"/>
      <c r="AC466" s="273"/>
      <c r="AD466" s="273"/>
      <c r="AE466" s="273"/>
      <c r="AF466" s="273"/>
      <c r="AG466" s="273"/>
      <c r="AH466" s="273"/>
      <c r="AI466" s="273"/>
      <c r="AJ466" s="273"/>
      <c r="AK466" s="273"/>
      <c r="AL466" s="273"/>
      <c r="AM466" s="273"/>
      <c r="AN466" s="273"/>
      <c r="AO466" s="273"/>
      <c r="AP466" s="273"/>
      <c r="AQ466" s="273"/>
      <c r="AR466" s="273"/>
      <c r="AS466" s="273"/>
      <c r="AT466" s="273"/>
      <c r="AU466" s="273"/>
      <c r="AV466" s="273"/>
    </row>
    <row r="467" spans="2:48" ht="12.75">
      <c r="B467" s="273"/>
      <c r="C467" s="273"/>
      <c r="D467" s="273"/>
      <c r="E467" s="273"/>
      <c r="F467" s="273"/>
      <c r="G467" s="273"/>
      <c r="H467" s="39"/>
      <c r="I467" s="273"/>
      <c r="J467" s="273"/>
      <c r="K467" s="273"/>
      <c r="L467" s="273"/>
      <c r="M467" s="273"/>
      <c r="N467" s="273"/>
      <c r="O467" s="273"/>
      <c r="P467" s="273"/>
      <c r="Q467" s="39"/>
      <c r="R467" s="273"/>
      <c r="S467" s="273"/>
      <c r="T467" s="273"/>
      <c r="U467" s="273"/>
      <c r="V467" s="273"/>
      <c r="W467" s="273"/>
      <c r="X467" s="39"/>
      <c r="Y467" s="273"/>
      <c r="Z467" s="273"/>
      <c r="AA467" s="273"/>
      <c r="AB467" s="273"/>
      <c r="AC467" s="273"/>
      <c r="AD467" s="273"/>
      <c r="AE467" s="273"/>
      <c r="AF467" s="273"/>
      <c r="AG467" s="273"/>
      <c r="AH467" s="273"/>
      <c r="AI467" s="273"/>
      <c r="AJ467" s="273"/>
      <c r="AK467" s="273"/>
      <c r="AL467" s="273"/>
      <c r="AM467" s="273"/>
      <c r="AN467" s="273"/>
      <c r="AO467" s="273"/>
      <c r="AP467" s="273"/>
      <c r="AQ467" s="273"/>
      <c r="AR467" s="273"/>
      <c r="AS467" s="273"/>
      <c r="AT467" s="273"/>
      <c r="AU467" s="273"/>
      <c r="AV467" s="273"/>
    </row>
    <row r="468" spans="2:48" ht="12.75">
      <c r="B468" s="273"/>
      <c r="C468" s="273"/>
      <c r="D468" s="273"/>
      <c r="E468" s="273"/>
      <c r="F468" s="273"/>
      <c r="G468" s="273"/>
      <c r="H468" s="39"/>
      <c r="I468" s="273"/>
      <c r="J468" s="273"/>
      <c r="K468" s="273"/>
      <c r="L468" s="273"/>
      <c r="M468" s="273"/>
      <c r="N468" s="273"/>
      <c r="O468" s="273"/>
      <c r="P468" s="273"/>
      <c r="Q468" s="39"/>
      <c r="R468" s="273"/>
      <c r="S468" s="273"/>
      <c r="T468" s="273"/>
      <c r="U468" s="273"/>
      <c r="V468" s="273"/>
      <c r="W468" s="273"/>
      <c r="X468" s="39"/>
      <c r="Y468" s="273"/>
      <c r="Z468" s="273"/>
      <c r="AA468" s="273"/>
      <c r="AB468" s="273"/>
      <c r="AC468" s="273"/>
      <c r="AD468" s="273"/>
      <c r="AE468" s="273"/>
      <c r="AF468" s="273"/>
      <c r="AG468" s="273"/>
      <c r="AH468" s="273"/>
      <c r="AI468" s="273"/>
      <c r="AJ468" s="273"/>
      <c r="AK468" s="273"/>
      <c r="AL468" s="273"/>
      <c r="AM468" s="273"/>
      <c r="AN468" s="273"/>
      <c r="AO468" s="273"/>
      <c r="AP468" s="273"/>
      <c r="AQ468" s="273"/>
      <c r="AR468" s="273"/>
      <c r="AS468" s="273"/>
      <c r="AT468" s="273"/>
      <c r="AU468" s="273"/>
      <c r="AV468" s="273"/>
    </row>
    <row r="469" spans="2:48" ht="12.75">
      <c r="B469" s="273"/>
      <c r="C469" s="273"/>
      <c r="D469" s="273"/>
      <c r="E469" s="273"/>
      <c r="F469" s="273"/>
      <c r="G469" s="273"/>
      <c r="H469" s="39"/>
      <c r="I469" s="273"/>
      <c r="J469" s="273"/>
      <c r="K469" s="273"/>
      <c r="L469" s="273"/>
      <c r="M469" s="273"/>
      <c r="N469" s="273"/>
      <c r="O469" s="273"/>
      <c r="P469" s="273"/>
      <c r="Q469" s="39"/>
      <c r="R469" s="273"/>
      <c r="S469" s="273"/>
      <c r="T469" s="273"/>
      <c r="U469" s="273"/>
      <c r="V469" s="273"/>
      <c r="W469" s="273"/>
      <c r="X469" s="39"/>
      <c r="Y469" s="273"/>
      <c r="Z469" s="273"/>
      <c r="AA469" s="273"/>
      <c r="AB469" s="273"/>
      <c r="AC469" s="273"/>
      <c r="AD469" s="273"/>
      <c r="AE469" s="273"/>
      <c r="AF469" s="273"/>
      <c r="AG469" s="273"/>
      <c r="AH469" s="273"/>
      <c r="AI469" s="273"/>
      <c r="AJ469" s="273"/>
      <c r="AK469" s="273"/>
      <c r="AL469" s="273"/>
      <c r="AM469" s="273"/>
      <c r="AN469" s="273"/>
      <c r="AO469" s="273"/>
      <c r="AP469" s="273"/>
      <c r="AQ469" s="273"/>
      <c r="AR469" s="273"/>
      <c r="AS469" s="273"/>
      <c r="AT469" s="273"/>
      <c r="AU469" s="273"/>
      <c r="AV469" s="273"/>
    </row>
    <row r="470" spans="2:48" ht="12.75">
      <c r="B470" s="273"/>
      <c r="C470" s="273"/>
      <c r="D470" s="273"/>
      <c r="E470" s="273"/>
      <c r="F470" s="273"/>
      <c r="G470" s="273"/>
      <c r="H470" s="39"/>
      <c r="I470" s="273"/>
      <c r="J470" s="273"/>
      <c r="K470" s="273"/>
      <c r="L470" s="273"/>
      <c r="M470" s="273"/>
      <c r="N470" s="273"/>
      <c r="O470" s="273"/>
      <c r="P470" s="273"/>
      <c r="Q470" s="39"/>
      <c r="R470" s="273"/>
      <c r="S470" s="273"/>
      <c r="T470" s="273"/>
      <c r="U470" s="273"/>
      <c r="V470" s="273"/>
      <c r="W470" s="273"/>
      <c r="X470" s="39"/>
      <c r="Y470" s="273"/>
      <c r="Z470" s="273"/>
      <c r="AA470" s="273"/>
      <c r="AB470" s="273"/>
      <c r="AC470" s="273"/>
      <c r="AD470" s="273"/>
      <c r="AE470" s="273"/>
      <c r="AF470" s="273"/>
      <c r="AG470" s="273"/>
      <c r="AH470" s="273"/>
      <c r="AI470" s="273"/>
      <c r="AJ470" s="273"/>
      <c r="AK470" s="273"/>
      <c r="AL470" s="273"/>
      <c r="AM470" s="273"/>
      <c r="AN470" s="273"/>
      <c r="AO470" s="273"/>
      <c r="AP470" s="273"/>
      <c r="AQ470" s="273"/>
      <c r="AR470" s="273"/>
      <c r="AS470" s="273"/>
      <c r="AT470" s="273"/>
      <c r="AU470" s="273"/>
      <c r="AV470" s="273"/>
    </row>
    <row r="471" spans="2:48" ht="12.75">
      <c r="B471" s="273"/>
      <c r="C471" s="273"/>
      <c r="D471" s="273"/>
      <c r="E471" s="273"/>
      <c r="F471" s="273"/>
      <c r="G471" s="273"/>
      <c r="H471" s="39"/>
      <c r="I471" s="273"/>
      <c r="J471" s="273"/>
      <c r="K471" s="273"/>
      <c r="L471" s="273"/>
      <c r="M471" s="273"/>
      <c r="N471" s="273"/>
      <c r="O471" s="273"/>
      <c r="P471" s="273"/>
      <c r="Q471" s="39"/>
      <c r="R471" s="273"/>
      <c r="S471" s="273"/>
      <c r="T471" s="273"/>
      <c r="U471" s="273"/>
      <c r="V471" s="273"/>
      <c r="W471" s="273"/>
      <c r="X471" s="39"/>
      <c r="Y471" s="273"/>
      <c r="Z471" s="273"/>
      <c r="AA471" s="273"/>
      <c r="AB471" s="273"/>
      <c r="AC471" s="273"/>
      <c r="AD471" s="273"/>
      <c r="AE471" s="273"/>
      <c r="AF471" s="273"/>
      <c r="AG471" s="273"/>
      <c r="AH471" s="273"/>
      <c r="AI471" s="273"/>
      <c r="AJ471" s="273"/>
      <c r="AK471" s="273"/>
      <c r="AL471" s="273"/>
      <c r="AM471" s="273"/>
      <c r="AN471" s="273"/>
      <c r="AO471" s="273"/>
      <c r="AP471" s="273"/>
      <c r="AQ471" s="273"/>
      <c r="AR471" s="273"/>
      <c r="AS471" s="273"/>
      <c r="AT471" s="273"/>
      <c r="AU471" s="273"/>
      <c r="AV471" s="273"/>
    </row>
    <row r="472" spans="2:48" ht="12.75">
      <c r="B472" s="273"/>
      <c r="C472" s="273"/>
      <c r="D472" s="273"/>
      <c r="E472" s="273"/>
      <c r="F472" s="273"/>
      <c r="G472" s="273"/>
      <c r="H472" s="39"/>
      <c r="I472" s="273"/>
      <c r="J472" s="273"/>
      <c r="K472" s="273"/>
      <c r="L472" s="273"/>
      <c r="M472" s="273"/>
      <c r="N472" s="273"/>
      <c r="O472" s="273"/>
      <c r="P472" s="273"/>
      <c r="Q472" s="39"/>
      <c r="R472" s="273"/>
      <c r="S472" s="273"/>
      <c r="T472" s="273"/>
      <c r="U472" s="273"/>
      <c r="V472" s="273"/>
      <c r="W472" s="273"/>
      <c r="X472" s="39"/>
      <c r="Y472" s="273"/>
      <c r="Z472" s="273"/>
      <c r="AA472" s="273"/>
      <c r="AB472" s="273"/>
      <c r="AC472" s="273"/>
      <c r="AD472" s="273"/>
      <c r="AE472" s="273"/>
      <c r="AF472" s="273"/>
      <c r="AG472" s="273"/>
      <c r="AH472" s="273"/>
      <c r="AI472" s="273"/>
      <c r="AJ472" s="273"/>
      <c r="AK472" s="273"/>
      <c r="AL472" s="273"/>
      <c r="AM472" s="273"/>
      <c r="AN472" s="273"/>
      <c r="AO472" s="273"/>
      <c r="AP472" s="273"/>
      <c r="AQ472" s="273"/>
      <c r="AR472" s="273"/>
      <c r="AS472" s="273"/>
      <c r="AT472" s="273"/>
      <c r="AU472" s="273"/>
      <c r="AV472" s="273"/>
    </row>
    <row r="473" spans="2:48" ht="12.75">
      <c r="B473" s="273"/>
      <c r="C473" s="273"/>
      <c r="D473" s="273"/>
      <c r="E473" s="273"/>
      <c r="F473" s="273"/>
      <c r="G473" s="273"/>
      <c r="H473" s="39"/>
      <c r="I473" s="273"/>
      <c r="J473" s="273"/>
      <c r="K473" s="273"/>
      <c r="L473" s="273"/>
      <c r="M473" s="273"/>
      <c r="N473" s="273"/>
      <c r="O473" s="273"/>
      <c r="P473" s="273"/>
      <c r="Q473" s="39"/>
      <c r="R473" s="273"/>
      <c r="S473" s="273"/>
      <c r="T473" s="273"/>
      <c r="U473" s="273"/>
      <c r="V473" s="273"/>
      <c r="W473" s="273"/>
      <c r="X473" s="39"/>
      <c r="Y473" s="273"/>
      <c r="Z473" s="273"/>
      <c r="AA473" s="273"/>
      <c r="AB473" s="273"/>
      <c r="AC473" s="273"/>
      <c r="AD473" s="273"/>
      <c r="AE473" s="273"/>
      <c r="AF473" s="273"/>
      <c r="AG473" s="273"/>
      <c r="AH473" s="273"/>
      <c r="AI473" s="273"/>
      <c r="AJ473" s="273"/>
      <c r="AK473" s="273"/>
      <c r="AL473" s="273"/>
      <c r="AM473" s="273"/>
      <c r="AN473" s="273"/>
      <c r="AO473" s="273"/>
      <c r="AP473" s="273"/>
      <c r="AQ473" s="273"/>
      <c r="AR473" s="273"/>
      <c r="AS473" s="273"/>
      <c r="AT473" s="273"/>
      <c r="AU473" s="273"/>
      <c r="AV473" s="273"/>
    </row>
    <row r="474" spans="2:48" ht="12.75">
      <c r="B474" s="273"/>
      <c r="C474" s="273"/>
      <c r="D474" s="273"/>
      <c r="E474" s="273"/>
      <c r="F474" s="273"/>
      <c r="G474" s="273"/>
      <c r="H474" s="39"/>
      <c r="I474" s="273"/>
      <c r="J474" s="273"/>
      <c r="K474" s="273"/>
      <c r="L474" s="273"/>
      <c r="M474" s="273"/>
      <c r="N474" s="273"/>
      <c r="O474" s="273"/>
      <c r="P474" s="273"/>
      <c r="Q474" s="39"/>
      <c r="R474" s="273"/>
      <c r="S474" s="273"/>
      <c r="T474" s="273"/>
      <c r="U474" s="273"/>
      <c r="V474" s="273"/>
      <c r="W474" s="273"/>
      <c r="X474" s="39"/>
      <c r="Y474" s="273"/>
      <c r="Z474" s="273"/>
      <c r="AA474" s="273"/>
      <c r="AB474" s="273"/>
      <c r="AC474" s="273"/>
      <c r="AD474" s="273"/>
      <c r="AE474" s="273"/>
      <c r="AF474" s="273"/>
      <c r="AG474" s="273"/>
      <c r="AH474" s="273"/>
      <c r="AI474" s="273"/>
      <c r="AJ474" s="273"/>
      <c r="AK474" s="273"/>
      <c r="AL474" s="273"/>
      <c r="AM474" s="273"/>
      <c r="AN474" s="273"/>
      <c r="AO474" s="273"/>
      <c r="AP474" s="273"/>
      <c r="AQ474" s="273"/>
      <c r="AR474" s="273"/>
      <c r="AS474" s="273"/>
      <c r="AT474" s="273"/>
      <c r="AU474" s="273"/>
      <c r="AV474" s="273"/>
    </row>
    <row r="475" spans="2:48" ht="12.75">
      <c r="B475" s="273"/>
      <c r="C475" s="273"/>
      <c r="D475" s="273"/>
      <c r="E475" s="273"/>
      <c r="F475" s="273"/>
      <c r="G475" s="273"/>
      <c r="H475" s="39"/>
      <c r="I475" s="273"/>
      <c r="J475" s="273"/>
      <c r="K475" s="273"/>
      <c r="L475" s="273"/>
      <c r="M475" s="273"/>
      <c r="N475" s="273"/>
      <c r="O475" s="273"/>
      <c r="P475" s="273"/>
      <c r="Q475" s="39"/>
      <c r="R475" s="273"/>
      <c r="S475" s="273"/>
      <c r="T475" s="273"/>
      <c r="U475" s="273"/>
      <c r="V475" s="273"/>
      <c r="W475" s="273"/>
      <c r="X475" s="39"/>
      <c r="Y475" s="273"/>
      <c r="Z475" s="273"/>
      <c r="AA475" s="273"/>
      <c r="AB475" s="273"/>
      <c r="AC475" s="273"/>
      <c r="AD475" s="273"/>
      <c r="AE475" s="273"/>
      <c r="AF475" s="273"/>
      <c r="AG475" s="273"/>
      <c r="AH475" s="273"/>
      <c r="AI475" s="273"/>
      <c r="AJ475" s="273"/>
      <c r="AK475" s="273"/>
      <c r="AL475" s="273"/>
      <c r="AM475" s="273"/>
      <c r="AN475" s="273"/>
      <c r="AO475" s="273"/>
      <c r="AP475" s="273"/>
      <c r="AQ475" s="273"/>
      <c r="AR475" s="273"/>
      <c r="AS475" s="273"/>
      <c r="AT475" s="273"/>
      <c r="AU475" s="273"/>
      <c r="AV475" s="273"/>
    </row>
    <row r="476" spans="2:48" ht="12.75">
      <c r="B476" s="273"/>
      <c r="C476" s="273"/>
      <c r="D476" s="273"/>
      <c r="E476" s="273"/>
      <c r="F476" s="273"/>
      <c r="G476" s="273"/>
      <c r="H476" s="39"/>
      <c r="I476" s="273"/>
      <c r="J476" s="273"/>
      <c r="K476" s="273"/>
      <c r="L476" s="273"/>
      <c r="M476" s="273"/>
      <c r="N476" s="273"/>
      <c r="O476" s="273"/>
      <c r="P476" s="273"/>
      <c r="Q476" s="39"/>
      <c r="R476" s="273"/>
      <c r="S476" s="273"/>
      <c r="T476" s="273"/>
      <c r="U476" s="273"/>
      <c r="V476" s="273"/>
      <c r="W476" s="273"/>
      <c r="X476" s="39"/>
      <c r="Y476" s="273"/>
      <c r="Z476" s="273"/>
      <c r="AA476" s="273"/>
      <c r="AB476" s="273"/>
      <c r="AC476" s="273"/>
      <c r="AD476" s="273"/>
      <c r="AE476" s="273"/>
      <c r="AF476" s="273"/>
      <c r="AG476" s="273"/>
      <c r="AH476" s="273"/>
      <c r="AI476" s="273"/>
      <c r="AJ476" s="273"/>
      <c r="AK476" s="273"/>
      <c r="AL476" s="273"/>
      <c r="AM476" s="273"/>
      <c r="AN476" s="273"/>
      <c r="AO476" s="273"/>
      <c r="AP476" s="273"/>
      <c r="AQ476" s="273"/>
      <c r="AR476" s="273"/>
      <c r="AS476" s="273"/>
      <c r="AT476" s="273"/>
      <c r="AU476" s="273"/>
      <c r="AV476" s="273"/>
    </row>
    <row r="477" spans="2:48" ht="12.75">
      <c r="B477" s="273"/>
      <c r="C477" s="273"/>
      <c r="D477" s="273"/>
      <c r="E477" s="273"/>
      <c r="F477" s="273"/>
      <c r="G477" s="273"/>
      <c r="H477" s="39"/>
      <c r="I477" s="273"/>
      <c r="J477" s="273"/>
      <c r="K477" s="273"/>
      <c r="L477" s="273"/>
      <c r="M477" s="273"/>
      <c r="N477" s="273"/>
      <c r="O477" s="273"/>
      <c r="P477" s="273"/>
      <c r="Q477" s="39"/>
      <c r="R477" s="273"/>
      <c r="S477" s="273"/>
      <c r="T477" s="273"/>
      <c r="U477" s="273"/>
      <c r="V477" s="273"/>
      <c r="W477" s="273"/>
      <c r="X477" s="39"/>
      <c r="Y477" s="273"/>
      <c r="Z477" s="273"/>
      <c r="AA477" s="273"/>
      <c r="AB477" s="273"/>
      <c r="AC477" s="273"/>
      <c r="AD477" s="273"/>
      <c r="AE477" s="273"/>
      <c r="AF477" s="273"/>
      <c r="AG477" s="273"/>
      <c r="AH477" s="273"/>
      <c r="AI477" s="273"/>
      <c r="AJ477" s="273"/>
      <c r="AK477" s="273"/>
      <c r="AL477" s="273"/>
      <c r="AM477" s="273"/>
      <c r="AN477" s="273"/>
      <c r="AO477" s="273"/>
      <c r="AP477" s="273"/>
      <c r="AQ477" s="273"/>
      <c r="AR477" s="273"/>
      <c r="AS477" s="273"/>
      <c r="AT477" s="273"/>
      <c r="AU477" s="273"/>
      <c r="AV477" s="273"/>
    </row>
    <row r="478" spans="2:48" ht="12.75">
      <c r="B478" s="273"/>
      <c r="C478" s="273"/>
      <c r="D478" s="273"/>
      <c r="E478" s="273"/>
      <c r="F478" s="273"/>
      <c r="G478" s="273"/>
      <c r="H478" s="39"/>
      <c r="I478" s="273"/>
      <c r="J478" s="273"/>
      <c r="K478" s="273"/>
      <c r="L478" s="273"/>
      <c r="M478" s="273"/>
      <c r="N478" s="273"/>
      <c r="O478" s="273"/>
      <c r="P478" s="273"/>
      <c r="Q478" s="39"/>
      <c r="R478" s="273"/>
      <c r="S478" s="273"/>
      <c r="T478" s="273"/>
      <c r="U478" s="273"/>
      <c r="V478" s="273"/>
      <c r="W478" s="273"/>
      <c r="X478" s="39"/>
      <c r="Y478" s="273"/>
      <c r="Z478" s="273"/>
      <c r="AA478" s="273"/>
      <c r="AB478" s="273"/>
      <c r="AC478" s="273"/>
      <c r="AD478" s="273"/>
      <c r="AE478" s="273"/>
      <c r="AF478" s="273"/>
      <c r="AG478" s="273"/>
      <c r="AH478" s="273"/>
      <c r="AI478" s="273"/>
      <c r="AJ478" s="273"/>
      <c r="AK478" s="273"/>
      <c r="AL478" s="273"/>
      <c r="AM478" s="273"/>
      <c r="AN478" s="273"/>
      <c r="AO478" s="273"/>
      <c r="AP478" s="273"/>
      <c r="AQ478" s="273"/>
      <c r="AR478" s="273"/>
      <c r="AS478" s="273"/>
      <c r="AT478" s="273"/>
      <c r="AU478" s="273"/>
      <c r="AV478" s="273"/>
    </row>
    <row r="479" spans="2:48" ht="12.75">
      <c r="B479" s="273"/>
      <c r="C479" s="273"/>
      <c r="D479" s="273"/>
      <c r="E479" s="273"/>
      <c r="F479" s="273"/>
      <c r="G479" s="273"/>
      <c r="H479" s="39"/>
      <c r="I479" s="273"/>
      <c r="J479" s="273"/>
      <c r="K479" s="273"/>
      <c r="L479" s="273"/>
      <c r="M479" s="273"/>
      <c r="N479" s="273"/>
      <c r="O479" s="273"/>
      <c r="P479" s="273"/>
      <c r="Q479" s="39"/>
      <c r="R479" s="273"/>
      <c r="S479" s="273"/>
      <c r="T479" s="273"/>
      <c r="U479" s="273"/>
      <c r="V479" s="273"/>
      <c r="W479" s="273"/>
      <c r="X479" s="39"/>
      <c r="Y479" s="273"/>
      <c r="Z479" s="273"/>
      <c r="AA479" s="273"/>
      <c r="AB479" s="273"/>
      <c r="AC479" s="273"/>
      <c r="AD479" s="273"/>
      <c r="AE479" s="273"/>
      <c r="AF479" s="273"/>
      <c r="AG479" s="273"/>
      <c r="AH479" s="273"/>
      <c r="AI479" s="273"/>
      <c r="AJ479" s="273"/>
      <c r="AK479" s="273"/>
      <c r="AL479" s="273"/>
      <c r="AM479" s="273"/>
      <c r="AN479" s="273"/>
      <c r="AO479" s="273"/>
      <c r="AP479" s="273"/>
      <c r="AQ479" s="273"/>
      <c r="AR479" s="273"/>
      <c r="AS479" s="273"/>
      <c r="AT479" s="273"/>
      <c r="AU479" s="273"/>
      <c r="AV479" s="273"/>
    </row>
    <row r="480" spans="2:48" ht="12.75">
      <c r="B480" s="273"/>
      <c r="C480" s="273"/>
      <c r="D480" s="273"/>
      <c r="E480" s="273"/>
      <c r="F480" s="273"/>
      <c r="G480" s="273"/>
      <c r="H480" s="39"/>
      <c r="I480" s="273"/>
      <c r="J480" s="273"/>
      <c r="K480" s="273"/>
      <c r="L480" s="273"/>
      <c r="M480" s="273"/>
      <c r="N480" s="273"/>
      <c r="O480" s="273"/>
      <c r="P480" s="273"/>
      <c r="Q480" s="39"/>
      <c r="R480" s="273"/>
      <c r="S480" s="273"/>
      <c r="T480" s="273"/>
      <c r="U480" s="273"/>
      <c r="V480" s="273"/>
      <c r="W480" s="273"/>
      <c r="X480" s="39"/>
      <c r="Y480" s="273"/>
      <c r="Z480" s="273"/>
      <c r="AA480" s="273"/>
      <c r="AB480" s="273"/>
      <c r="AC480" s="273"/>
      <c r="AD480" s="273"/>
      <c r="AE480" s="273"/>
      <c r="AF480" s="273"/>
      <c r="AG480" s="273"/>
      <c r="AH480" s="273"/>
      <c r="AI480" s="273"/>
      <c r="AJ480" s="273"/>
      <c r="AK480" s="273"/>
      <c r="AL480" s="273"/>
      <c r="AM480" s="273"/>
      <c r="AN480" s="273"/>
      <c r="AO480" s="273"/>
      <c r="AP480" s="273"/>
      <c r="AQ480" s="273"/>
      <c r="AR480" s="273"/>
      <c r="AS480" s="273"/>
      <c r="AT480" s="273"/>
      <c r="AU480" s="273"/>
      <c r="AV480" s="273"/>
    </row>
    <row r="481" spans="2:48" ht="12.75">
      <c r="B481" s="273"/>
      <c r="C481" s="273"/>
      <c r="D481" s="273"/>
      <c r="E481" s="273"/>
      <c r="F481" s="273"/>
      <c r="G481" s="273"/>
      <c r="H481" s="39"/>
      <c r="I481" s="273"/>
      <c r="J481" s="273"/>
      <c r="K481" s="273"/>
      <c r="L481" s="273"/>
      <c r="M481" s="273"/>
      <c r="N481" s="273"/>
      <c r="O481" s="273"/>
      <c r="P481" s="273"/>
      <c r="Q481" s="39"/>
      <c r="R481" s="273"/>
      <c r="S481" s="273"/>
      <c r="T481" s="273"/>
      <c r="U481" s="273"/>
      <c r="V481" s="273"/>
      <c r="W481" s="273"/>
      <c r="X481" s="39"/>
      <c r="Y481" s="273"/>
      <c r="Z481" s="273"/>
      <c r="AA481" s="273"/>
      <c r="AB481" s="273"/>
      <c r="AC481" s="273"/>
      <c r="AD481" s="273"/>
      <c r="AE481" s="273"/>
      <c r="AF481" s="273"/>
      <c r="AG481" s="273"/>
      <c r="AH481" s="273"/>
      <c r="AI481" s="273"/>
      <c r="AJ481" s="273"/>
      <c r="AK481" s="273"/>
      <c r="AL481" s="273"/>
      <c r="AM481" s="273"/>
      <c r="AN481" s="273"/>
      <c r="AO481" s="273"/>
      <c r="AP481" s="273"/>
      <c r="AQ481" s="273"/>
      <c r="AR481" s="273"/>
      <c r="AS481" s="273"/>
      <c r="AT481" s="273"/>
      <c r="AU481" s="273"/>
      <c r="AV481" s="273"/>
    </row>
    <row r="482" spans="2:48" ht="12.75">
      <c r="B482" s="273"/>
      <c r="C482" s="273"/>
      <c r="D482" s="273"/>
      <c r="E482" s="273"/>
      <c r="F482" s="273"/>
      <c r="G482" s="273"/>
      <c r="H482" s="39"/>
      <c r="I482" s="273"/>
      <c r="J482" s="273"/>
      <c r="K482" s="273"/>
      <c r="L482" s="273"/>
      <c r="M482" s="273"/>
      <c r="N482" s="273"/>
      <c r="O482" s="273"/>
      <c r="P482" s="273"/>
      <c r="Q482" s="39"/>
      <c r="R482" s="273"/>
      <c r="S482" s="273"/>
      <c r="T482" s="273"/>
      <c r="U482" s="273"/>
      <c r="V482" s="273"/>
      <c r="W482" s="273"/>
      <c r="X482" s="39"/>
      <c r="Y482" s="273"/>
      <c r="Z482" s="273"/>
      <c r="AA482" s="273"/>
      <c r="AB482" s="273"/>
      <c r="AC482" s="273"/>
      <c r="AD482" s="273"/>
      <c r="AE482" s="273"/>
      <c r="AF482" s="273"/>
      <c r="AG482" s="273"/>
      <c r="AH482" s="273"/>
      <c r="AI482" s="273"/>
      <c r="AJ482" s="273"/>
      <c r="AK482" s="273"/>
      <c r="AL482" s="273"/>
      <c r="AM482" s="273"/>
      <c r="AN482" s="273"/>
      <c r="AO482" s="273"/>
      <c r="AP482" s="273"/>
      <c r="AQ482" s="273"/>
      <c r="AR482" s="273"/>
      <c r="AS482" s="273"/>
      <c r="AT482" s="273"/>
      <c r="AU482" s="273"/>
      <c r="AV482" s="273"/>
    </row>
    <row r="483" spans="2:48" ht="12.75">
      <c r="B483" s="273"/>
      <c r="C483" s="273"/>
      <c r="D483" s="273"/>
      <c r="E483" s="273"/>
      <c r="F483" s="273"/>
      <c r="G483" s="273"/>
      <c r="H483" s="39"/>
      <c r="I483" s="273"/>
      <c r="J483" s="273"/>
      <c r="K483" s="273"/>
      <c r="L483" s="273"/>
      <c r="M483" s="273"/>
      <c r="N483" s="273"/>
      <c r="O483" s="273"/>
      <c r="P483" s="273"/>
      <c r="Q483" s="39"/>
      <c r="R483" s="273"/>
      <c r="S483" s="273"/>
      <c r="T483" s="273"/>
      <c r="U483" s="273"/>
      <c r="V483" s="273"/>
      <c r="W483" s="273"/>
      <c r="X483" s="39"/>
      <c r="Y483" s="273"/>
      <c r="Z483" s="273"/>
      <c r="AA483" s="273"/>
      <c r="AB483" s="273"/>
      <c r="AC483" s="273"/>
      <c r="AD483" s="273"/>
      <c r="AE483" s="273"/>
      <c r="AF483" s="273"/>
      <c r="AG483" s="273"/>
      <c r="AH483" s="273"/>
      <c r="AI483" s="273"/>
      <c r="AJ483" s="273"/>
      <c r="AK483" s="273"/>
      <c r="AL483" s="273"/>
      <c r="AM483" s="273"/>
      <c r="AN483" s="273"/>
      <c r="AO483" s="273"/>
      <c r="AP483" s="273"/>
      <c r="AQ483" s="273"/>
      <c r="AR483" s="273"/>
      <c r="AS483" s="273"/>
      <c r="AT483" s="273"/>
      <c r="AU483" s="273"/>
      <c r="AV483" s="273"/>
    </row>
    <row r="484" spans="2:48" ht="12.75">
      <c r="B484" s="273"/>
      <c r="C484" s="273"/>
      <c r="D484" s="273"/>
      <c r="E484" s="273"/>
      <c r="F484" s="273"/>
      <c r="G484" s="273"/>
      <c r="H484" s="39"/>
      <c r="I484" s="273"/>
      <c r="J484" s="273"/>
      <c r="K484" s="273"/>
      <c r="L484" s="273"/>
      <c r="M484" s="273"/>
      <c r="N484" s="273"/>
      <c r="O484" s="273"/>
      <c r="P484" s="273"/>
      <c r="Q484" s="39"/>
      <c r="R484" s="273"/>
      <c r="S484" s="273"/>
      <c r="T484" s="273"/>
      <c r="U484" s="273"/>
      <c r="V484" s="273"/>
      <c r="W484" s="273"/>
      <c r="X484" s="39"/>
      <c r="Y484" s="273"/>
      <c r="Z484" s="273"/>
      <c r="AA484" s="273"/>
      <c r="AB484" s="273"/>
      <c r="AC484" s="273"/>
      <c r="AD484" s="273"/>
      <c r="AE484" s="273"/>
      <c r="AF484" s="273"/>
      <c r="AG484" s="273"/>
      <c r="AH484" s="273"/>
      <c r="AI484" s="273"/>
      <c r="AJ484" s="273"/>
      <c r="AK484" s="273"/>
      <c r="AL484" s="273"/>
      <c r="AM484" s="273"/>
      <c r="AN484" s="273"/>
      <c r="AO484" s="273"/>
      <c r="AP484" s="273"/>
      <c r="AQ484" s="273"/>
      <c r="AR484" s="273"/>
      <c r="AS484" s="273"/>
      <c r="AT484" s="273"/>
      <c r="AU484" s="273"/>
      <c r="AV484" s="273"/>
    </row>
    <row r="485" spans="2:48" ht="12.75">
      <c r="B485" s="273"/>
      <c r="C485" s="273"/>
      <c r="D485" s="273"/>
      <c r="E485" s="273"/>
      <c r="F485" s="273"/>
      <c r="G485" s="273"/>
      <c r="H485" s="39"/>
      <c r="I485" s="273"/>
      <c r="J485" s="273"/>
      <c r="K485" s="273"/>
      <c r="L485" s="273"/>
      <c r="M485" s="273"/>
      <c r="N485" s="273"/>
      <c r="O485" s="273"/>
      <c r="P485" s="273"/>
      <c r="Q485" s="39"/>
      <c r="R485" s="273"/>
      <c r="S485" s="273"/>
      <c r="T485" s="273"/>
      <c r="U485" s="273"/>
      <c r="V485" s="273"/>
      <c r="W485" s="273"/>
      <c r="X485" s="39"/>
      <c r="Y485" s="273"/>
      <c r="Z485" s="273"/>
      <c r="AA485" s="273"/>
      <c r="AB485" s="273"/>
      <c r="AC485" s="273"/>
      <c r="AD485" s="273"/>
      <c r="AE485" s="273"/>
      <c r="AF485" s="273"/>
      <c r="AG485" s="273"/>
      <c r="AH485" s="273"/>
      <c r="AI485" s="273"/>
      <c r="AJ485" s="273"/>
      <c r="AK485" s="273"/>
      <c r="AL485" s="273"/>
      <c r="AM485" s="273"/>
      <c r="AN485" s="273"/>
      <c r="AO485" s="273"/>
      <c r="AP485" s="273"/>
      <c r="AQ485" s="273"/>
      <c r="AR485" s="273"/>
      <c r="AS485" s="273"/>
      <c r="AT485" s="273"/>
      <c r="AU485" s="273"/>
      <c r="AV485" s="273"/>
    </row>
    <row r="486" spans="2:48" ht="12.75">
      <c r="B486" s="273"/>
      <c r="C486" s="273"/>
      <c r="D486" s="273"/>
      <c r="E486" s="273"/>
      <c r="F486" s="273"/>
      <c r="G486" s="273"/>
      <c r="H486" s="39"/>
      <c r="I486" s="273"/>
      <c r="J486" s="273"/>
      <c r="K486" s="273"/>
      <c r="L486" s="273"/>
      <c r="M486" s="273"/>
      <c r="N486" s="273"/>
      <c r="O486" s="273"/>
      <c r="P486" s="273"/>
      <c r="Q486" s="39"/>
      <c r="R486" s="273"/>
      <c r="S486" s="273"/>
      <c r="T486" s="273"/>
      <c r="U486" s="273"/>
      <c r="V486" s="273"/>
      <c r="W486" s="273"/>
      <c r="X486" s="39"/>
      <c r="Y486" s="273"/>
      <c r="Z486" s="273"/>
      <c r="AA486" s="273"/>
      <c r="AB486" s="273"/>
      <c r="AC486" s="273"/>
      <c r="AD486" s="273"/>
      <c r="AE486" s="273"/>
      <c r="AF486" s="273"/>
      <c r="AG486" s="273"/>
      <c r="AH486" s="273"/>
      <c r="AI486" s="273"/>
      <c r="AJ486" s="273"/>
      <c r="AK486" s="273"/>
      <c r="AL486" s="273"/>
      <c r="AM486" s="273"/>
      <c r="AN486" s="273"/>
      <c r="AO486" s="273"/>
      <c r="AP486" s="273"/>
      <c r="AQ486" s="273"/>
      <c r="AR486" s="273"/>
      <c r="AS486" s="273"/>
      <c r="AT486" s="273"/>
      <c r="AU486" s="273"/>
      <c r="AV486" s="273"/>
    </row>
    <row r="487" spans="2:48" ht="12.75">
      <c r="B487" s="273"/>
      <c r="C487" s="273"/>
      <c r="D487" s="273"/>
      <c r="E487" s="273"/>
      <c r="F487" s="273"/>
      <c r="G487" s="273"/>
      <c r="H487" s="39"/>
      <c r="I487" s="273"/>
      <c r="J487" s="273"/>
      <c r="K487" s="273"/>
      <c r="L487" s="273"/>
      <c r="M487" s="273"/>
      <c r="N487" s="273"/>
      <c r="O487" s="273"/>
      <c r="P487" s="273"/>
      <c r="Q487" s="39"/>
      <c r="R487" s="273"/>
      <c r="S487" s="273"/>
      <c r="T487" s="273"/>
      <c r="U487" s="273"/>
      <c r="V487" s="273"/>
      <c r="W487" s="273"/>
      <c r="X487" s="39"/>
      <c r="Y487" s="273"/>
      <c r="Z487" s="273"/>
      <c r="AA487" s="273"/>
      <c r="AB487" s="273"/>
      <c r="AC487" s="273"/>
      <c r="AD487" s="273"/>
      <c r="AE487" s="273"/>
      <c r="AF487" s="273"/>
      <c r="AG487" s="273"/>
      <c r="AH487" s="273"/>
      <c r="AI487" s="273"/>
      <c r="AJ487" s="273"/>
      <c r="AK487" s="273"/>
      <c r="AL487" s="273"/>
      <c r="AM487" s="273"/>
      <c r="AN487" s="273"/>
      <c r="AO487" s="273"/>
      <c r="AP487" s="273"/>
      <c r="AQ487" s="273"/>
      <c r="AR487" s="273"/>
      <c r="AS487" s="273"/>
      <c r="AT487" s="273"/>
      <c r="AU487" s="273"/>
      <c r="AV487" s="273"/>
    </row>
    <row r="488" spans="2:48" ht="12.75">
      <c r="B488" s="273"/>
      <c r="C488" s="273"/>
      <c r="D488" s="273"/>
      <c r="E488" s="273"/>
      <c r="F488" s="273"/>
      <c r="G488" s="273"/>
      <c r="H488" s="39"/>
      <c r="I488" s="273"/>
      <c r="J488" s="273"/>
      <c r="K488" s="273"/>
      <c r="L488" s="273"/>
      <c r="M488" s="273"/>
      <c r="N488" s="273"/>
      <c r="O488" s="273"/>
      <c r="P488" s="273"/>
      <c r="Q488" s="39"/>
      <c r="R488" s="273"/>
      <c r="S488" s="273"/>
      <c r="T488" s="273"/>
      <c r="U488" s="273"/>
      <c r="V488" s="273"/>
      <c r="W488" s="273"/>
      <c r="X488" s="39"/>
      <c r="Y488" s="273"/>
      <c r="Z488" s="273"/>
      <c r="AA488" s="273"/>
      <c r="AB488" s="273"/>
      <c r="AC488" s="273"/>
      <c r="AD488" s="273"/>
      <c r="AE488" s="273"/>
      <c r="AF488" s="273"/>
      <c r="AG488" s="273"/>
      <c r="AH488" s="273"/>
      <c r="AI488" s="273"/>
      <c r="AJ488" s="273"/>
      <c r="AK488" s="273"/>
      <c r="AL488" s="273"/>
      <c r="AM488" s="273"/>
      <c r="AN488" s="273"/>
      <c r="AO488" s="273"/>
      <c r="AP488" s="273"/>
      <c r="AQ488" s="273"/>
      <c r="AR488" s="273"/>
      <c r="AS488" s="273"/>
      <c r="AT488" s="273"/>
      <c r="AU488" s="273"/>
      <c r="AV488" s="273"/>
    </row>
    <row r="489" spans="2:48" ht="12.75">
      <c r="B489" s="273"/>
      <c r="C489" s="273"/>
      <c r="D489" s="273"/>
      <c r="E489" s="273"/>
      <c r="F489" s="273"/>
      <c r="G489" s="273"/>
      <c r="H489" s="39"/>
      <c r="I489" s="273"/>
      <c r="J489" s="273"/>
      <c r="K489" s="273"/>
      <c r="L489" s="273"/>
      <c r="M489" s="273"/>
      <c r="N489" s="273"/>
      <c r="O489" s="273"/>
      <c r="P489" s="273"/>
      <c r="Q489" s="39"/>
      <c r="R489" s="273"/>
      <c r="S489" s="273"/>
      <c r="T489" s="273"/>
      <c r="U489" s="273"/>
      <c r="V489" s="273"/>
      <c r="W489" s="273"/>
      <c r="X489" s="39"/>
      <c r="Y489" s="273"/>
      <c r="Z489" s="273"/>
      <c r="AA489" s="273"/>
      <c r="AB489" s="273"/>
      <c r="AC489" s="273"/>
      <c r="AD489" s="273"/>
      <c r="AE489" s="273"/>
      <c r="AF489" s="273"/>
      <c r="AG489" s="273"/>
      <c r="AH489" s="273"/>
      <c r="AI489" s="273"/>
      <c r="AJ489" s="273"/>
      <c r="AK489" s="273"/>
      <c r="AL489" s="273"/>
      <c r="AM489" s="273"/>
      <c r="AN489" s="273"/>
      <c r="AO489" s="273"/>
      <c r="AP489" s="273"/>
      <c r="AQ489" s="273"/>
      <c r="AR489" s="273"/>
      <c r="AS489" s="273"/>
      <c r="AT489" s="273"/>
      <c r="AU489" s="273"/>
      <c r="AV489" s="273"/>
    </row>
    <row r="490" spans="2:48" ht="12.75">
      <c r="B490" s="273"/>
      <c r="C490" s="273"/>
      <c r="D490" s="273"/>
      <c r="E490" s="273"/>
      <c r="F490" s="273"/>
      <c r="G490" s="273"/>
      <c r="H490" s="39"/>
      <c r="I490" s="273"/>
      <c r="J490" s="273"/>
      <c r="K490" s="273"/>
      <c r="L490" s="273"/>
      <c r="M490" s="273"/>
      <c r="N490" s="273"/>
      <c r="O490" s="273"/>
      <c r="P490" s="273"/>
      <c r="Q490" s="39"/>
      <c r="R490" s="273"/>
      <c r="S490" s="273"/>
      <c r="T490" s="273"/>
      <c r="U490" s="273"/>
      <c r="V490" s="273"/>
      <c r="W490" s="273"/>
      <c r="X490" s="39"/>
      <c r="Y490" s="273"/>
      <c r="Z490" s="273"/>
      <c r="AA490" s="273"/>
      <c r="AB490" s="273"/>
      <c r="AC490" s="273"/>
      <c r="AD490" s="273"/>
      <c r="AE490" s="273"/>
      <c r="AF490" s="273"/>
      <c r="AG490" s="273"/>
      <c r="AH490" s="273"/>
      <c r="AI490" s="273"/>
      <c r="AJ490" s="273"/>
      <c r="AK490" s="273"/>
      <c r="AL490" s="273"/>
      <c r="AM490" s="273"/>
      <c r="AN490" s="273"/>
      <c r="AO490" s="273"/>
      <c r="AP490" s="273"/>
      <c r="AQ490" s="273"/>
      <c r="AR490" s="273"/>
      <c r="AS490" s="273"/>
      <c r="AT490" s="273"/>
      <c r="AU490" s="273"/>
      <c r="AV490" s="273"/>
    </row>
    <row r="491" spans="2:48" ht="12.75">
      <c r="B491" s="273"/>
      <c r="C491" s="273"/>
      <c r="D491" s="273"/>
      <c r="E491" s="273"/>
      <c r="F491" s="273"/>
      <c r="G491" s="273"/>
      <c r="H491" s="39"/>
      <c r="I491" s="273"/>
      <c r="J491" s="273"/>
      <c r="K491" s="273"/>
      <c r="L491" s="273"/>
      <c r="M491" s="273"/>
      <c r="N491" s="273"/>
      <c r="O491" s="273"/>
      <c r="P491" s="273"/>
      <c r="Q491" s="39"/>
      <c r="R491" s="273"/>
      <c r="S491" s="273"/>
      <c r="T491" s="273"/>
      <c r="U491" s="273"/>
      <c r="V491" s="273"/>
      <c r="W491" s="273"/>
      <c r="X491" s="39"/>
      <c r="Y491" s="273"/>
      <c r="Z491" s="273"/>
      <c r="AA491" s="273"/>
      <c r="AB491" s="273"/>
      <c r="AC491" s="273"/>
      <c r="AD491" s="273"/>
      <c r="AE491" s="273"/>
      <c r="AF491" s="273"/>
      <c r="AG491" s="273"/>
      <c r="AH491" s="273"/>
      <c r="AI491" s="273"/>
      <c r="AJ491" s="273"/>
      <c r="AK491" s="273"/>
      <c r="AL491" s="273"/>
      <c r="AM491" s="273"/>
      <c r="AN491" s="273"/>
      <c r="AO491" s="273"/>
      <c r="AP491" s="273"/>
      <c r="AQ491" s="273"/>
      <c r="AR491" s="273"/>
      <c r="AS491" s="273"/>
      <c r="AT491" s="273"/>
      <c r="AU491" s="273"/>
      <c r="AV491" s="273"/>
    </row>
    <row r="492" spans="2:48" ht="12.75">
      <c r="B492" s="273"/>
      <c r="C492" s="273"/>
      <c r="D492" s="273"/>
      <c r="E492" s="273"/>
      <c r="F492" s="273"/>
      <c r="G492" s="273"/>
      <c r="H492" s="39"/>
      <c r="I492" s="273"/>
      <c r="J492" s="273"/>
      <c r="K492" s="273"/>
      <c r="L492" s="273"/>
      <c r="M492" s="273"/>
      <c r="N492" s="273"/>
      <c r="O492" s="273"/>
      <c r="P492" s="273"/>
      <c r="Q492" s="39"/>
      <c r="R492" s="273"/>
      <c r="S492" s="273"/>
      <c r="T492" s="273"/>
      <c r="U492" s="273"/>
      <c r="V492" s="273"/>
      <c r="W492" s="273"/>
      <c r="X492" s="39"/>
      <c r="Y492" s="273"/>
      <c r="Z492" s="273"/>
      <c r="AA492" s="273"/>
      <c r="AB492" s="273"/>
      <c r="AC492" s="273"/>
      <c r="AD492" s="273"/>
      <c r="AE492" s="273"/>
      <c r="AF492" s="273"/>
      <c r="AG492" s="273"/>
      <c r="AH492" s="273"/>
      <c r="AI492" s="273"/>
      <c r="AJ492" s="273"/>
      <c r="AK492" s="273"/>
      <c r="AL492" s="273"/>
      <c r="AM492" s="273"/>
      <c r="AN492" s="273"/>
      <c r="AO492" s="273"/>
      <c r="AP492" s="273"/>
      <c r="AQ492" s="273"/>
      <c r="AR492" s="273"/>
      <c r="AS492" s="273"/>
      <c r="AT492" s="273"/>
      <c r="AU492" s="273"/>
      <c r="AV492" s="273"/>
    </row>
    <row r="493" spans="2:48" ht="12.75">
      <c r="B493" s="273"/>
      <c r="C493" s="273"/>
      <c r="D493" s="273"/>
      <c r="E493" s="273"/>
      <c r="F493" s="273"/>
      <c r="G493" s="273"/>
      <c r="H493" s="39"/>
      <c r="I493" s="273"/>
      <c r="J493" s="273"/>
      <c r="K493" s="273"/>
      <c r="L493" s="273"/>
      <c r="M493" s="273"/>
      <c r="N493" s="273"/>
      <c r="O493" s="273"/>
      <c r="P493" s="273"/>
      <c r="Q493" s="39"/>
      <c r="R493" s="273"/>
      <c r="S493" s="273"/>
      <c r="T493" s="273"/>
      <c r="U493" s="273"/>
      <c r="V493" s="273"/>
      <c r="W493" s="273"/>
      <c r="X493" s="39"/>
      <c r="Y493" s="273"/>
      <c r="Z493" s="273"/>
      <c r="AA493" s="273"/>
      <c r="AB493" s="273"/>
      <c r="AC493" s="273"/>
      <c r="AD493" s="273"/>
      <c r="AE493" s="273"/>
      <c r="AF493" s="273"/>
      <c r="AG493" s="273"/>
      <c r="AH493" s="273"/>
      <c r="AI493" s="273"/>
      <c r="AJ493" s="273"/>
      <c r="AK493" s="273"/>
      <c r="AL493" s="273"/>
      <c r="AM493" s="273"/>
      <c r="AN493" s="273"/>
      <c r="AO493" s="273"/>
      <c r="AP493" s="273"/>
      <c r="AQ493" s="273"/>
      <c r="AR493" s="273"/>
      <c r="AS493" s="273"/>
      <c r="AT493" s="273"/>
      <c r="AU493" s="273"/>
      <c r="AV493" s="273"/>
    </row>
    <row r="494" spans="2:48" ht="12.75">
      <c r="B494" s="273"/>
      <c r="C494" s="273"/>
      <c r="D494" s="273"/>
      <c r="E494" s="273"/>
      <c r="F494" s="273"/>
      <c r="G494" s="273"/>
      <c r="H494" s="39"/>
      <c r="I494" s="273"/>
      <c r="J494" s="273"/>
      <c r="K494" s="273"/>
      <c r="L494" s="273"/>
      <c r="M494" s="273"/>
      <c r="N494" s="273"/>
      <c r="O494" s="273"/>
      <c r="P494" s="273"/>
      <c r="Q494" s="39"/>
      <c r="R494" s="273"/>
      <c r="S494" s="273"/>
      <c r="T494" s="273"/>
      <c r="U494" s="273"/>
      <c r="V494" s="273"/>
      <c r="W494" s="273"/>
      <c r="X494" s="39"/>
      <c r="Y494" s="273"/>
      <c r="Z494" s="273"/>
      <c r="AA494" s="273"/>
      <c r="AB494" s="273"/>
      <c r="AC494" s="273"/>
      <c r="AD494" s="273"/>
      <c r="AE494" s="273"/>
      <c r="AF494" s="273"/>
      <c r="AG494" s="273"/>
      <c r="AH494" s="273"/>
      <c r="AI494" s="273"/>
      <c r="AJ494" s="273"/>
      <c r="AK494" s="273"/>
      <c r="AL494" s="273"/>
      <c r="AM494" s="273"/>
      <c r="AN494" s="273"/>
      <c r="AO494" s="273"/>
      <c r="AP494" s="273"/>
      <c r="AQ494" s="273"/>
      <c r="AR494" s="273"/>
      <c r="AS494" s="273"/>
      <c r="AT494" s="273"/>
      <c r="AU494" s="273"/>
      <c r="AV494" s="273"/>
    </row>
    <row r="495" spans="2:48" ht="12.75">
      <c r="B495" s="273"/>
      <c r="C495" s="273"/>
      <c r="D495" s="273"/>
      <c r="E495" s="273"/>
      <c r="F495" s="273"/>
      <c r="G495" s="273"/>
      <c r="H495" s="39"/>
      <c r="I495" s="273"/>
      <c r="J495" s="273"/>
      <c r="K495" s="273"/>
      <c r="L495" s="273"/>
      <c r="M495" s="273"/>
      <c r="N495" s="273"/>
      <c r="O495" s="273"/>
      <c r="P495" s="273"/>
      <c r="Q495" s="39"/>
      <c r="R495" s="273"/>
      <c r="S495" s="273"/>
      <c r="T495" s="273"/>
      <c r="U495" s="273"/>
      <c r="V495" s="273"/>
      <c r="W495" s="273"/>
      <c r="X495" s="39"/>
      <c r="Y495" s="273"/>
      <c r="Z495" s="273"/>
      <c r="AA495" s="273"/>
      <c r="AB495" s="273"/>
      <c r="AC495" s="273"/>
      <c r="AD495" s="273"/>
      <c r="AE495" s="273"/>
      <c r="AF495" s="273"/>
      <c r="AG495" s="273"/>
      <c r="AH495" s="273"/>
      <c r="AI495" s="273"/>
      <c r="AJ495" s="273"/>
      <c r="AK495" s="273"/>
      <c r="AL495" s="273"/>
      <c r="AM495" s="273"/>
      <c r="AN495" s="273"/>
      <c r="AO495" s="273"/>
      <c r="AP495" s="273"/>
      <c r="AQ495" s="273"/>
      <c r="AR495" s="273"/>
      <c r="AS495" s="273"/>
      <c r="AT495" s="273"/>
      <c r="AU495" s="273"/>
      <c r="AV495" s="273"/>
    </row>
    <row r="496" spans="2:48" ht="12.75">
      <c r="B496" s="273"/>
      <c r="C496" s="273"/>
      <c r="D496" s="273"/>
      <c r="E496" s="273"/>
      <c r="F496" s="273"/>
      <c r="G496" s="273"/>
      <c r="H496" s="39"/>
      <c r="I496" s="273"/>
      <c r="J496" s="273"/>
      <c r="K496" s="273"/>
      <c r="L496" s="273"/>
      <c r="M496" s="273"/>
      <c r="N496" s="273"/>
      <c r="O496" s="273"/>
      <c r="P496" s="273"/>
      <c r="Q496" s="39"/>
      <c r="R496" s="273"/>
      <c r="S496" s="273"/>
      <c r="T496" s="273"/>
      <c r="U496" s="273"/>
      <c r="V496" s="273"/>
      <c r="W496" s="273"/>
      <c r="X496" s="39"/>
      <c r="Y496" s="273"/>
      <c r="Z496" s="273"/>
      <c r="AA496" s="273"/>
      <c r="AB496" s="273"/>
      <c r="AC496" s="273"/>
      <c r="AD496" s="273"/>
      <c r="AE496" s="273"/>
      <c r="AF496" s="273"/>
      <c r="AG496" s="273"/>
      <c r="AH496" s="273"/>
      <c r="AI496" s="273"/>
      <c r="AJ496" s="273"/>
      <c r="AK496" s="273"/>
      <c r="AL496" s="273"/>
      <c r="AM496" s="273"/>
      <c r="AN496" s="273"/>
      <c r="AO496" s="273"/>
      <c r="AP496" s="273"/>
      <c r="AQ496" s="273"/>
      <c r="AR496" s="273"/>
      <c r="AS496" s="273"/>
      <c r="AT496" s="273"/>
      <c r="AU496" s="273"/>
      <c r="AV496" s="273"/>
    </row>
    <row r="497" spans="2:48" ht="12.75">
      <c r="B497" s="273"/>
      <c r="C497" s="273"/>
      <c r="D497" s="273"/>
      <c r="E497" s="273"/>
      <c r="F497" s="273"/>
      <c r="G497" s="273"/>
      <c r="H497" s="39"/>
      <c r="I497" s="273"/>
      <c r="J497" s="273"/>
      <c r="K497" s="273"/>
      <c r="L497" s="273"/>
      <c r="M497" s="273"/>
      <c r="N497" s="273"/>
      <c r="O497" s="273"/>
      <c r="P497" s="273"/>
      <c r="Q497" s="39"/>
      <c r="R497" s="273"/>
      <c r="S497" s="273"/>
      <c r="T497" s="273"/>
      <c r="U497" s="273"/>
      <c r="V497" s="273"/>
      <c r="W497" s="273"/>
      <c r="X497" s="39"/>
      <c r="Y497" s="273"/>
      <c r="Z497" s="273"/>
      <c r="AA497" s="273"/>
      <c r="AB497" s="273"/>
      <c r="AC497" s="273"/>
      <c r="AD497" s="273"/>
      <c r="AE497" s="273"/>
      <c r="AF497" s="273"/>
      <c r="AG497" s="273"/>
      <c r="AH497" s="273"/>
      <c r="AI497" s="273"/>
      <c r="AJ497" s="273"/>
      <c r="AK497" s="273"/>
      <c r="AL497" s="273"/>
      <c r="AM497" s="273"/>
      <c r="AN497" s="273"/>
      <c r="AO497" s="273"/>
      <c r="AP497" s="273"/>
      <c r="AQ497" s="273"/>
      <c r="AR497" s="273"/>
      <c r="AS497" s="273"/>
      <c r="AT497" s="273"/>
      <c r="AU497" s="273"/>
      <c r="AV497" s="273"/>
    </row>
    <row r="498" spans="2:48" ht="12.75">
      <c r="B498" s="273"/>
      <c r="C498" s="273"/>
      <c r="D498" s="273"/>
      <c r="E498" s="273"/>
      <c r="F498" s="273"/>
      <c r="G498" s="273"/>
      <c r="H498" s="39"/>
      <c r="I498" s="273"/>
      <c r="J498" s="273"/>
      <c r="K498" s="273"/>
      <c r="L498" s="273"/>
      <c r="M498" s="273"/>
      <c r="N498" s="273"/>
      <c r="O498" s="273"/>
      <c r="P498" s="273"/>
      <c r="Q498" s="39"/>
      <c r="R498" s="273"/>
      <c r="S498" s="273"/>
      <c r="T498" s="273"/>
      <c r="U498" s="273"/>
      <c r="V498" s="273"/>
      <c r="W498" s="273"/>
      <c r="X498" s="39"/>
      <c r="Y498" s="273"/>
      <c r="Z498" s="273"/>
      <c r="AA498" s="273"/>
      <c r="AB498" s="273"/>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row>
    <row r="499" spans="2:48" ht="12.75">
      <c r="B499" s="273"/>
      <c r="C499" s="273"/>
      <c r="D499" s="273"/>
      <c r="E499" s="273"/>
      <c r="F499" s="273"/>
      <c r="G499" s="273"/>
      <c r="H499" s="39"/>
      <c r="I499" s="273"/>
      <c r="J499" s="273"/>
      <c r="K499" s="273"/>
      <c r="L499" s="273"/>
      <c r="M499" s="273"/>
      <c r="N499" s="273"/>
      <c r="O499" s="273"/>
      <c r="P499" s="273"/>
      <c r="Q499" s="39"/>
      <c r="R499" s="273"/>
      <c r="S499" s="273"/>
      <c r="T499" s="273"/>
      <c r="U499" s="273"/>
      <c r="V499" s="273"/>
      <c r="W499" s="273"/>
      <c r="X499" s="39"/>
      <c r="Y499" s="273"/>
      <c r="Z499" s="273"/>
      <c r="AA499" s="273"/>
      <c r="AB499" s="273"/>
      <c r="AC499" s="273"/>
      <c r="AD499" s="273"/>
      <c r="AE499" s="273"/>
      <c r="AF499" s="273"/>
      <c r="AG499" s="273"/>
      <c r="AH499" s="273"/>
      <c r="AI499" s="273"/>
      <c r="AJ499" s="273"/>
      <c r="AK499" s="273"/>
      <c r="AL499" s="273"/>
      <c r="AM499" s="273"/>
      <c r="AN499" s="273"/>
      <c r="AO499" s="273"/>
      <c r="AP499" s="273"/>
      <c r="AQ499" s="273"/>
      <c r="AR499" s="273"/>
      <c r="AS499" s="273"/>
      <c r="AT499" s="273"/>
      <c r="AU499" s="273"/>
      <c r="AV499" s="273"/>
    </row>
    <row r="500" spans="2:48" ht="12.75">
      <c r="B500" s="273"/>
      <c r="C500" s="273"/>
      <c r="D500" s="273"/>
      <c r="E500" s="273"/>
      <c r="F500" s="273"/>
      <c r="G500" s="273"/>
      <c r="H500" s="39"/>
      <c r="I500" s="273"/>
      <c r="J500" s="273"/>
      <c r="K500" s="273"/>
      <c r="L500" s="273"/>
      <c r="M500" s="273"/>
      <c r="N500" s="273"/>
      <c r="O500" s="273"/>
      <c r="P500" s="273"/>
      <c r="Q500" s="39"/>
      <c r="R500" s="273"/>
      <c r="S500" s="273"/>
      <c r="T500" s="273"/>
      <c r="U500" s="273"/>
      <c r="V500" s="273"/>
      <c r="W500" s="273"/>
      <c r="X500" s="39"/>
      <c r="Y500" s="273"/>
      <c r="Z500" s="273"/>
      <c r="AA500" s="273"/>
      <c r="AB500" s="273"/>
      <c r="AC500" s="273"/>
      <c r="AD500" s="273"/>
      <c r="AE500" s="273"/>
      <c r="AF500" s="273"/>
      <c r="AG500" s="273"/>
      <c r="AH500" s="273"/>
      <c r="AI500" s="273"/>
      <c r="AJ500" s="273"/>
      <c r="AK500" s="273"/>
      <c r="AL500" s="273"/>
      <c r="AM500" s="273"/>
      <c r="AN500" s="273"/>
      <c r="AO500" s="273"/>
      <c r="AP500" s="273"/>
      <c r="AQ500" s="273"/>
      <c r="AR500" s="273"/>
      <c r="AS500" s="273"/>
      <c r="AT500" s="273"/>
      <c r="AU500" s="273"/>
      <c r="AV500" s="273"/>
    </row>
    <row r="501" spans="2:48" ht="12.75">
      <c r="B501" s="273"/>
      <c r="C501" s="273"/>
      <c r="D501" s="273"/>
      <c r="E501" s="273"/>
      <c r="F501" s="273"/>
      <c r="G501" s="273"/>
      <c r="H501" s="39"/>
      <c r="I501" s="273"/>
      <c r="J501" s="273"/>
      <c r="K501" s="273"/>
      <c r="L501" s="273"/>
      <c r="M501" s="273"/>
      <c r="N501" s="273"/>
      <c r="O501" s="273"/>
      <c r="P501" s="273"/>
      <c r="Q501" s="39"/>
      <c r="R501" s="273"/>
      <c r="S501" s="273"/>
      <c r="T501" s="273"/>
      <c r="U501" s="273"/>
      <c r="V501" s="273"/>
      <c r="W501" s="273"/>
      <c r="X501" s="39"/>
      <c r="Y501" s="273"/>
      <c r="Z501" s="273"/>
      <c r="AA501" s="273"/>
      <c r="AB501" s="273"/>
      <c r="AC501" s="273"/>
      <c r="AD501" s="273"/>
      <c r="AE501" s="273"/>
      <c r="AF501" s="273"/>
      <c r="AG501" s="273"/>
      <c r="AH501" s="273"/>
      <c r="AI501" s="273"/>
      <c r="AJ501" s="273"/>
      <c r="AK501" s="273"/>
      <c r="AL501" s="273"/>
      <c r="AM501" s="273"/>
      <c r="AN501" s="273"/>
      <c r="AO501" s="273"/>
      <c r="AP501" s="273"/>
      <c r="AQ501" s="273"/>
      <c r="AR501" s="273"/>
      <c r="AS501" s="273"/>
      <c r="AT501" s="273"/>
      <c r="AU501" s="273"/>
      <c r="AV501" s="273"/>
    </row>
    <row r="502" spans="2:48" ht="12.75">
      <c r="B502" s="273"/>
      <c r="C502" s="273"/>
      <c r="D502" s="273"/>
      <c r="E502" s="273"/>
      <c r="F502" s="273"/>
      <c r="G502" s="273"/>
      <c r="H502" s="39"/>
      <c r="I502" s="273"/>
      <c r="J502" s="273"/>
      <c r="K502" s="273"/>
      <c r="L502" s="273"/>
      <c r="M502" s="273"/>
      <c r="N502" s="273"/>
      <c r="O502" s="273"/>
      <c r="P502" s="273"/>
      <c r="Q502" s="39"/>
      <c r="R502" s="273"/>
      <c r="S502" s="273"/>
      <c r="T502" s="273"/>
      <c r="U502" s="273"/>
      <c r="V502" s="273"/>
      <c r="W502" s="273"/>
      <c r="X502" s="39"/>
      <c r="Y502" s="273"/>
      <c r="Z502" s="273"/>
      <c r="AA502" s="273"/>
      <c r="AB502" s="273"/>
      <c r="AC502" s="273"/>
      <c r="AD502" s="273"/>
      <c r="AE502" s="273"/>
      <c r="AF502" s="273"/>
      <c r="AG502" s="273"/>
      <c r="AH502" s="273"/>
      <c r="AI502" s="273"/>
      <c r="AJ502" s="273"/>
      <c r="AK502" s="273"/>
      <c r="AL502" s="273"/>
      <c r="AM502" s="273"/>
      <c r="AN502" s="273"/>
      <c r="AO502" s="273"/>
      <c r="AP502" s="273"/>
      <c r="AQ502" s="273"/>
      <c r="AR502" s="273"/>
      <c r="AS502" s="273"/>
      <c r="AT502" s="273"/>
      <c r="AU502" s="273"/>
      <c r="AV502" s="273"/>
    </row>
    <row r="503" spans="2:48" ht="12.75">
      <c r="B503" s="273"/>
      <c r="C503" s="273"/>
      <c r="D503" s="273"/>
      <c r="E503" s="273"/>
      <c r="F503" s="273"/>
      <c r="G503" s="273"/>
      <c r="H503" s="39"/>
      <c r="I503" s="273"/>
      <c r="J503" s="273"/>
      <c r="K503" s="273"/>
      <c r="L503" s="273"/>
      <c r="M503" s="273"/>
      <c r="N503" s="273"/>
      <c r="O503" s="273"/>
      <c r="P503" s="273"/>
      <c r="Q503" s="39"/>
      <c r="R503" s="273"/>
      <c r="S503" s="273"/>
      <c r="T503" s="273"/>
      <c r="U503" s="273"/>
      <c r="V503" s="273"/>
      <c r="W503" s="273"/>
      <c r="X503" s="39"/>
      <c r="Y503" s="273"/>
      <c r="Z503" s="273"/>
      <c r="AA503" s="273"/>
      <c r="AB503" s="273"/>
      <c r="AC503" s="273"/>
      <c r="AD503" s="273"/>
      <c r="AE503" s="273"/>
      <c r="AF503" s="273"/>
      <c r="AG503" s="273"/>
      <c r="AH503" s="273"/>
      <c r="AI503" s="273"/>
      <c r="AJ503" s="273"/>
      <c r="AK503" s="273"/>
      <c r="AL503" s="273"/>
      <c r="AM503" s="273"/>
      <c r="AN503" s="273"/>
      <c r="AO503" s="273"/>
      <c r="AP503" s="273"/>
      <c r="AQ503" s="273"/>
      <c r="AR503" s="273"/>
      <c r="AS503" s="273"/>
      <c r="AT503" s="273"/>
      <c r="AU503" s="273"/>
      <c r="AV503" s="273"/>
    </row>
    <row r="504" spans="2:48" ht="12.75">
      <c r="B504" s="273"/>
      <c r="C504" s="273"/>
      <c r="D504" s="273"/>
      <c r="E504" s="273"/>
      <c r="F504" s="273"/>
      <c r="G504" s="273"/>
      <c r="H504" s="39"/>
      <c r="I504" s="273"/>
      <c r="J504" s="273"/>
      <c r="K504" s="273"/>
      <c r="L504" s="273"/>
      <c r="M504" s="273"/>
      <c r="N504" s="273"/>
      <c r="O504" s="273"/>
      <c r="P504" s="273"/>
      <c r="Q504" s="39"/>
      <c r="R504" s="273"/>
      <c r="S504" s="273"/>
      <c r="T504" s="273"/>
      <c r="U504" s="273"/>
      <c r="V504" s="273"/>
      <c r="W504" s="273"/>
      <c r="X504" s="39"/>
      <c r="Y504" s="273"/>
      <c r="Z504" s="273"/>
      <c r="AA504" s="273"/>
      <c r="AB504" s="273"/>
      <c r="AC504" s="273"/>
      <c r="AD504" s="273"/>
      <c r="AE504" s="273"/>
      <c r="AF504" s="273"/>
      <c r="AG504" s="273"/>
      <c r="AH504" s="273"/>
      <c r="AI504" s="273"/>
      <c r="AJ504" s="273"/>
      <c r="AK504" s="273"/>
      <c r="AL504" s="273"/>
      <c r="AM504" s="273"/>
      <c r="AN504" s="273"/>
      <c r="AO504" s="273"/>
      <c r="AP504" s="273"/>
      <c r="AQ504" s="273"/>
      <c r="AR504" s="273"/>
      <c r="AS504" s="273"/>
      <c r="AT504" s="273"/>
      <c r="AU504" s="273"/>
      <c r="AV504" s="273"/>
    </row>
    <row r="505" spans="2:48" ht="12.75">
      <c r="B505" s="273"/>
      <c r="C505" s="273"/>
      <c r="D505" s="273"/>
      <c r="E505" s="273"/>
      <c r="F505" s="273"/>
      <c r="G505" s="273"/>
      <c r="H505" s="39"/>
      <c r="I505" s="273"/>
      <c r="J505" s="273"/>
      <c r="K505" s="273"/>
      <c r="L505" s="273"/>
      <c r="M505" s="273"/>
      <c r="N505" s="273"/>
      <c r="O505" s="273"/>
      <c r="P505" s="273"/>
      <c r="Q505" s="39"/>
      <c r="R505" s="273"/>
      <c r="S505" s="273"/>
      <c r="T505" s="273"/>
      <c r="U505" s="273"/>
      <c r="V505" s="273"/>
      <c r="W505" s="273"/>
      <c r="X505" s="39"/>
      <c r="Y505" s="273"/>
      <c r="Z505" s="273"/>
      <c r="AA505" s="273"/>
      <c r="AB505" s="273"/>
      <c r="AC505" s="273"/>
      <c r="AD505" s="273"/>
      <c r="AE505" s="273"/>
      <c r="AF505" s="273"/>
      <c r="AG505" s="273"/>
      <c r="AH505" s="273"/>
      <c r="AI505" s="273"/>
      <c r="AJ505" s="273"/>
      <c r="AK505" s="273"/>
      <c r="AL505" s="273"/>
      <c r="AM505" s="273"/>
      <c r="AN505" s="273"/>
      <c r="AO505" s="273"/>
      <c r="AP505" s="273"/>
      <c r="AQ505" s="273"/>
      <c r="AR505" s="273"/>
      <c r="AS505" s="273"/>
      <c r="AT505" s="273"/>
      <c r="AU505" s="273"/>
      <c r="AV505" s="273"/>
    </row>
    <row r="506" spans="2:48" ht="12.75">
      <c r="B506" s="273"/>
      <c r="C506" s="273"/>
      <c r="D506" s="273"/>
      <c r="E506" s="273"/>
      <c r="F506" s="273"/>
      <c r="G506" s="273"/>
      <c r="H506" s="39"/>
      <c r="I506" s="273"/>
      <c r="J506" s="273"/>
      <c r="K506" s="273"/>
      <c r="L506" s="273"/>
      <c r="M506" s="273"/>
      <c r="N506" s="273"/>
      <c r="O506" s="273"/>
      <c r="P506" s="273"/>
      <c r="Q506" s="39"/>
      <c r="R506" s="273"/>
      <c r="S506" s="273"/>
      <c r="T506" s="273"/>
      <c r="U506" s="273"/>
      <c r="V506" s="273"/>
      <c r="W506" s="273"/>
      <c r="X506" s="39"/>
      <c r="Y506" s="273"/>
      <c r="Z506" s="273"/>
      <c r="AA506" s="273"/>
      <c r="AB506" s="273"/>
      <c r="AC506" s="273"/>
      <c r="AD506" s="273"/>
      <c r="AE506" s="273"/>
      <c r="AF506" s="273"/>
      <c r="AG506" s="273"/>
      <c r="AH506" s="273"/>
      <c r="AI506" s="273"/>
      <c r="AJ506" s="273"/>
      <c r="AK506" s="273"/>
      <c r="AL506" s="273"/>
      <c r="AM506" s="273"/>
      <c r="AN506" s="273"/>
      <c r="AO506" s="273"/>
      <c r="AP506" s="273"/>
      <c r="AQ506" s="273"/>
      <c r="AR506" s="273"/>
      <c r="AS506" s="273"/>
      <c r="AT506" s="273"/>
      <c r="AU506" s="273"/>
      <c r="AV506" s="273"/>
    </row>
    <row r="507" spans="2:48" ht="12.75">
      <c r="B507" s="273"/>
      <c r="C507" s="273"/>
      <c r="D507" s="273"/>
      <c r="E507" s="273"/>
      <c r="F507" s="273"/>
      <c r="G507" s="273"/>
      <c r="H507" s="39"/>
      <c r="I507" s="273"/>
      <c r="J507" s="273"/>
      <c r="K507" s="273"/>
      <c r="L507" s="273"/>
      <c r="M507" s="273"/>
      <c r="N507" s="273"/>
      <c r="O507" s="273"/>
      <c r="P507" s="273"/>
      <c r="Q507" s="39"/>
      <c r="R507" s="273"/>
      <c r="S507" s="273"/>
      <c r="T507" s="273"/>
      <c r="U507" s="273"/>
      <c r="V507" s="273"/>
      <c r="W507" s="273"/>
      <c r="X507" s="39"/>
      <c r="Y507" s="273"/>
      <c r="Z507" s="273"/>
      <c r="AA507" s="273"/>
      <c r="AB507" s="273"/>
      <c r="AC507" s="273"/>
      <c r="AD507" s="273"/>
      <c r="AE507" s="273"/>
      <c r="AF507" s="273"/>
      <c r="AG507" s="273"/>
      <c r="AH507" s="273"/>
      <c r="AI507" s="273"/>
      <c r="AJ507" s="273"/>
      <c r="AK507" s="273"/>
      <c r="AL507" s="273"/>
      <c r="AM507" s="273"/>
      <c r="AN507" s="273"/>
      <c r="AO507" s="273"/>
      <c r="AP507" s="273"/>
      <c r="AQ507" s="273"/>
      <c r="AR507" s="273"/>
      <c r="AS507" s="273"/>
      <c r="AT507" s="273"/>
      <c r="AU507" s="273"/>
      <c r="AV507" s="273"/>
    </row>
    <row r="508" spans="2:48" ht="12.75">
      <c r="B508" s="273"/>
      <c r="C508" s="273"/>
      <c r="D508" s="273"/>
      <c r="E508" s="273"/>
      <c r="F508" s="273"/>
      <c r="G508" s="273"/>
      <c r="H508" s="39"/>
      <c r="I508" s="273"/>
      <c r="J508" s="273"/>
      <c r="K508" s="273"/>
      <c r="L508" s="273"/>
      <c r="M508" s="273"/>
      <c r="N508" s="273"/>
      <c r="O508" s="273"/>
      <c r="P508" s="273"/>
      <c r="Q508" s="39"/>
      <c r="R508" s="273"/>
      <c r="S508" s="273"/>
      <c r="T508" s="273"/>
      <c r="U508" s="273"/>
      <c r="V508" s="273"/>
      <c r="W508" s="273"/>
      <c r="X508" s="39"/>
      <c r="Y508" s="273"/>
      <c r="Z508" s="273"/>
      <c r="AA508" s="273"/>
      <c r="AB508" s="273"/>
      <c r="AC508" s="273"/>
      <c r="AD508" s="273"/>
      <c r="AE508" s="273"/>
      <c r="AF508" s="273"/>
      <c r="AG508" s="273"/>
      <c r="AH508" s="273"/>
      <c r="AI508" s="273"/>
      <c r="AJ508" s="273"/>
      <c r="AK508" s="273"/>
      <c r="AL508" s="273"/>
      <c r="AM508" s="273"/>
      <c r="AN508" s="273"/>
      <c r="AO508" s="273"/>
      <c r="AP508" s="273"/>
      <c r="AQ508" s="273"/>
      <c r="AR508" s="273"/>
      <c r="AS508" s="273"/>
      <c r="AT508" s="273"/>
      <c r="AU508" s="273"/>
      <c r="AV508" s="273"/>
    </row>
    <row r="509" spans="2:48" ht="12.75">
      <c r="B509" s="273"/>
      <c r="C509" s="273"/>
      <c r="D509" s="273"/>
      <c r="E509" s="273"/>
      <c r="F509" s="273"/>
      <c r="G509" s="273"/>
      <c r="H509" s="39"/>
      <c r="I509" s="273"/>
      <c r="J509" s="273"/>
      <c r="K509" s="273"/>
      <c r="L509" s="273"/>
      <c r="M509" s="273"/>
      <c r="N509" s="273"/>
      <c r="O509" s="273"/>
      <c r="P509" s="273"/>
      <c r="Q509" s="39"/>
      <c r="R509" s="273"/>
      <c r="S509" s="273"/>
      <c r="T509" s="273"/>
      <c r="U509" s="273"/>
      <c r="V509" s="273"/>
      <c r="W509" s="273"/>
      <c r="X509" s="39"/>
      <c r="Y509" s="273"/>
      <c r="Z509" s="273"/>
      <c r="AA509" s="273"/>
      <c r="AB509" s="273"/>
      <c r="AC509" s="273"/>
      <c r="AD509" s="273"/>
      <c r="AE509" s="273"/>
      <c r="AF509" s="273"/>
      <c r="AG509" s="273"/>
      <c r="AH509" s="273"/>
      <c r="AI509" s="273"/>
      <c r="AJ509" s="273"/>
      <c r="AK509" s="273"/>
      <c r="AL509" s="273"/>
      <c r="AM509" s="273"/>
      <c r="AN509" s="273"/>
      <c r="AO509" s="273"/>
      <c r="AP509" s="273"/>
      <c r="AQ509" s="273"/>
      <c r="AR509" s="273"/>
      <c r="AS509" s="273"/>
      <c r="AT509" s="273"/>
      <c r="AU509" s="273"/>
      <c r="AV509" s="273"/>
    </row>
    <row r="510" spans="2:48" ht="12.75">
      <c r="B510" s="273"/>
      <c r="C510" s="273"/>
      <c r="D510" s="273"/>
      <c r="E510" s="273"/>
      <c r="F510" s="273"/>
      <c r="G510" s="273"/>
      <c r="H510" s="39"/>
      <c r="I510" s="273"/>
      <c r="J510" s="273"/>
      <c r="K510" s="273"/>
      <c r="L510" s="273"/>
      <c r="M510" s="273"/>
      <c r="N510" s="273"/>
      <c r="O510" s="273"/>
      <c r="P510" s="273"/>
      <c r="Q510" s="39"/>
      <c r="R510" s="273"/>
      <c r="S510" s="273"/>
      <c r="T510" s="273"/>
      <c r="U510" s="273"/>
      <c r="V510" s="273"/>
      <c r="W510" s="273"/>
      <c r="X510" s="39"/>
      <c r="Y510" s="273"/>
      <c r="Z510" s="273"/>
      <c r="AA510" s="273"/>
      <c r="AB510" s="273"/>
      <c r="AC510" s="273"/>
      <c r="AD510" s="273"/>
      <c r="AE510" s="273"/>
      <c r="AF510" s="273"/>
      <c r="AG510" s="273"/>
      <c r="AH510" s="273"/>
      <c r="AI510" s="273"/>
      <c r="AJ510" s="273"/>
      <c r="AK510" s="273"/>
      <c r="AL510" s="273"/>
      <c r="AM510" s="273"/>
      <c r="AN510" s="273"/>
      <c r="AO510" s="273"/>
      <c r="AP510" s="273"/>
      <c r="AQ510" s="273"/>
      <c r="AR510" s="273"/>
      <c r="AS510" s="273"/>
      <c r="AT510" s="273"/>
      <c r="AU510" s="273"/>
      <c r="AV510" s="273"/>
    </row>
    <row r="511" spans="2:48" ht="12.75">
      <c r="B511" s="273"/>
      <c r="C511" s="273"/>
      <c r="D511" s="273"/>
      <c r="E511" s="273"/>
      <c r="F511" s="273"/>
      <c r="G511" s="273"/>
      <c r="H511" s="39"/>
      <c r="I511" s="273"/>
      <c r="J511" s="273"/>
      <c r="K511" s="273"/>
      <c r="L511" s="273"/>
      <c r="M511" s="273"/>
      <c r="N511" s="273"/>
      <c r="O511" s="273"/>
      <c r="P511" s="273"/>
      <c r="Q511" s="39"/>
      <c r="R511" s="273"/>
      <c r="S511" s="273"/>
      <c r="T511" s="273"/>
      <c r="U511" s="273"/>
      <c r="V511" s="273"/>
      <c r="W511" s="273"/>
      <c r="X511" s="39"/>
      <c r="Y511" s="273"/>
      <c r="Z511" s="273"/>
      <c r="AA511" s="273"/>
      <c r="AB511" s="273"/>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row>
    <row r="512" spans="2:48" ht="12.75">
      <c r="B512" s="273"/>
      <c r="C512" s="273"/>
      <c r="D512" s="273"/>
      <c r="E512" s="273"/>
      <c r="F512" s="273"/>
      <c r="G512" s="273"/>
      <c r="H512" s="39"/>
      <c r="I512" s="273"/>
      <c r="J512" s="273"/>
      <c r="K512" s="273"/>
      <c r="L512" s="273"/>
      <c r="M512" s="273"/>
      <c r="N512" s="273"/>
      <c r="O512" s="273"/>
      <c r="P512" s="273"/>
      <c r="Q512" s="39"/>
      <c r="R512" s="273"/>
      <c r="S512" s="273"/>
      <c r="T512" s="273"/>
      <c r="U512" s="273"/>
      <c r="V512" s="273"/>
      <c r="W512" s="273"/>
      <c r="X512" s="39"/>
      <c r="Y512" s="273"/>
      <c r="Z512" s="273"/>
      <c r="AA512" s="273"/>
      <c r="AB512" s="273"/>
      <c r="AC512" s="273"/>
      <c r="AD512" s="273"/>
      <c r="AE512" s="273"/>
      <c r="AF512" s="273"/>
      <c r="AG512" s="273"/>
      <c r="AH512" s="273"/>
      <c r="AI512" s="273"/>
      <c r="AJ512" s="273"/>
      <c r="AK512" s="273"/>
      <c r="AL512" s="273"/>
      <c r="AM512" s="273"/>
      <c r="AN512" s="273"/>
      <c r="AO512" s="273"/>
      <c r="AP512" s="273"/>
      <c r="AQ512" s="273"/>
      <c r="AR512" s="273"/>
      <c r="AS512" s="273"/>
      <c r="AT512" s="273"/>
      <c r="AU512" s="273"/>
      <c r="AV512" s="273"/>
    </row>
    <row r="513" spans="2:48" ht="12.75">
      <c r="B513" s="273"/>
      <c r="C513" s="273"/>
      <c r="D513" s="273"/>
      <c r="E513" s="273"/>
      <c r="F513" s="273"/>
      <c r="G513" s="273"/>
      <c r="H513" s="39"/>
      <c r="I513" s="273"/>
      <c r="J513" s="273"/>
      <c r="K513" s="273"/>
      <c r="L513" s="273"/>
      <c r="M513" s="273"/>
      <c r="N513" s="273"/>
      <c r="O513" s="273"/>
      <c r="P513" s="273"/>
      <c r="Q513" s="39"/>
      <c r="R513" s="273"/>
      <c r="S513" s="273"/>
      <c r="T513" s="273"/>
      <c r="U513" s="273"/>
      <c r="V513" s="273"/>
      <c r="W513" s="273"/>
      <c r="X513" s="39"/>
      <c r="Y513" s="273"/>
      <c r="Z513" s="273"/>
      <c r="AA513" s="273"/>
      <c r="AB513" s="273"/>
      <c r="AC513" s="273"/>
      <c r="AD513" s="273"/>
      <c r="AE513" s="273"/>
      <c r="AF513" s="273"/>
      <c r="AG513" s="273"/>
      <c r="AH513" s="273"/>
      <c r="AI513" s="273"/>
      <c r="AJ513" s="273"/>
      <c r="AK513" s="273"/>
      <c r="AL513" s="273"/>
      <c r="AM513" s="273"/>
      <c r="AN513" s="273"/>
      <c r="AO513" s="273"/>
      <c r="AP513" s="273"/>
      <c r="AQ513" s="273"/>
      <c r="AR513" s="273"/>
      <c r="AS513" s="273"/>
      <c r="AT513" s="273"/>
      <c r="AU513" s="273"/>
      <c r="AV513" s="273"/>
    </row>
    <row r="514" spans="2:48" ht="12.75">
      <c r="B514" s="273"/>
      <c r="C514" s="273"/>
      <c r="D514" s="273"/>
      <c r="E514" s="273"/>
      <c r="F514" s="273"/>
      <c r="G514" s="273"/>
      <c r="H514" s="39"/>
      <c r="I514" s="273"/>
      <c r="J514" s="273"/>
      <c r="K514" s="273"/>
      <c r="L514" s="273"/>
      <c r="M514" s="273"/>
      <c r="N514" s="273"/>
      <c r="O514" s="273"/>
      <c r="P514" s="273"/>
      <c r="Q514" s="39"/>
      <c r="R514" s="273"/>
      <c r="S514" s="273"/>
      <c r="T514" s="273"/>
      <c r="U514" s="273"/>
      <c r="V514" s="273"/>
      <c r="W514" s="273"/>
      <c r="X514" s="39"/>
      <c r="Y514" s="273"/>
      <c r="Z514" s="273"/>
      <c r="AA514" s="273"/>
      <c r="AB514" s="273"/>
      <c r="AC514" s="273"/>
      <c r="AD514" s="273"/>
      <c r="AE514" s="273"/>
      <c r="AF514" s="273"/>
      <c r="AG514" s="273"/>
      <c r="AH514" s="273"/>
      <c r="AI514" s="273"/>
      <c r="AJ514" s="273"/>
      <c r="AK514" s="273"/>
      <c r="AL514" s="273"/>
      <c r="AM514" s="273"/>
      <c r="AN514" s="273"/>
      <c r="AO514" s="273"/>
      <c r="AP514" s="273"/>
      <c r="AQ514" s="273"/>
      <c r="AR514" s="273"/>
      <c r="AS514" s="273"/>
      <c r="AT514" s="273"/>
      <c r="AU514" s="273"/>
      <c r="AV514" s="273"/>
    </row>
    <row r="515" spans="2:48" ht="12.75">
      <c r="B515" s="273"/>
      <c r="C515" s="273"/>
      <c r="D515" s="273"/>
      <c r="E515" s="273"/>
      <c r="F515" s="273"/>
      <c r="G515" s="273"/>
      <c r="H515" s="39"/>
      <c r="I515" s="273"/>
      <c r="J515" s="273"/>
      <c r="K515" s="273"/>
      <c r="L515" s="273"/>
      <c r="M515" s="273"/>
      <c r="N515" s="273"/>
      <c r="O515" s="273"/>
      <c r="P515" s="273"/>
      <c r="Q515" s="39"/>
      <c r="R515" s="273"/>
      <c r="S515" s="273"/>
      <c r="T515" s="273"/>
      <c r="U515" s="273"/>
      <c r="V515" s="273"/>
      <c r="W515" s="273"/>
      <c r="X515" s="39"/>
      <c r="Y515" s="273"/>
      <c r="Z515" s="273"/>
      <c r="AA515" s="273"/>
      <c r="AB515" s="273"/>
      <c r="AC515" s="273"/>
      <c r="AD515" s="273"/>
      <c r="AE515" s="273"/>
      <c r="AF515" s="273"/>
      <c r="AG515" s="273"/>
      <c r="AH515" s="273"/>
      <c r="AI515" s="273"/>
      <c r="AJ515" s="273"/>
      <c r="AK515" s="273"/>
      <c r="AL515" s="273"/>
      <c r="AM515" s="273"/>
      <c r="AN515" s="273"/>
      <c r="AO515" s="273"/>
      <c r="AP515" s="273"/>
      <c r="AQ515" s="273"/>
      <c r="AR515" s="273"/>
      <c r="AS515" s="273"/>
      <c r="AT515" s="273"/>
      <c r="AU515" s="273"/>
      <c r="AV515" s="273"/>
    </row>
    <row r="516" spans="2:48" ht="12.75">
      <c r="B516" s="273"/>
      <c r="C516" s="273"/>
      <c r="D516" s="273"/>
      <c r="E516" s="273"/>
      <c r="F516" s="273"/>
      <c r="G516" s="273"/>
      <c r="H516" s="39"/>
      <c r="I516" s="273"/>
      <c r="J516" s="273"/>
      <c r="K516" s="273"/>
      <c r="L516" s="273"/>
      <c r="M516" s="273"/>
      <c r="N516" s="273"/>
      <c r="O516" s="273"/>
      <c r="P516" s="273"/>
      <c r="Q516" s="39"/>
      <c r="R516" s="273"/>
      <c r="S516" s="273"/>
      <c r="T516" s="273"/>
      <c r="U516" s="273"/>
      <c r="V516" s="273"/>
      <c r="W516" s="273"/>
      <c r="X516" s="39"/>
      <c r="Y516" s="273"/>
      <c r="Z516" s="273"/>
      <c r="AA516" s="273"/>
      <c r="AB516" s="273"/>
      <c r="AC516" s="273"/>
      <c r="AD516" s="273"/>
      <c r="AE516" s="273"/>
      <c r="AF516" s="273"/>
      <c r="AG516" s="273"/>
      <c r="AH516" s="273"/>
      <c r="AI516" s="273"/>
      <c r="AJ516" s="273"/>
      <c r="AK516" s="273"/>
      <c r="AL516" s="273"/>
      <c r="AM516" s="273"/>
      <c r="AN516" s="273"/>
      <c r="AO516" s="273"/>
      <c r="AP516" s="273"/>
      <c r="AQ516" s="273"/>
      <c r="AR516" s="273"/>
      <c r="AS516" s="273"/>
      <c r="AT516" s="273"/>
      <c r="AU516" s="273"/>
      <c r="AV516" s="273"/>
    </row>
    <row r="517" spans="2:48" ht="12.75">
      <c r="B517" s="273"/>
      <c r="C517" s="273"/>
      <c r="D517" s="273"/>
      <c r="E517" s="273"/>
      <c r="F517" s="273"/>
      <c r="G517" s="273"/>
      <c r="H517" s="39"/>
      <c r="I517" s="273"/>
      <c r="J517" s="273"/>
      <c r="K517" s="273"/>
      <c r="L517" s="273"/>
      <c r="M517" s="273"/>
      <c r="N517" s="273"/>
      <c r="O517" s="273"/>
      <c r="P517" s="273"/>
      <c r="Q517" s="39"/>
      <c r="R517" s="273"/>
      <c r="S517" s="273"/>
      <c r="T517" s="273"/>
      <c r="U517" s="273"/>
      <c r="V517" s="273"/>
      <c r="W517" s="273"/>
      <c r="X517" s="39"/>
      <c r="Y517" s="273"/>
      <c r="Z517" s="273"/>
      <c r="AA517" s="273"/>
      <c r="AB517" s="273"/>
      <c r="AC517" s="273"/>
      <c r="AD517" s="273"/>
      <c r="AE517" s="273"/>
      <c r="AF517" s="273"/>
      <c r="AG517" s="273"/>
      <c r="AH517" s="273"/>
      <c r="AI517" s="273"/>
      <c r="AJ517" s="273"/>
      <c r="AK517" s="273"/>
      <c r="AL517" s="273"/>
      <c r="AM517" s="273"/>
      <c r="AN517" s="273"/>
      <c r="AO517" s="273"/>
      <c r="AP517" s="273"/>
      <c r="AQ517" s="273"/>
      <c r="AR517" s="273"/>
      <c r="AS517" s="273"/>
      <c r="AT517" s="273"/>
      <c r="AU517" s="273"/>
      <c r="AV517" s="273"/>
    </row>
    <row r="518" spans="2:48" ht="12.75">
      <c r="B518" s="273"/>
      <c r="C518" s="273"/>
      <c r="D518" s="273"/>
      <c r="E518" s="273"/>
      <c r="F518" s="273"/>
      <c r="G518" s="273"/>
      <c r="H518" s="39"/>
      <c r="I518" s="273"/>
      <c r="J518" s="273"/>
      <c r="K518" s="273"/>
      <c r="L518" s="273"/>
      <c r="M518" s="273"/>
      <c r="N518" s="273"/>
      <c r="O518" s="273"/>
      <c r="P518" s="273"/>
      <c r="Q518" s="39"/>
      <c r="R518" s="273"/>
      <c r="S518" s="273"/>
      <c r="T518" s="273"/>
      <c r="U518" s="273"/>
      <c r="V518" s="273"/>
      <c r="W518" s="273"/>
      <c r="X518" s="39"/>
      <c r="Y518" s="273"/>
      <c r="Z518" s="273"/>
      <c r="AA518" s="273"/>
      <c r="AB518" s="273"/>
      <c r="AC518" s="273"/>
      <c r="AD518" s="273"/>
      <c r="AE518" s="273"/>
      <c r="AF518" s="273"/>
      <c r="AG518" s="273"/>
      <c r="AH518" s="273"/>
      <c r="AI518" s="273"/>
      <c r="AJ518" s="273"/>
      <c r="AK518" s="273"/>
      <c r="AL518" s="273"/>
      <c r="AM518" s="273"/>
      <c r="AN518" s="273"/>
      <c r="AO518" s="273"/>
      <c r="AP518" s="273"/>
      <c r="AQ518" s="273"/>
      <c r="AR518" s="273"/>
      <c r="AS518" s="273"/>
      <c r="AT518" s="273"/>
      <c r="AU518" s="273"/>
      <c r="AV518" s="273"/>
    </row>
    <row r="519" spans="2:48" ht="12.75">
      <c r="B519" s="273"/>
      <c r="C519" s="273"/>
      <c r="D519" s="273"/>
      <c r="E519" s="273"/>
      <c r="F519" s="273"/>
      <c r="G519" s="273"/>
      <c r="H519" s="39"/>
      <c r="I519" s="273"/>
      <c r="J519" s="273"/>
      <c r="K519" s="273"/>
      <c r="L519" s="273"/>
      <c r="M519" s="273"/>
      <c r="N519" s="273"/>
      <c r="O519" s="273"/>
      <c r="P519" s="273"/>
      <c r="Q519" s="39"/>
      <c r="R519" s="273"/>
      <c r="S519" s="273"/>
      <c r="T519" s="273"/>
      <c r="U519" s="273"/>
      <c r="V519" s="273"/>
      <c r="W519" s="273"/>
      <c r="X519" s="39"/>
      <c r="Y519" s="273"/>
      <c r="Z519" s="273"/>
      <c r="AA519" s="273"/>
      <c r="AB519" s="273"/>
      <c r="AC519" s="273"/>
      <c r="AD519" s="273"/>
      <c r="AE519" s="273"/>
      <c r="AF519" s="273"/>
      <c r="AG519" s="273"/>
      <c r="AH519" s="273"/>
      <c r="AI519" s="273"/>
      <c r="AJ519" s="273"/>
      <c r="AK519" s="273"/>
      <c r="AL519" s="273"/>
      <c r="AM519" s="273"/>
      <c r="AN519" s="273"/>
      <c r="AO519" s="273"/>
      <c r="AP519" s="273"/>
      <c r="AQ519" s="273"/>
      <c r="AR519" s="273"/>
      <c r="AS519" s="273"/>
      <c r="AT519" s="273"/>
      <c r="AU519" s="273"/>
      <c r="AV519" s="273"/>
    </row>
    <row r="520" spans="2:48" ht="12.75">
      <c r="B520" s="273"/>
      <c r="C520" s="273"/>
      <c r="D520" s="273"/>
      <c r="E520" s="273"/>
      <c r="F520" s="273"/>
      <c r="G520" s="273"/>
      <c r="H520" s="39"/>
      <c r="I520" s="273"/>
      <c r="J520" s="273"/>
      <c r="K520" s="273"/>
      <c r="L520" s="273"/>
      <c r="M520" s="273"/>
      <c r="N520" s="273"/>
      <c r="O520" s="273"/>
      <c r="P520" s="273"/>
      <c r="Q520" s="39"/>
      <c r="R520" s="273"/>
      <c r="S520" s="273"/>
      <c r="T520" s="273"/>
      <c r="U520" s="273"/>
      <c r="V520" s="273"/>
      <c r="W520" s="273"/>
      <c r="X520" s="39"/>
      <c r="Y520" s="273"/>
      <c r="Z520" s="273"/>
      <c r="AA520" s="273"/>
      <c r="AB520" s="273"/>
      <c r="AC520" s="273"/>
      <c r="AD520" s="273"/>
      <c r="AE520" s="273"/>
      <c r="AF520" s="273"/>
      <c r="AG520" s="273"/>
      <c r="AH520" s="273"/>
      <c r="AI520" s="273"/>
      <c r="AJ520" s="273"/>
      <c r="AK520" s="273"/>
      <c r="AL520" s="273"/>
      <c r="AM520" s="273"/>
      <c r="AN520" s="273"/>
      <c r="AO520" s="273"/>
      <c r="AP520" s="273"/>
      <c r="AQ520" s="273"/>
      <c r="AR520" s="273"/>
      <c r="AS520" s="273"/>
      <c r="AT520" s="273"/>
      <c r="AU520" s="273"/>
      <c r="AV520" s="273"/>
    </row>
    <row r="521" spans="2:48" ht="12.75">
      <c r="B521" s="273"/>
      <c r="C521" s="273"/>
      <c r="D521" s="273"/>
      <c r="E521" s="273"/>
      <c r="F521" s="273"/>
      <c r="G521" s="273"/>
      <c r="H521" s="39"/>
      <c r="I521" s="273"/>
      <c r="J521" s="273"/>
      <c r="K521" s="273"/>
      <c r="L521" s="273"/>
      <c r="M521" s="273"/>
      <c r="N521" s="273"/>
      <c r="O521" s="273"/>
      <c r="P521" s="273"/>
      <c r="Q521" s="39"/>
      <c r="R521" s="273"/>
      <c r="S521" s="273"/>
      <c r="T521" s="273"/>
      <c r="U521" s="273"/>
      <c r="V521" s="273"/>
      <c r="W521" s="273"/>
      <c r="X521" s="39"/>
      <c r="Y521" s="273"/>
      <c r="Z521" s="273"/>
      <c r="AA521" s="273"/>
      <c r="AB521" s="273"/>
      <c r="AC521" s="273"/>
      <c r="AD521" s="273"/>
      <c r="AE521" s="273"/>
      <c r="AF521" s="273"/>
      <c r="AG521" s="273"/>
      <c r="AH521" s="273"/>
      <c r="AI521" s="273"/>
      <c r="AJ521" s="273"/>
      <c r="AK521" s="273"/>
      <c r="AL521" s="273"/>
      <c r="AM521" s="273"/>
      <c r="AN521" s="273"/>
      <c r="AO521" s="273"/>
      <c r="AP521" s="273"/>
      <c r="AQ521" s="273"/>
      <c r="AR521" s="273"/>
      <c r="AS521" s="273"/>
      <c r="AT521" s="273"/>
      <c r="AU521" s="273"/>
      <c r="AV521" s="273"/>
    </row>
    <row r="522" spans="2:48" ht="12.75">
      <c r="B522" s="273"/>
      <c r="C522" s="273"/>
      <c r="D522" s="273"/>
      <c r="E522" s="273"/>
      <c r="F522" s="273"/>
      <c r="G522" s="273"/>
      <c r="H522" s="39"/>
      <c r="I522" s="273"/>
      <c r="J522" s="273"/>
      <c r="K522" s="273"/>
      <c r="L522" s="273"/>
      <c r="M522" s="273"/>
      <c r="N522" s="273"/>
      <c r="O522" s="273"/>
      <c r="P522" s="273"/>
      <c r="Q522" s="39"/>
      <c r="R522" s="273"/>
      <c r="S522" s="273"/>
      <c r="T522" s="273"/>
      <c r="U522" s="273"/>
      <c r="V522" s="273"/>
      <c r="W522" s="273"/>
      <c r="X522" s="39"/>
      <c r="Y522" s="273"/>
      <c r="Z522" s="273"/>
      <c r="AA522" s="273"/>
      <c r="AB522" s="273"/>
      <c r="AC522" s="273"/>
      <c r="AD522" s="273"/>
      <c r="AE522" s="273"/>
      <c r="AF522" s="273"/>
      <c r="AG522" s="273"/>
      <c r="AH522" s="273"/>
      <c r="AI522" s="273"/>
      <c r="AJ522" s="273"/>
      <c r="AK522" s="273"/>
      <c r="AL522" s="273"/>
      <c r="AM522" s="273"/>
      <c r="AN522" s="273"/>
      <c r="AO522" s="273"/>
      <c r="AP522" s="273"/>
      <c r="AQ522" s="273"/>
      <c r="AR522" s="273"/>
      <c r="AS522" s="273"/>
      <c r="AT522" s="273"/>
      <c r="AU522" s="273"/>
      <c r="AV522" s="273"/>
    </row>
    <row r="523" spans="2:48" ht="12.75">
      <c r="B523" s="273"/>
      <c r="C523" s="273"/>
      <c r="D523" s="273"/>
      <c r="E523" s="273"/>
      <c r="F523" s="273"/>
      <c r="G523" s="273"/>
      <c r="H523" s="39"/>
      <c r="I523" s="273"/>
      <c r="J523" s="273"/>
      <c r="K523" s="273"/>
      <c r="L523" s="273"/>
      <c r="M523" s="273"/>
      <c r="N523" s="273"/>
      <c r="O523" s="273"/>
      <c r="P523" s="273"/>
      <c r="Q523" s="39"/>
      <c r="R523" s="273"/>
      <c r="S523" s="273"/>
      <c r="T523" s="273"/>
      <c r="U523" s="273"/>
      <c r="V523" s="273"/>
      <c r="W523" s="273"/>
      <c r="X523" s="39"/>
      <c r="Y523" s="273"/>
      <c r="Z523" s="273"/>
      <c r="AA523" s="273"/>
      <c r="AB523" s="273"/>
      <c r="AC523" s="273"/>
      <c r="AD523" s="273"/>
      <c r="AE523" s="273"/>
      <c r="AF523" s="273"/>
      <c r="AG523" s="273"/>
      <c r="AH523" s="273"/>
      <c r="AI523" s="273"/>
      <c r="AJ523" s="273"/>
      <c r="AK523" s="273"/>
      <c r="AL523" s="273"/>
      <c r="AM523" s="273"/>
      <c r="AN523" s="273"/>
      <c r="AO523" s="273"/>
      <c r="AP523" s="273"/>
      <c r="AQ523" s="273"/>
      <c r="AR523" s="273"/>
      <c r="AS523" s="273"/>
      <c r="AT523" s="273"/>
      <c r="AU523" s="273"/>
      <c r="AV523" s="273"/>
    </row>
    <row r="524" spans="2:48" ht="12.75">
      <c r="B524" s="273"/>
      <c r="C524" s="273"/>
      <c r="D524" s="273"/>
      <c r="E524" s="273"/>
      <c r="F524" s="273"/>
      <c r="G524" s="273"/>
      <c r="H524" s="39"/>
      <c r="I524" s="273"/>
      <c r="J524" s="273"/>
      <c r="K524" s="273"/>
      <c r="L524" s="273"/>
      <c r="M524" s="273"/>
      <c r="N524" s="273"/>
      <c r="O524" s="273"/>
      <c r="P524" s="273"/>
      <c r="Q524" s="39"/>
      <c r="R524" s="273"/>
      <c r="S524" s="273"/>
      <c r="T524" s="273"/>
      <c r="U524" s="273"/>
      <c r="V524" s="273"/>
      <c r="W524" s="273"/>
      <c r="X524" s="39"/>
      <c r="Y524" s="273"/>
      <c r="Z524" s="273"/>
      <c r="AA524" s="273"/>
      <c r="AB524" s="273"/>
      <c r="AC524" s="273"/>
      <c r="AD524" s="273"/>
      <c r="AE524" s="273"/>
      <c r="AF524" s="273"/>
      <c r="AG524" s="273"/>
      <c r="AH524" s="273"/>
      <c r="AI524" s="273"/>
      <c r="AJ524" s="273"/>
      <c r="AK524" s="273"/>
      <c r="AL524" s="273"/>
      <c r="AM524" s="273"/>
      <c r="AN524" s="273"/>
      <c r="AO524" s="273"/>
      <c r="AP524" s="273"/>
      <c r="AQ524" s="273"/>
      <c r="AR524" s="273"/>
      <c r="AS524" s="273"/>
      <c r="AT524" s="273"/>
      <c r="AU524" s="273"/>
      <c r="AV524" s="273"/>
    </row>
    <row r="525" spans="2:48" ht="12.75">
      <c r="B525" s="273"/>
      <c r="C525" s="273"/>
      <c r="D525" s="273"/>
      <c r="E525" s="273"/>
      <c r="F525" s="273"/>
      <c r="G525" s="273"/>
      <c r="H525" s="39"/>
      <c r="I525" s="273"/>
      <c r="J525" s="273"/>
      <c r="K525" s="273"/>
      <c r="L525" s="273"/>
      <c r="M525" s="273"/>
      <c r="N525" s="273"/>
      <c r="O525" s="273"/>
      <c r="P525" s="273"/>
      <c r="Q525" s="39"/>
      <c r="R525" s="273"/>
      <c r="S525" s="273"/>
      <c r="T525" s="273"/>
      <c r="U525" s="273"/>
      <c r="V525" s="273"/>
      <c r="W525" s="273"/>
      <c r="X525" s="39"/>
      <c r="Y525" s="273"/>
      <c r="Z525" s="273"/>
      <c r="AA525" s="273"/>
      <c r="AB525" s="273"/>
      <c r="AC525" s="273"/>
      <c r="AD525" s="273"/>
      <c r="AE525" s="273"/>
      <c r="AF525" s="273"/>
      <c r="AG525" s="273"/>
      <c r="AH525" s="273"/>
      <c r="AI525" s="273"/>
      <c r="AJ525" s="273"/>
      <c r="AK525" s="273"/>
      <c r="AL525" s="273"/>
      <c r="AM525" s="273"/>
      <c r="AN525" s="273"/>
      <c r="AO525" s="273"/>
      <c r="AP525" s="273"/>
      <c r="AQ525" s="273"/>
      <c r="AR525" s="273"/>
      <c r="AS525" s="273"/>
      <c r="AT525" s="273"/>
      <c r="AU525" s="273"/>
      <c r="AV525" s="273"/>
    </row>
    <row r="526" spans="2:48" ht="12.75">
      <c r="B526" s="273"/>
      <c r="C526" s="273"/>
      <c r="D526" s="273"/>
      <c r="E526" s="273"/>
      <c r="F526" s="273"/>
      <c r="G526" s="273"/>
      <c r="H526" s="39"/>
      <c r="I526" s="273"/>
      <c r="J526" s="273"/>
      <c r="K526" s="273"/>
      <c r="L526" s="273"/>
      <c r="M526" s="273"/>
      <c r="N526" s="273"/>
      <c r="O526" s="273"/>
      <c r="P526" s="273"/>
      <c r="Q526" s="39"/>
      <c r="R526" s="273"/>
      <c r="S526" s="273"/>
      <c r="T526" s="273"/>
      <c r="U526" s="273"/>
      <c r="V526" s="273"/>
      <c r="W526" s="273"/>
      <c r="X526" s="39"/>
      <c r="Y526" s="273"/>
      <c r="Z526" s="273"/>
      <c r="AA526" s="273"/>
      <c r="AB526" s="273"/>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row>
    <row r="527" spans="2:48" ht="12.75">
      <c r="B527" s="273"/>
      <c r="C527" s="273"/>
      <c r="D527" s="273"/>
      <c r="E527" s="273"/>
      <c r="F527" s="273"/>
      <c r="G527" s="273"/>
      <c r="H527" s="39"/>
      <c r="I527" s="273"/>
      <c r="J527" s="273"/>
      <c r="K527" s="273"/>
      <c r="L527" s="273"/>
      <c r="M527" s="273"/>
      <c r="N527" s="273"/>
      <c r="O527" s="273"/>
      <c r="P527" s="273"/>
      <c r="Q527" s="39"/>
      <c r="R527" s="273"/>
      <c r="S527" s="273"/>
      <c r="T527" s="273"/>
      <c r="U527" s="273"/>
      <c r="V527" s="273"/>
      <c r="W527" s="273"/>
      <c r="X527" s="39"/>
      <c r="Y527" s="273"/>
      <c r="Z527" s="273"/>
      <c r="AA527" s="273"/>
      <c r="AB527" s="273"/>
      <c r="AC527" s="273"/>
      <c r="AD527" s="273"/>
      <c r="AE527" s="273"/>
      <c r="AF527" s="273"/>
      <c r="AG527" s="273"/>
      <c r="AH527" s="273"/>
      <c r="AI527" s="273"/>
      <c r="AJ527" s="273"/>
      <c r="AK527" s="273"/>
      <c r="AL527" s="273"/>
      <c r="AM527" s="273"/>
      <c r="AN527" s="273"/>
      <c r="AO527" s="273"/>
      <c r="AP527" s="273"/>
      <c r="AQ527" s="273"/>
      <c r="AR527" s="273"/>
      <c r="AS527" s="273"/>
      <c r="AT527" s="273"/>
      <c r="AU527" s="273"/>
      <c r="AV527" s="273"/>
    </row>
    <row r="528" spans="2:48" ht="12.75">
      <c r="B528" s="273"/>
      <c r="C528" s="273"/>
      <c r="D528" s="273"/>
      <c r="E528" s="273"/>
      <c r="F528" s="273"/>
      <c r="G528" s="273"/>
      <c r="H528" s="39"/>
      <c r="I528" s="273"/>
      <c r="J528" s="273"/>
      <c r="K528" s="273"/>
      <c r="L528" s="273"/>
      <c r="M528" s="273"/>
      <c r="N528" s="273"/>
      <c r="O528" s="273"/>
      <c r="P528" s="273"/>
      <c r="Q528" s="39"/>
      <c r="R528" s="273"/>
      <c r="S528" s="273"/>
      <c r="T528" s="273"/>
      <c r="U528" s="273"/>
      <c r="V528" s="273"/>
      <c r="W528" s="273"/>
      <c r="X528" s="39"/>
      <c r="Y528" s="273"/>
      <c r="Z528" s="273"/>
      <c r="AA528" s="273"/>
      <c r="AB528" s="273"/>
      <c r="AC528" s="273"/>
      <c r="AD528" s="273"/>
      <c r="AE528" s="273"/>
      <c r="AF528" s="273"/>
      <c r="AG528" s="273"/>
      <c r="AH528" s="273"/>
      <c r="AI528" s="273"/>
      <c r="AJ528" s="273"/>
      <c r="AK528" s="273"/>
      <c r="AL528" s="273"/>
      <c r="AM528" s="273"/>
      <c r="AN528" s="273"/>
      <c r="AO528" s="273"/>
      <c r="AP528" s="273"/>
      <c r="AQ528" s="273"/>
      <c r="AR528" s="273"/>
      <c r="AS528" s="273"/>
      <c r="AT528" s="273"/>
      <c r="AU528" s="273"/>
      <c r="AV528" s="273"/>
    </row>
    <row r="529" spans="2:48" ht="12.75">
      <c r="B529" s="273"/>
      <c r="C529" s="273"/>
      <c r="D529" s="273"/>
      <c r="E529" s="273"/>
      <c r="F529" s="273"/>
      <c r="G529" s="273"/>
      <c r="H529" s="39"/>
      <c r="I529" s="273"/>
      <c r="J529" s="273"/>
      <c r="K529" s="273"/>
      <c r="L529" s="273"/>
      <c r="M529" s="273"/>
      <c r="N529" s="273"/>
      <c r="O529" s="273"/>
      <c r="P529" s="273"/>
      <c r="Q529" s="39"/>
      <c r="R529" s="273"/>
      <c r="S529" s="273"/>
      <c r="T529" s="273"/>
      <c r="U529" s="273"/>
      <c r="V529" s="273"/>
      <c r="W529" s="273"/>
      <c r="X529" s="39"/>
      <c r="Y529" s="273"/>
      <c r="Z529" s="273"/>
      <c r="AA529" s="273"/>
      <c r="AB529" s="273"/>
      <c r="AC529" s="273"/>
      <c r="AD529" s="273"/>
      <c r="AE529" s="273"/>
      <c r="AF529" s="273"/>
      <c r="AG529" s="273"/>
      <c r="AH529" s="273"/>
      <c r="AI529" s="273"/>
      <c r="AJ529" s="273"/>
      <c r="AK529" s="273"/>
      <c r="AL529" s="273"/>
      <c r="AM529" s="273"/>
      <c r="AN529" s="273"/>
      <c r="AO529" s="273"/>
      <c r="AP529" s="273"/>
      <c r="AQ529" s="273"/>
      <c r="AR529" s="273"/>
      <c r="AS529" s="273"/>
      <c r="AT529" s="273"/>
      <c r="AU529" s="273"/>
      <c r="AV529" s="273"/>
    </row>
    <row r="530" spans="2:48" ht="12.75">
      <c r="B530" s="273"/>
      <c r="C530" s="273"/>
      <c r="D530" s="273"/>
      <c r="E530" s="273"/>
      <c r="F530" s="273"/>
      <c r="G530" s="273"/>
      <c r="H530" s="39"/>
      <c r="I530" s="273"/>
      <c r="J530" s="273"/>
      <c r="K530" s="273"/>
      <c r="L530" s="273"/>
      <c r="M530" s="273"/>
      <c r="N530" s="273"/>
      <c r="O530" s="273"/>
      <c r="P530" s="273"/>
      <c r="Q530" s="39"/>
      <c r="R530" s="273"/>
      <c r="S530" s="273"/>
      <c r="T530" s="273"/>
      <c r="U530" s="273"/>
      <c r="V530" s="273"/>
      <c r="W530" s="273"/>
      <c r="X530" s="39"/>
      <c r="Y530" s="273"/>
      <c r="Z530" s="273"/>
      <c r="AA530" s="273"/>
      <c r="AB530" s="273"/>
      <c r="AC530" s="273"/>
      <c r="AD530" s="273"/>
      <c r="AE530" s="273"/>
      <c r="AF530" s="273"/>
      <c r="AG530" s="273"/>
      <c r="AH530" s="273"/>
      <c r="AI530" s="273"/>
      <c r="AJ530" s="273"/>
      <c r="AK530" s="273"/>
      <c r="AL530" s="273"/>
      <c r="AM530" s="273"/>
      <c r="AN530" s="273"/>
      <c r="AO530" s="273"/>
      <c r="AP530" s="273"/>
      <c r="AQ530" s="273"/>
      <c r="AR530" s="273"/>
      <c r="AS530" s="273"/>
      <c r="AT530" s="273"/>
      <c r="AU530" s="273"/>
      <c r="AV530" s="273"/>
    </row>
    <row r="531" spans="2:48" ht="12.75">
      <c r="B531" s="273"/>
      <c r="C531" s="273"/>
      <c r="D531" s="273"/>
      <c r="E531" s="273"/>
      <c r="F531" s="273"/>
      <c r="G531" s="273"/>
      <c r="H531" s="39"/>
      <c r="I531" s="273"/>
      <c r="J531" s="273"/>
      <c r="K531" s="273"/>
      <c r="L531" s="273"/>
      <c r="M531" s="273"/>
      <c r="N531" s="273"/>
      <c r="O531" s="273"/>
      <c r="P531" s="273"/>
      <c r="Q531" s="39"/>
      <c r="R531" s="273"/>
      <c r="S531" s="273"/>
      <c r="T531" s="273"/>
      <c r="U531" s="273"/>
      <c r="V531" s="273"/>
      <c r="W531" s="273"/>
      <c r="X531" s="39"/>
      <c r="Y531" s="273"/>
      <c r="Z531" s="273"/>
      <c r="AA531" s="273"/>
      <c r="AB531" s="273"/>
      <c r="AC531" s="273"/>
      <c r="AD531" s="273"/>
      <c r="AE531" s="273"/>
      <c r="AF531" s="273"/>
      <c r="AG531" s="273"/>
      <c r="AH531" s="273"/>
      <c r="AI531" s="273"/>
      <c r="AJ531" s="273"/>
      <c r="AK531" s="273"/>
      <c r="AL531" s="273"/>
      <c r="AM531" s="273"/>
      <c r="AN531" s="273"/>
      <c r="AO531" s="273"/>
      <c r="AP531" s="273"/>
      <c r="AQ531" s="273"/>
      <c r="AR531" s="273"/>
      <c r="AS531" s="273"/>
      <c r="AT531" s="273"/>
      <c r="AU531" s="273"/>
      <c r="AV531" s="273"/>
    </row>
    <row r="532" spans="2:48" ht="12.75">
      <c r="B532" s="273"/>
      <c r="C532" s="273"/>
      <c r="D532" s="273"/>
      <c r="E532" s="273"/>
      <c r="F532" s="273"/>
      <c r="G532" s="273"/>
      <c r="H532" s="39"/>
      <c r="I532" s="273"/>
      <c r="J532" s="273"/>
      <c r="K532" s="273"/>
      <c r="L532" s="273"/>
      <c r="M532" s="273"/>
      <c r="N532" s="273"/>
      <c r="O532" s="273"/>
      <c r="P532" s="273"/>
      <c r="Q532" s="39"/>
      <c r="R532" s="273"/>
      <c r="S532" s="273"/>
      <c r="T532" s="273"/>
      <c r="U532" s="273"/>
      <c r="V532" s="273"/>
      <c r="W532" s="273"/>
      <c r="X532" s="39"/>
      <c r="Y532" s="273"/>
      <c r="Z532" s="273"/>
      <c r="AA532" s="273"/>
      <c r="AB532" s="273"/>
      <c r="AC532" s="273"/>
      <c r="AD532" s="273"/>
      <c r="AE532" s="273"/>
      <c r="AF532" s="273"/>
      <c r="AG532" s="273"/>
      <c r="AH532" s="273"/>
      <c r="AI532" s="273"/>
      <c r="AJ532" s="273"/>
      <c r="AK532" s="273"/>
      <c r="AL532" s="273"/>
      <c r="AM532" s="273"/>
      <c r="AN532" s="273"/>
      <c r="AO532" s="273"/>
      <c r="AP532" s="273"/>
      <c r="AQ532" s="273"/>
      <c r="AR532" s="273"/>
      <c r="AS532" s="273"/>
      <c r="AT532" s="273"/>
      <c r="AU532" s="273"/>
      <c r="AV532" s="273"/>
    </row>
    <row r="533" spans="2:48" ht="12.75">
      <c r="B533" s="273"/>
      <c r="C533" s="273"/>
      <c r="D533" s="273"/>
      <c r="E533" s="273"/>
      <c r="F533" s="273"/>
      <c r="G533" s="273"/>
      <c r="H533" s="39"/>
      <c r="I533" s="273"/>
      <c r="J533" s="273"/>
      <c r="K533" s="273"/>
      <c r="L533" s="273"/>
      <c r="M533" s="273"/>
      <c r="N533" s="273"/>
      <c r="O533" s="273"/>
      <c r="P533" s="273"/>
      <c r="Q533" s="39"/>
      <c r="R533" s="273"/>
      <c r="S533" s="273"/>
      <c r="T533" s="273"/>
      <c r="U533" s="273"/>
      <c r="V533" s="273"/>
      <c r="W533" s="273"/>
      <c r="X533" s="39"/>
      <c r="Y533" s="273"/>
      <c r="Z533" s="273"/>
      <c r="AA533" s="273"/>
      <c r="AB533" s="273"/>
      <c r="AC533" s="273"/>
      <c r="AD533" s="273"/>
      <c r="AE533" s="273"/>
      <c r="AF533" s="273"/>
      <c r="AG533" s="273"/>
      <c r="AH533" s="273"/>
      <c r="AI533" s="273"/>
      <c r="AJ533" s="273"/>
      <c r="AK533" s="273"/>
      <c r="AL533" s="273"/>
      <c r="AM533" s="273"/>
      <c r="AN533" s="273"/>
      <c r="AO533" s="273"/>
      <c r="AP533" s="273"/>
      <c r="AQ533" s="273"/>
      <c r="AR533" s="273"/>
      <c r="AS533" s="273"/>
      <c r="AT533" s="273"/>
      <c r="AU533" s="273"/>
      <c r="AV533" s="273"/>
    </row>
    <row r="534" spans="2:48" ht="12.75">
      <c r="B534" s="273"/>
      <c r="C534" s="273"/>
      <c r="D534" s="273"/>
      <c r="E534" s="273"/>
      <c r="F534" s="273"/>
      <c r="G534" s="273"/>
      <c r="H534" s="39"/>
      <c r="I534" s="273"/>
      <c r="J534" s="273"/>
      <c r="K534" s="273"/>
      <c r="L534" s="273"/>
      <c r="M534" s="273"/>
      <c r="N534" s="273"/>
      <c r="O534" s="273"/>
      <c r="P534" s="273"/>
      <c r="Q534" s="39"/>
      <c r="R534" s="273"/>
      <c r="S534" s="273"/>
      <c r="T534" s="273"/>
      <c r="U534" s="273"/>
      <c r="V534" s="273"/>
      <c r="W534" s="273"/>
      <c r="X534" s="39"/>
      <c r="Y534" s="273"/>
      <c r="Z534" s="273"/>
      <c r="AA534" s="273"/>
      <c r="AB534" s="273"/>
      <c r="AC534" s="273"/>
      <c r="AD534" s="273"/>
      <c r="AE534" s="273"/>
      <c r="AF534" s="273"/>
      <c r="AG534" s="273"/>
      <c r="AH534" s="273"/>
      <c r="AI534" s="273"/>
      <c r="AJ534" s="273"/>
      <c r="AK534" s="273"/>
      <c r="AL534" s="273"/>
      <c r="AM534" s="273"/>
      <c r="AN534" s="273"/>
      <c r="AO534" s="273"/>
      <c r="AP534" s="273"/>
      <c r="AQ534" s="273"/>
      <c r="AR534" s="273"/>
      <c r="AS534" s="273"/>
      <c r="AT534" s="273"/>
      <c r="AU534" s="273"/>
      <c r="AV534" s="273"/>
    </row>
    <row r="535" spans="2:48" ht="12.75">
      <c r="B535" s="273"/>
      <c r="C535" s="273"/>
      <c r="D535" s="273"/>
      <c r="E535" s="273"/>
      <c r="F535" s="273"/>
      <c r="G535" s="273"/>
      <c r="H535" s="39"/>
      <c r="I535" s="273"/>
      <c r="J535" s="273"/>
      <c r="K535" s="273"/>
      <c r="L535" s="273"/>
      <c r="M535" s="273"/>
      <c r="N535" s="273"/>
      <c r="O535" s="273"/>
      <c r="P535" s="273"/>
      <c r="Q535" s="39"/>
      <c r="R535" s="273"/>
      <c r="S535" s="273"/>
      <c r="T535" s="273"/>
      <c r="U535" s="273"/>
      <c r="V535" s="273"/>
      <c r="W535" s="273"/>
      <c r="X535" s="39"/>
      <c r="Y535" s="273"/>
      <c r="Z535" s="273"/>
      <c r="AA535" s="273"/>
      <c r="AB535" s="273"/>
      <c r="AC535" s="273"/>
      <c r="AD535" s="273"/>
      <c r="AE535" s="273"/>
      <c r="AF535" s="273"/>
      <c r="AG535" s="273"/>
      <c r="AH535" s="273"/>
      <c r="AI535" s="273"/>
      <c r="AJ535" s="273"/>
      <c r="AK535" s="273"/>
      <c r="AL535" s="273"/>
      <c r="AM535" s="273"/>
      <c r="AN535" s="273"/>
      <c r="AO535" s="273"/>
      <c r="AP535" s="273"/>
      <c r="AQ535" s="273"/>
      <c r="AR535" s="273"/>
      <c r="AS535" s="273"/>
      <c r="AT535" s="273"/>
      <c r="AU535" s="273"/>
      <c r="AV535" s="273"/>
    </row>
    <row r="536" spans="2:48" ht="12.75">
      <c r="B536" s="273"/>
      <c r="C536" s="273"/>
      <c r="D536" s="273"/>
      <c r="E536" s="273"/>
      <c r="F536" s="273"/>
      <c r="G536" s="273"/>
      <c r="H536" s="39"/>
      <c r="I536" s="273"/>
      <c r="J536" s="273"/>
      <c r="K536" s="273"/>
      <c r="L536" s="273"/>
      <c r="M536" s="273"/>
      <c r="N536" s="273"/>
      <c r="O536" s="273"/>
      <c r="P536" s="273"/>
      <c r="Q536" s="39"/>
      <c r="R536" s="273"/>
      <c r="S536" s="273"/>
      <c r="T536" s="273"/>
      <c r="U536" s="273"/>
      <c r="V536" s="273"/>
      <c r="W536" s="273"/>
      <c r="X536" s="39"/>
      <c r="Y536" s="273"/>
      <c r="Z536" s="273"/>
      <c r="AA536" s="273"/>
      <c r="AB536" s="273"/>
      <c r="AC536" s="273"/>
      <c r="AD536" s="273"/>
      <c r="AE536" s="273"/>
      <c r="AF536" s="273"/>
      <c r="AG536" s="273"/>
      <c r="AH536" s="273"/>
      <c r="AI536" s="273"/>
      <c r="AJ536" s="273"/>
      <c r="AK536" s="273"/>
      <c r="AL536" s="273"/>
      <c r="AM536" s="273"/>
      <c r="AN536" s="273"/>
      <c r="AO536" s="273"/>
      <c r="AP536" s="273"/>
      <c r="AQ536" s="273"/>
      <c r="AR536" s="273"/>
      <c r="AS536" s="273"/>
      <c r="AT536" s="273"/>
      <c r="AU536" s="273"/>
      <c r="AV536" s="273"/>
    </row>
    <row r="537" spans="2:48" ht="12.75">
      <c r="B537" s="273"/>
      <c r="C537" s="273"/>
      <c r="D537" s="273"/>
      <c r="E537" s="273"/>
      <c r="F537" s="273"/>
      <c r="G537" s="273"/>
      <c r="H537" s="39"/>
      <c r="I537" s="273"/>
      <c r="J537" s="273"/>
      <c r="K537" s="273"/>
      <c r="L537" s="273"/>
      <c r="M537" s="273"/>
      <c r="N537" s="273"/>
      <c r="O537" s="273"/>
      <c r="P537" s="273"/>
      <c r="Q537" s="39"/>
      <c r="R537" s="273"/>
      <c r="S537" s="273"/>
      <c r="T537" s="273"/>
      <c r="U537" s="273"/>
      <c r="V537" s="273"/>
      <c r="W537" s="273"/>
      <c r="X537" s="39"/>
      <c r="Y537" s="273"/>
      <c r="Z537" s="273"/>
      <c r="AA537" s="273"/>
      <c r="AB537" s="273"/>
      <c r="AC537" s="273"/>
      <c r="AD537" s="273"/>
      <c r="AE537" s="273"/>
      <c r="AF537" s="273"/>
      <c r="AG537" s="273"/>
      <c r="AH537" s="273"/>
      <c r="AI537" s="273"/>
      <c r="AJ537" s="273"/>
      <c r="AK537" s="273"/>
      <c r="AL537" s="273"/>
      <c r="AM537" s="273"/>
      <c r="AN537" s="273"/>
      <c r="AO537" s="273"/>
      <c r="AP537" s="273"/>
      <c r="AQ537" s="273"/>
      <c r="AR537" s="273"/>
      <c r="AS537" s="273"/>
      <c r="AT537" s="273"/>
      <c r="AU537" s="273"/>
      <c r="AV537" s="273"/>
    </row>
    <row r="538" spans="2:48" ht="12.75">
      <c r="B538" s="273"/>
      <c r="C538" s="273"/>
      <c r="D538" s="273"/>
      <c r="E538" s="273"/>
      <c r="F538" s="273"/>
      <c r="G538" s="273"/>
      <c r="H538" s="39"/>
      <c r="I538" s="273"/>
      <c r="J538" s="273"/>
      <c r="K538" s="273"/>
      <c r="L538" s="273"/>
      <c r="M538" s="273"/>
      <c r="N538" s="273"/>
      <c r="O538" s="273"/>
      <c r="P538" s="273"/>
      <c r="Q538" s="39"/>
      <c r="R538" s="273"/>
      <c r="S538" s="273"/>
      <c r="T538" s="273"/>
      <c r="U538" s="273"/>
      <c r="V538" s="273"/>
      <c r="W538" s="273"/>
      <c r="X538" s="39"/>
      <c r="Y538" s="273"/>
      <c r="Z538" s="273"/>
      <c r="AA538" s="273"/>
      <c r="AB538" s="273"/>
      <c r="AC538" s="273"/>
      <c r="AD538" s="273"/>
      <c r="AE538" s="273"/>
      <c r="AF538" s="273"/>
      <c r="AG538" s="273"/>
      <c r="AH538" s="273"/>
      <c r="AI538" s="273"/>
      <c r="AJ538" s="273"/>
      <c r="AK538" s="273"/>
      <c r="AL538" s="273"/>
      <c r="AM538" s="273"/>
      <c r="AN538" s="273"/>
      <c r="AO538" s="273"/>
      <c r="AP538" s="273"/>
      <c r="AQ538" s="273"/>
      <c r="AR538" s="273"/>
      <c r="AS538" s="273"/>
      <c r="AT538" s="273"/>
      <c r="AU538" s="273"/>
      <c r="AV538" s="273"/>
    </row>
    <row r="539" spans="2:48" ht="12.75">
      <c r="B539" s="273"/>
      <c r="C539" s="273"/>
      <c r="D539" s="273"/>
      <c r="E539" s="273"/>
      <c r="F539" s="273"/>
      <c r="G539" s="273"/>
      <c r="H539" s="39"/>
      <c r="I539" s="273"/>
      <c r="J539" s="273"/>
      <c r="K539" s="273"/>
      <c r="L539" s="273"/>
      <c r="M539" s="273"/>
      <c r="N539" s="273"/>
      <c r="O539" s="273"/>
      <c r="P539" s="273"/>
      <c r="Q539" s="39"/>
      <c r="R539" s="273"/>
      <c r="S539" s="273"/>
      <c r="T539" s="273"/>
      <c r="U539" s="273"/>
      <c r="V539" s="273"/>
      <c r="W539" s="273"/>
      <c r="X539" s="39"/>
      <c r="Y539" s="273"/>
      <c r="Z539" s="273"/>
      <c r="AA539" s="273"/>
      <c r="AB539" s="273"/>
      <c r="AC539" s="273"/>
      <c r="AD539" s="273"/>
      <c r="AE539" s="273"/>
      <c r="AF539" s="273"/>
      <c r="AG539" s="273"/>
      <c r="AH539" s="273"/>
      <c r="AI539" s="273"/>
      <c r="AJ539" s="273"/>
      <c r="AK539" s="273"/>
      <c r="AL539" s="273"/>
      <c r="AM539" s="273"/>
      <c r="AN539" s="273"/>
      <c r="AO539" s="273"/>
      <c r="AP539" s="273"/>
      <c r="AQ539" s="273"/>
      <c r="AR539" s="273"/>
      <c r="AS539" s="273"/>
      <c r="AT539" s="273"/>
      <c r="AU539" s="273"/>
      <c r="AV539" s="273"/>
    </row>
    <row r="540" spans="2:48" ht="12.75">
      <c r="B540" s="273"/>
      <c r="C540" s="273"/>
      <c r="D540" s="273"/>
      <c r="E540" s="273"/>
      <c r="F540" s="273"/>
      <c r="G540" s="273"/>
      <c r="H540" s="39"/>
      <c r="I540" s="273"/>
      <c r="J540" s="273"/>
      <c r="K540" s="273"/>
      <c r="L540" s="273"/>
      <c r="M540" s="273"/>
      <c r="N540" s="273"/>
      <c r="O540" s="273"/>
      <c r="P540" s="273"/>
      <c r="Q540" s="39"/>
      <c r="R540" s="273"/>
      <c r="S540" s="273"/>
      <c r="T540" s="273"/>
      <c r="U540" s="273"/>
      <c r="V540" s="273"/>
      <c r="W540" s="273"/>
      <c r="X540" s="39"/>
      <c r="Y540" s="273"/>
      <c r="Z540" s="273"/>
      <c r="AA540" s="273"/>
      <c r="AB540" s="273"/>
      <c r="AC540" s="273"/>
      <c r="AD540" s="273"/>
      <c r="AE540" s="273"/>
      <c r="AF540" s="273"/>
      <c r="AG540" s="273"/>
      <c r="AH540" s="273"/>
      <c r="AI540" s="273"/>
      <c r="AJ540" s="273"/>
      <c r="AK540" s="273"/>
      <c r="AL540" s="273"/>
      <c r="AM540" s="273"/>
      <c r="AN540" s="273"/>
      <c r="AO540" s="273"/>
      <c r="AP540" s="273"/>
      <c r="AQ540" s="273"/>
      <c r="AR540" s="273"/>
      <c r="AS540" s="273"/>
      <c r="AT540" s="273"/>
      <c r="AU540" s="273"/>
      <c r="AV540" s="273"/>
    </row>
    <row r="541" spans="2:48" ht="12.75">
      <c r="B541" s="273"/>
      <c r="C541" s="273"/>
      <c r="D541" s="273"/>
      <c r="E541" s="273"/>
      <c r="F541" s="273"/>
      <c r="G541" s="273"/>
      <c r="H541" s="39"/>
      <c r="I541" s="273"/>
      <c r="J541" s="273"/>
      <c r="K541" s="273"/>
      <c r="L541" s="273"/>
      <c r="M541" s="273"/>
      <c r="N541" s="273"/>
      <c r="O541" s="273"/>
      <c r="P541" s="273"/>
      <c r="Q541" s="39"/>
      <c r="R541" s="273"/>
      <c r="S541" s="273"/>
      <c r="T541" s="273"/>
      <c r="U541" s="273"/>
      <c r="V541" s="273"/>
      <c r="W541" s="273"/>
      <c r="X541" s="39"/>
      <c r="Y541" s="273"/>
      <c r="Z541" s="273"/>
      <c r="AA541" s="273"/>
      <c r="AB541" s="273"/>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row>
    <row r="542" spans="2:48" ht="12.75">
      <c r="B542" s="273"/>
      <c r="C542" s="273"/>
      <c r="D542" s="273"/>
      <c r="E542" s="273"/>
      <c r="F542" s="273"/>
      <c r="G542" s="273"/>
      <c r="H542" s="39"/>
      <c r="I542" s="273"/>
      <c r="J542" s="273"/>
      <c r="K542" s="273"/>
      <c r="L542" s="273"/>
      <c r="M542" s="273"/>
      <c r="N542" s="273"/>
      <c r="O542" s="273"/>
      <c r="P542" s="273"/>
      <c r="Q542" s="39"/>
      <c r="R542" s="273"/>
      <c r="S542" s="273"/>
      <c r="T542" s="273"/>
      <c r="U542" s="273"/>
      <c r="V542" s="273"/>
      <c r="W542" s="273"/>
      <c r="X542" s="39"/>
      <c r="Y542" s="273"/>
      <c r="Z542" s="273"/>
      <c r="AA542" s="273"/>
      <c r="AB542" s="273"/>
      <c r="AC542" s="273"/>
      <c r="AD542" s="273"/>
      <c r="AE542" s="273"/>
      <c r="AF542" s="273"/>
      <c r="AG542" s="273"/>
      <c r="AH542" s="273"/>
      <c r="AI542" s="273"/>
      <c r="AJ542" s="273"/>
      <c r="AK542" s="273"/>
      <c r="AL542" s="273"/>
      <c r="AM542" s="273"/>
      <c r="AN542" s="273"/>
      <c r="AO542" s="273"/>
      <c r="AP542" s="273"/>
      <c r="AQ542" s="273"/>
      <c r="AR542" s="273"/>
      <c r="AS542" s="273"/>
      <c r="AT542" s="273"/>
      <c r="AU542" s="273"/>
      <c r="AV542" s="273"/>
    </row>
    <row r="543" spans="2:48" ht="12.75">
      <c r="B543" s="273"/>
      <c r="C543" s="273"/>
      <c r="D543" s="273"/>
      <c r="E543" s="273"/>
      <c r="F543" s="273"/>
      <c r="G543" s="273"/>
      <c r="H543" s="39"/>
      <c r="I543" s="273"/>
      <c r="J543" s="273"/>
      <c r="K543" s="273"/>
      <c r="L543" s="273"/>
      <c r="M543" s="273"/>
      <c r="N543" s="273"/>
      <c r="O543" s="273"/>
      <c r="P543" s="273"/>
      <c r="Q543" s="39"/>
      <c r="R543" s="273"/>
      <c r="S543" s="273"/>
      <c r="T543" s="273"/>
      <c r="U543" s="273"/>
      <c r="V543" s="273"/>
      <c r="W543" s="273"/>
      <c r="X543" s="39"/>
      <c r="Y543" s="273"/>
      <c r="Z543" s="273"/>
      <c r="AA543" s="273"/>
      <c r="AB543" s="273"/>
      <c r="AC543" s="273"/>
      <c r="AD543" s="273"/>
      <c r="AE543" s="273"/>
      <c r="AF543" s="273"/>
      <c r="AG543" s="273"/>
      <c r="AH543" s="273"/>
      <c r="AI543" s="273"/>
      <c r="AJ543" s="273"/>
      <c r="AK543" s="273"/>
      <c r="AL543" s="273"/>
      <c r="AM543" s="273"/>
      <c r="AN543" s="273"/>
      <c r="AO543" s="273"/>
      <c r="AP543" s="273"/>
      <c r="AQ543" s="273"/>
      <c r="AR543" s="273"/>
      <c r="AS543" s="273"/>
      <c r="AT543" s="273"/>
      <c r="AU543" s="273"/>
      <c r="AV543" s="273"/>
    </row>
    <row r="544" spans="2:48" ht="12.75">
      <c r="B544" s="273"/>
      <c r="C544" s="273"/>
      <c r="D544" s="273"/>
      <c r="E544" s="273"/>
      <c r="F544" s="273"/>
      <c r="G544" s="273"/>
      <c r="H544" s="39"/>
      <c r="I544" s="273"/>
      <c r="J544" s="273"/>
      <c r="K544" s="273"/>
      <c r="L544" s="273"/>
      <c r="M544" s="273"/>
      <c r="N544" s="273"/>
      <c r="O544" s="273"/>
      <c r="P544" s="273"/>
      <c r="Q544" s="39"/>
      <c r="R544" s="273"/>
      <c r="S544" s="273"/>
      <c r="T544" s="273"/>
      <c r="U544" s="273"/>
      <c r="V544" s="273"/>
      <c r="W544" s="273"/>
      <c r="X544" s="39"/>
      <c r="Y544" s="273"/>
      <c r="Z544" s="273"/>
      <c r="AA544" s="273"/>
      <c r="AB544" s="273"/>
      <c r="AC544" s="273"/>
      <c r="AD544" s="273"/>
      <c r="AE544" s="273"/>
      <c r="AF544" s="273"/>
      <c r="AG544" s="273"/>
      <c r="AH544" s="273"/>
      <c r="AI544" s="273"/>
      <c r="AJ544" s="273"/>
      <c r="AK544" s="273"/>
      <c r="AL544" s="273"/>
      <c r="AM544" s="273"/>
      <c r="AN544" s="273"/>
      <c r="AO544" s="273"/>
      <c r="AP544" s="273"/>
      <c r="AQ544" s="273"/>
      <c r="AR544" s="273"/>
      <c r="AS544" s="273"/>
      <c r="AT544" s="273"/>
      <c r="AU544" s="273"/>
      <c r="AV544" s="273"/>
    </row>
    <row r="545" spans="2:48" ht="12.75">
      <c r="B545" s="273"/>
      <c r="C545" s="273"/>
      <c r="D545" s="273"/>
      <c r="E545" s="273"/>
      <c r="F545" s="273"/>
      <c r="G545" s="273"/>
      <c r="H545" s="39"/>
      <c r="I545" s="273"/>
      <c r="J545" s="273"/>
      <c r="K545" s="273"/>
      <c r="L545" s="273"/>
      <c r="M545" s="273"/>
      <c r="N545" s="273"/>
      <c r="O545" s="273"/>
      <c r="P545" s="273"/>
      <c r="Q545" s="39"/>
      <c r="R545" s="273"/>
      <c r="S545" s="273"/>
      <c r="T545" s="273"/>
      <c r="U545" s="273"/>
      <c r="V545" s="273"/>
      <c r="W545" s="273"/>
      <c r="X545" s="39"/>
      <c r="Y545" s="273"/>
      <c r="Z545" s="273"/>
      <c r="AA545" s="273"/>
      <c r="AB545" s="273"/>
      <c r="AC545" s="273"/>
      <c r="AD545" s="273"/>
      <c r="AE545" s="273"/>
      <c r="AF545" s="273"/>
      <c r="AG545" s="273"/>
      <c r="AH545" s="273"/>
      <c r="AI545" s="273"/>
      <c r="AJ545" s="273"/>
      <c r="AK545" s="273"/>
      <c r="AL545" s="273"/>
      <c r="AM545" s="273"/>
      <c r="AN545" s="273"/>
      <c r="AO545" s="273"/>
      <c r="AP545" s="273"/>
      <c r="AQ545" s="273"/>
      <c r="AR545" s="273"/>
      <c r="AS545" s="273"/>
      <c r="AT545" s="273"/>
      <c r="AU545" s="273"/>
      <c r="AV545" s="273"/>
    </row>
    <row r="546" spans="2:48" ht="12.75">
      <c r="B546" s="273"/>
      <c r="C546" s="273"/>
      <c r="D546" s="273"/>
      <c r="E546" s="273"/>
      <c r="F546" s="273"/>
      <c r="G546" s="273"/>
      <c r="H546" s="39"/>
      <c r="I546" s="273"/>
      <c r="J546" s="273"/>
      <c r="K546" s="273"/>
      <c r="L546" s="273"/>
      <c r="M546" s="273"/>
      <c r="N546" s="273"/>
      <c r="O546" s="273"/>
      <c r="P546" s="273"/>
      <c r="Q546" s="39"/>
      <c r="R546" s="273"/>
      <c r="S546" s="273"/>
      <c r="T546" s="273"/>
      <c r="U546" s="273"/>
      <c r="V546" s="273"/>
      <c r="W546" s="273"/>
      <c r="X546" s="39"/>
      <c r="Y546" s="273"/>
      <c r="Z546" s="273"/>
      <c r="AA546" s="273"/>
      <c r="AB546" s="273"/>
      <c r="AC546" s="273"/>
      <c r="AD546" s="273"/>
      <c r="AE546" s="273"/>
      <c r="AF546" s="273"/>
      <c r="AG546" s="273"/>
      <c r="AH546" s="273"/>
      <c r="AI546" s="273"/>
      <c r="AJ546" s="273"/>
      <c r="AK546" s="273"/>
      <c r="AL546" s="273"/>
      <c r="AM546" s="273"/>
      <c r="AN546" s="273"/>
      <c r="AO546" s="273"/>
      <c r="AP546" s="273"/>
      <c r="AQ546" s="273"/>
      <c r="AR546" s="273"/>
      <c r="AS546" s="273"/>
      <c r="AT546" s="273"/>
      <c r="AU546" s="273"/>
      <c r="AV546" s="273"/>
    </row>
    <row r="547" spans="2:48" ht="12.75">
      <c r="B547" s="273"/>
      <c r="C547" s="273"/>
      <c r="D547" s="273"/>
      <c r="E547" s="273"/>
      <c r="F547" s="273"/>
      <c r="G547" s="273"/>
      <c r="H547" s="39"/>
      <c r="I547" s="273"/>
      <c r="J547" s="273"/>
      <c r="K547" s="273"/>
      <c r="L547" s="273"/>
      <c r="M547" s="273"/>
      <c r="N547" s="273"/>
      <c r="O547" s="273"/>
      <c r="P547" s="273"/>
      <c r="Q547" s="39"/>
      <c r="R547" s="273"/>
      <c r="S547" s="273"/>
      <c r="T547" s="273"/>
      <c r="U547" s="273"/>
      <c r="V547" s="273"/>
      <c r="W547" s="273"/>
      <c r="X547" s="39"/>
      <c r="Y547" s="273"/>
      <c r="Z547" s="273"/>
      <c r="AA547" s="273"/>
      <c r="AB547" s="273"/>
      <c r="AC547" s="273"/>
      <c r="AD547" s="273"/>
      <c r="AE547" s="273"/>
      <c r="AF547" s="273"/>
      <c r="AG547" s="273"/>
      <c r="AH547" s="273"/>
      <c r="AI547" s="273"/>
      <c r="AJ547" s="273"/>
      <c r="AK547" s="273"/>
      <c r="AL547" s="273"/>
      <c r="AM547" s="273"/>
      <c r="AN547" s="273"/>
      <c r="AO547" s="273"/>
      <c r="AP547" s="273"/>
      <c r="AQ547" s="273"/>
      <c r="AR547" s="273"/>
      <c r="AS547" s="273"/>
      <c r="AT547" s="273"/>
      <c r="AU547" s="273"/>
      <c r="AV547" s="273"/>
    </row>
    <row r="548" spans="2:48" ht="12.75">
      <c r="B548" s="273"/>
      <c r="C548" s="273"/>
      <c r="D548" s="273"/>
      <c r="E548" s="273"/>
      <c r="F548" s="273"/>
      <c r="G548" s="273"/>
      <c r="H548" s="39"/>
      <c r="I548" s="273"/>
      <c r="J548" s="273"/>
      <c r="K548" s="273"/>
      <c r="L548" s="273"/>
      <c r="M548" s="273"/>
      <c r="N548" s="273"/>
      <c r="O548" s="273"/>
      <c r="P548" s="273"/>
      <c r="Q548" s="39"/>
      <c r="R548" s="273"/>
      <c r="S548" s="273"/>
      <c r="T548" s="273"/>
      <c r="U548" s="273"/>
      <c r="V548" s="273"/>
      <c r="W548" s="273"/>
      <c r="X548" s="39"/>
      <c r="Y548" s="273"/>
      <c r="Z548" s="273"/>
      <c r="AA548" s="273"/>
      <c r="AB548" s="273"/>
      <c r="AC548" s="273"/>
      <c r="AD548" s="273"/>
      <c r="AE548" s="273"/>
      <c r="AF548" s="273"/>
      <c r="AG548" s="273"/>
      <c r="AH548" s="273"/>
      <c r="AI548" s="273"/>
      <c r="AJ548" s="273"/>
      <c r="AK548" s="273"/>
      <c r="AL548" s="273"/>
      <c r="AM548" s="273"/>
      <c r="AN548" s="273"/>
      <c r="AO548" s="273"/>
      <c r="AP548" s="273"/>
      <c r="AQ548" s="273"/>
      <c r="AR548" s="273"/>
      <c r="AS548" s="273"/>
      <c r="AT548" s="273"/>
      <c r="AU548" s="273"/>
      <c r="AV548" s="273"/>
    </row>
    <row r="549" spans="2:48" ht="12.75">
      <c r="B549" s="273"/>
      <c r="C549" s="273"/>
      <c r="D549" s="273"/>
      <c r="E549" s="273"/>
      <c r="F549" s="273"/>
      <c r="G549" s="273"/>
      <c r="H549" s="39"/>
      <c r="I549" s="273"/>
      <c r="J549" s="273"/>
      <c r="K549" s="273"/>
      <c r="L549" s="273"/>
      <c r="M549" s="273"/>
      <c r="N549" s="273"/>
      <c r="O549" s="273"/>
      <c r="P549" s="273"/>
      <c r="Q549" s="39"/>
      <c r="R549" s="273"/>
      <c r="S549" s="273"/>
      <c r="T549" s="273"/>
      <c r="U549" s="273"/>
      <c r="V549" s="273"/>
      <c r="W549" s="273"/>
      <c r="X549" s="39"/>
      <c r="Y549" s="273"/>
      <c r="Z549" s="273"/>
      <c r="AA549" s="273"/>
      <c r="AB549" s="273"/>
      <c r="AC549" s="273"/>
      <c r="AD549" s="273"/>
      <c r="AE549" s="273"/>
      <c r="AF549" s="273"/>
      <c r="AG549" s="273"/>
      <c r="AH549" s="273"/>
      <c r="AI549" s="273"/>
      <c r="AJ549" s="273"/>
      <c r="AK549" s="273"/>
      <c r="AL549" s="273"/>
      <c r="AM549" s="273"/>
      <c r="AN549" s="273"/>
      <c r="AO549" s="273"/>
      <c r="AP549" s="273"/>
      <c r="AQ549" s="273"/>
      <c r="AR549" s="273"/>
      <c r="AS549" s="273"/>
      <c r="AT549" s="273"/>
      <c r="AU549" s="273"/>
      <c r="AV549" s="273"/>
    </row>
    <row r="550" spans="2:48" ht="12.75">
      <c r="B550" s="273"/>
      <c r="C550" s="273"/>
      <c r="D550" s="273"/>
      <c r="E550" s="273"/>
      <c r="F550" s="273"/>
      <c r="G550" s="273"/>
      <c r="H550" s="39"/>
      <c r="I550" s="273"/>
      <c r="J550" s="273"/>
      <c r="K550" s="273"/>
      <c r="L550" s="273"/>
      <c r="M550" s="273"/>
      <c r="N550" s="273"/>
      <c r="O550" s="273"/>
      <c r="P550" s="273"/>
      <c r="Q550" s="39"/>
      <c r="R550" s="273"/>
      <c r="S550" s="273"/>
      <c r="T550" s="273"/>
      <c r="U550" s="273"/>
      <c r="V550" s="273"/>
      <c r="W550" s="273"/>
      <c r="X550" s="39"/>
      <c r="Y550" s="273"/>
      <c r="Z550" s="273"/>
      <c r="AA550" s="273"/>
      <c r="AB550" s="273"/>
      <c r="AC550" s="273"/>
      <c r="AD550" s="273"/>
      <c r="AE550" s="273"/>
      <c r="AF550" s="273"/>
      <c r="AG550" s="273"/>
      <c r="AH550" s="273"/>
      <c r="AI550" s="273"/>
      <c r="AJ550" s="273"/>
      <c r="AK550" s="273"/>
      <c r="AL550" s="273"/>
      <c r="AM550" s="273"/>
      <c r="AN550" s="273"/>
      <c r="AO550" s="273"/>
      <c r="AP550" s="273"/>
      <c r="AQ550" s="273"/>
      <c r="AR550" s="273"/>
      <c r="AS550" s="273"/>
      <c r="AT550" s="273"/>
      <c r="AU550" s="273"/>
      <c r="AV550" s="273"/>
    </row>
    <row r="551" spans="2:48" ht="12.75">
      <c r="B551" s="273"/>
      <c r="C551" s="273"/>
      <c r="D551" s="273"/>
      <c r="E551" s="273"/>
      <c r="F551" s="273"/>
      <c r="G551" s="273"/>
      <c r="H551" s="39"/>
      <c r="I551" s="273"/>
      <c r="J551" s="273"/>
      <c r="K551" s="273"/>
      <c r="L551" s="273"/>
      <c r="M551" s="273"/>
      <c r="N551" s="273"/>
      <c r="O551" s="273"/>
      <c r="P551" s="273"/>
      <c r="Q551" s="39"/>
      <c r="R551" s="273"/>
      <c r="S551" s="273"/>
      <c r="T551" s="273"/>
      <c r="U551" s="273"/>
      <c r="V551" s="273"/>
      <c r="W551" s="273"/>
      <c r="X551" s="39"/>
      <c r="Y551" s="273"/>
      <c r="Z551" s="273"/>
      <c r="AA551" s="273"/>
      <c r="AB551" s="273"/>
      <c r="AC551" s="273"/>
      <c r="AD551" s="273"/>
      <c r="AE551" s="273"/>
      <c r="AF551" s="273"/>
      <c r="AG551" s="273"/>
      <c r="AH551" s="273"/>
      <c r="AI551" s="273"/>
      <c r="AJ551" s="273"/>
      <c r="AK551" s="273"/>
      <c r="AL551" s="273"/>
      <c r="AM551" s="273"/>
      <c r="AN551" s="273"/>
      <c r="AO551" s="273"/>
      <c r="AP551" s="273"/>
      <c r="AQ551" s="273"/>
      <c r="AR551" s="273"/>
      <c r="AS551" s="273"/>
      <c r="AT551" s="273"/>
      <c r="AU551" s="273"/>
      <c r="AV551" s="273"/>
    </row>
    <row r="552" spans="2:48" ht="12.75">
      <c r="B552" s="273"/>
      <c r="C552" s="273"/>
      <c r="D552" s="273"/>
      <c r="E552" s="273"/>
      <c r="F552" s="273"/>
      <c r="G552" s="273"/>
      <c r="H552" s="39"/>
      <c r="I552" s="273"/>
      <c r="J552" s="273"/>
      <c r="K552" s="273"/>
      <c r="L552" s="273"/>
      <c r="M552" s="273"/>
      <c r="N552" s="273"/>
      <c r="O552" s="273"/>
      <c r="P552" s="273"/>
      <c r="Q552" s="39"/>
      <c r="R552" s="273"/>
      <c r="S552" s="273"/>
      <c r="T552" s="273"/>
      <c r="U552" s="273"/>
      <c r="V552" s="273"/>
      <c r="W552" s="273"/>
      <c r="X552" s="39"/>
      <c r="Y552" s="273"/>
      <c r="Z552" s="273"/>
      <c r="AA552" s="273"/>
      <c r="AB552" s="273"/>
      <c r="AC552" s="273"/>
      <c r="AD552" s="273"/>
      <c r="AE552" s="273"/>
      <c r="AF552" s="273"/>
      <c r="AG552" s="273"/>
      <c r="AH552" s="273"/>
      <c r="AI552" s="273"/>
      <c r="AJ552" s="273"/>
      <c r="AK552" s="273"/>
      <c r="AL552" s="273"/>
      <c r="AM552" s="273"/>
      <c r="AN552" s="273"/>
      <c r="AO552" s="273"/>
      <c r="AP552" s="273"/>
      <c r="AQ552" s="273"/>
      <c r="AR552" s="273"/>
      <c r="AS552" s="273"/>
      <c r="AT552" s="273"/>
      <c r="AU552" s="273"/>
      <c r="AV552" s="273"/>
    </row>
    <row r="553" spans="2:48" ht="12.75">
      <c r="B553" s="273"/>
      <c r="C553" s="273"/>
      <c r="D553" s="273"/>
      <c r="E553" s="273"/>
      <c r="F553" s="273"/>
      <c r="G553" s="273"/>
      <c r="H553" s="39"/>
      <c r="I553" s="273"/>
      <c r="J553" s="273"/>
      <c r="K553" s="273"/>
      <c r="L553" s="273"/>
      <c r="M553" s="273"/>
      <c r="N553" s="273"/>
      <c r="O553" s="273"/>
      <c r="P553" s="273"/>
      <c r="Q553" s="39"/>
      <c r="R553" s="273"/>
      <c r="S553" s="273"/>
      <c r="T553" s="273"/>
      <c r="U553" s="273"/>
      <c r="V553" s="273"/>
      <c r="W553" s="273"/>
      <c r="X553" s="39"/>
      <c r="Y553" s="273"/>
      <c r="Z553" s="273"/>
      <c r="AA553" s="273"/>
      <c r="AB553" s="273"/>
      <c r="AC553" s="273"/>
      <c r="AD553" s="273"/>
      <c r="AE553" s="273"/>
      <c r="AF553" s="273"/>
      <c r="AG553" s="273"/>
      <c r="AH553" s="273"/>
      <c r="AI553" s="273"/>
      <c r="AJ553" s="273"/>
      <c r="AK553" s="273"/>
      <c r="AL553" s="273"/>
      <c r="AM553" s="273"/>
      <c r="AN553" s="273"/>
      <c r="AO553" s="273"/>
      <c r="AP553" s="273"/>
      <c r="AQ553" s="273"/>
      <c r="AR553" s="273"/>
      <c r="AS553" s="273"/>
      <c r="AT553" s="273"/>
      <c r="AU553" s="273"/>
      <c r="AV553" s="273"/>
    </row>
    <row r="554" spans="2:48" ht="12.75">
      <c r="B554" s="273"/>
      <c r="C554" s="273"/>
      <c r="D554" s="273"/>
      <c r="E554" s="273"/>
      <c r="F554" s="273"/>
      <c r="G554" s="273"/>
      <c r="H554" s="39"/>
      <c r="I554" s="273"/>
      <c r="J554" s="273"/>
      <c r="K554" s="273"/>
      <c r="L554" s="273"/>
      <c r="M554" s="273"/>
      <c r="N554" s="273"/>
      <c r="O554" s="273"/>
      <c r="P554" s="273"/>
      <c r="Q554" s="39"/>
      <c r="R554" s="273"/>
      <c r="S554" s="273"/>
      <c r="T554" s="273"/>
      <c r="U554" s="273"/>
      <c r="V554" s="273"/>
      <c r="W554" s="273"/>
      <c r="X554" s="39"/>
      <c r="Y554" s="273"/>
      <c r="Z554" s="273"/>
      <c r="AA554" s="273"/>
      <c r="AB554" s="273"/>
      <c r="AC554" s="273"/>
      <c r="AD554" s="273"/>
      <c r="AE554" s="273"/>
      <c r="AF554" s="273"/>
      <c r="AG554" s="273"/>
      <c r="AH554" s="273"/>
      <c r="AI554" s="273"/>
      <c r="AJ554" s="273"/>
      <c r="AK554" s="273"/>
      <c r="AL554" s="273"/>
      <c r="AM554" s="273"/>
      <c r="AN554" s="273"/>
      <c r="AO554" s="273"/>
      <c r="AP554" s="273"/>
      <c r="AQ554" s="273"/>
      <c r="AR554" s="273"/>
      <c r="AS554" s="273"/>
      <c r="AT554" s="273"/>
      <c r="AU554" s="273"/>
      <c r="AV554" s="273"/>
    </row>
    <row r="555" spans="2:48" ht="12.75">
      <c r="B555" s="273"/>
      <c r="C555" s="273"/>
      <c r="D555" s="273"/>
      <c r="E555" s="273"/>
      <c r="F555" s="273"/>
      <c r="G555" s="273"/>
      <c r="H555" s="39"/>
      <c r="I555" s="273"/>
      <c r="J555" s="273"/>
      <c r="K555" s="273"/>
      <c r="L555" s="273"/>
      <c r="M555" s="273"/>
      <c r="N555" s="273"/>
      <c r="O555" s="273"/>
      <c r="P555" s="273"/>
      <c r="Q555" s="39"/>
      <c r="R555" s="273"/>
      <c r="S555" s="273"/>
      <c r="T555" s="273"/>
      <c r="U555" s="273"/>
      <c r="V555" s="273"/>
      <c r="W555" s="273"/>
      <c r="X555" s="39"/>
      <c r="Y555" s="273"/>
      <c r="Z555" s="273"/>
      <c r="AA555" s="273"/>
      <c r="AB555" s="273"/>
      <c r="AC555" s="273"/>
      <c r="AD555" s="273"/>
      <c r="AE555" s="273"/>
      <c r="AF555" s="273"/>
      <c r="AG555" s="273"/>
      <c r="AH555" s="273"/>
      <c r="AI555" s="273"/>
      <c r="AJ555" s="273"/>
      <c r="AK555" s="273"/>
      <c r="AL555" s="273"/>
      <c r="AM555" s="273"/>
      <c r="AN555" s="273"/>
      <c r="AO555" s="273"/>
      <c r="AP555" s="273"/>
      <c r="AQ555" s="273"/>
      <c r="AR555" s="273"/>
      <c r="AS555" s="273"/>
      <c r="AT555" s="273"/>
      <c r="AU555" s="273"/>
      <c r="AV555" s="273"/>
    </row>
    <row r="556" spans="2:48" ht="12.75">
      <c r="B556" s="273"/>
      <c r="C556" s="273"/>
      <c r="D556" s="273"/>
      <c r="E556" s="273"/>
      <c r="F556" s="273"/>
      <c r="G556" s="273"/>
      <c r="H556" s="39"/>
      <c r="I556" s="273"/>
      <c r="J556" s="273"/>
      <c r="K556" s="273"/>
      <c r="L556" s="273"/>
      <c r="M556" s="273"/>
      <c r="N556" s="273"/>
      <c r="O556" s="273"/>
      <c r="P556" s="273"/>
      <c r="Q556" s="39"/>
      <c r="R556" s="273"/>
      <c r="S556" s="273"/>
      <c r="T556" s="273"/>
      <c r="U556" s="273"/>
      <c r="V556" s="273"/>
      <c r="W556" s="273"/>
      <c r="X556" s="39"/>
      <c r="Y556" s="273"/>
      <c r="Z556" s="273"/>
      <c r="AA556" s="273"/>
      <c r="AB556" s="273"/>
      <c r="AC556" s="273"/>
      <c r="AD556" s="273"/>
      <c r="AE556" s="273"/>
      <c r="AF556" s="273"/>
      <c r="AG556" s="273"/>
      <c r="AH556" s="273"/>
      <c r="AI556" s="273"/>
      <c r="AJ556" s="273"/>
      <c r="AK556" s="273"/>
      <c r="AL556" s="273"/>
      <c r="AM556" s="273"/>
      <c r="AN556" s="273"/>
      <c r="AO556" s="273"/>
      <c r="AP556" s="273"/>
      <c r="AQ556" s="273"/>
      <c r="AR556" s="273"/>
      <c r="AS556" s="273"/>
      <c r="AT556" s="273"/>
      <c r="AU556" s="273"/>
      <c r="AV556" s="273"/>
    </row>
    <row r="557" spans="2:48" ht="12.75">
      <c r="B557" s="273"/>
      <c r="C557" s="273"/>
      <c r="D557" s="273"/>
      <c r="E557" s="273"/>
      <c r="F557" s="273"/>
      <c r="G557" s="273"/>
      <c r="H557" s="39"/>
      <c r="I557" s="273"/>
      <c r="J557" s="273"/>
      <c r="K557" s="273"/>
      <c r="L557" s="273"/>
      <c r="M557" s="273"/>
      <c r="N557" s="273"/>
      <c r="O557" s="273"/>
      <c r="P557" s="273"/>
      <c r="Q557" s="39"/>
      <c r="R557" s="273"/>
      <c r="S557" s="273"/>
      <c r="T557" s="273"/>
      <c r="U557" s="273"/>
      <c r="V557" s="273"/>
      <c r="W557" s="273"/>
      <c r="X557" s="39"/>
      <c r="Y557" s="273"/>
      <c r="Z557" s="273"/>
      <c r="AA557" s="273"/>
      <c r="AB557" s="273"/>
      <c r="AC557" s="273"/>
      <c r="AD557" s="273"/>
      <c r="AE557" s="273"/>
      <c r="AF557" s="273"/>
      <c r="AG557" s="273"/>
      <c r="AH557" s="273"/>
      <c r="AI557" s="273"/>
      <c r="AJ557" s="273"/>
      <c r="AK557" s="273"/>
      <c r="AL557" s="273"/>
      <c r="AM557" s="273"/>
      <c r="AN557" s="273"/>
      <c r="AO557" s="273"/>
      <c r="AP557" s="273"/>
      <c r="AQ557" s="273"/>
      <c r="AR557" s="273"/>
      <c r="AS557" s="273"/>
      <c r="AT557" s="273"/>
      <c r="AU557" s="273"/>
      <c r="AV557" s="273"/>
    </row>
    <row r="558" spans="2:48" ht="12.75">
      <c r="B558" s="273"/>
      <c r="C558" s="273"/>
      <c r="D558" s="273"/>
      <c r="E558" s="273"/>
      <c r="F558" s="273"/>
      <c r="G558" s="273"/>
      <c r="H558" s="39"/>
      <c r="I558" s="273"/>
      <c r="J558" s="273"/>
      <c r="K558" s="273"/>
      <c r="L558" s="273"/>
      <c r="M558" s="273"/>
      <c r="N558" s="273"/>
      <c r="O558" s="273"/>
      <c r="P558" s="273"/>
      <c r="Q558" s="39"/>
      <c r="R558" s="273"/>
      <c r="S558" s="273"/>
      <c r="T558" s="273"/>
      <c r="U558" s="273"/>
      <c r="V558" s="273"/>
      <c r="W558" s="273"/>
      <c r="X558" s="39"/>
      <c r="Y558" s="273"/>
      <c r="Z558" s="273"/>
      <c r="AA558" s="273"/>
      <c r="AB558" s="273"/>
      <c r="AC558" s="273"/>
      <c r="AD558" s="273"/>
      <c r="AE558" s="273"/>
      <c r="AF558" s="273"/>
      <c r="AG558" s="273"/>
      <c r="AH558" s="273"/>
      <c r="AI558" s="273"/>
      <c r="AJ558" s="273"/>
      <c r="AK558" s="273"/>
      <c r="AL558" s="273"/>
      <c r="AM558" s="273"/>
      <c r="AN558" s="273"/>
      <c r="AO558" s="273"/>
      <c r="AP558" s="273"/>
      <c r="AQ558" s="273"/>
      <c r="AR558" s="273"/>
      <c r="AS558" s="273"/>
      <c r="AT558" s="273"/>
      <c r="AU558" s="273"/>
      <c r="AV558" s="273"/>
    </row>
    <row r="559" spans="2:48" ht="12.75">
      <c r="B559" s="273"/>
      <c r="C559" s="273"/>
      <c r="D559" s="273"/>
      <c r="E559" s="273"/>
      <c r="F559" s="273"/>
      <c r="G559" s="273"/>
      <c r="H559" s="39"/>
      <c r="I559" s="273"/>
      <c r="J559" s="273"/>
      <c r="K559" s="273"/>
      <c r="L559" s="273"/>
      <c r="M559" s="273"/>
      <c r="N559" s="273"/>
      <c r="O559" s="273"/>
      <c r="P559" s="273"/>
      <c r="Q559" s="39"/>
      <c r="R559" s="273"/>
      <c r="S559" s="273"/>
      <c r="T559" s="273"/>
      <c r="U559" s="273"/>
      <c r="V559" s="273"/>
      <c r="W559" s="273"/>
      <c r="X559" s="39"/>
      <c r="Y559" s="273"/>
      <c r="Z559" s="273"/>
      <c r="AA559" s="273"/>
      <c r="AB559" s="273"/>
      <c r="AC559" s="273"/>
      <c r="AD559" s="273"/>
      <c r="AE559" s="273"/>
      <c r="AF559" s="273"/>
      <c r="AG559" s="273"/>
      <c r="AH559" s="273"/>
      <c r="AI559" s="273"/>
      <c r="AJ559" s="273"/>
      <c r="AK559" s="273"/>
      <c r="AL559" s="273"/>
      <c r="AM559" s="273"/>
      <c r="AN559" s="273"/>
      <c r="AO559" s="273"/>
      <c r="AP559" s="273"/>
      <c r="AQ559" s="273"/>
      <c r="AR559" s="273"/>
      <c r="AS559" s="273"/>
      <c r="AT559" s="273"/>
      <c r="AU559" s="273"/>
      <c r="AV559" s="273"/>
    </row>
    <row r="560" spans="2:48" ht="12.75">
      <c r="B560" s="273"/>
      <c r="C560" s="273"/>
      <c r="D560" s="273"/>
      <c r="E560" s="273"/>
      <c r="F560" s="273"/>
      <c r="G560" s="273"/>
      <c r="H560" s="39"/>
      <c r="I560" s="273"/>
      <c r="J560" s="273"/>
      <c r="K560" s="273"/>
      <c r="L560" s="273"/>
      <c r="M560" s="273"/>
      <c r="N560" s="273"/>
      <c r="O560" s="273"/>
      <c r="P560" s="273"/>
      <c r="Q560" s="39"/>
      <c r="R560" s="273"/>
      <c r="S560" s="273"/>
      <c r="T560" s="273"/>
      <c r="U560" s="273"/>
      <c r="V560" s="273"/>
      <c r="W560" s="273"/>
      <c r="X560" s="39"/>
      <c r="Y560" s="273"/>
      <c r="Z560" s="273"/>
      <c r="AA560" s="273"/>
      <c r="AB560" s="273"/>
      <c r="AC560" s="273"/>
      <c r="AD560" s="273"/>
      <c r="AE560" s="273"/>
      <c r="AF560" s="273"/>
      <c r="AG560" s="273"/>
      <c r="AH560" s="273"/>
      <c r="AI560" s="273"/>
      <c r="AJ560" s="273"/>
      <c r="AK560" s="273"/>
      <c r="AL560" s="273"/>
      <c r="AM560" s="273"/>
      <c r="AN560" s="273"/>
      <c r="AO560" s="273"/>
      <c r="AP560" s="273"/>
      <c r="AQ560" s="273"/>
      <c r="AR560" s="273"/>
      <c r="AS560" s="273"/>
      <c r="AT560" s="273"/>
      <c r="AU560" s="273"/>
      <c r="AV560" s="273"/>
    </row>
    <row r="561" spans="2:48" ht="12.75">
      <c r="B561" s="273"/>
      <c r="C561" s="273"/>
      <c r="D561" s="273"/>
      <c r="E561" s="273"/>
      <c r="F561" s="273"/>
      <c r="G561" s="273"/>
      <c r="H561" s="39"/>
      <c r="I561" s="273"/>
      <c r="J561" s="273"/>
      <c r="K561" s="273"/>
      <c r="L561" s="273"/>
      <c r="M561" s="273"/>
      <c r="N561" s="273"/>
      <c r="O561" s="273"/>
      <c r="P561" s="273"/>
      <c r="Q561" s="39"/>
      <c r="R561" s="273"/>
      <c r="S561" s="273"/>
      <c r="T561" s="273"/>
      <c r="U561" s="273"/>
      <c r="V561" s="273"/>
      <c r="W561" s="273"/>
      <c r="X561" s="39"/>
      <c r="Y561" s="273"/>
      <c r="Z561" s="273"/>
      <c r="AA561" s="273"/>
      <c r="AB561" s="273"/>
      <c r="AC561" s="273"/>
      <c r="AD561" s="273"/>
      <c r="AE561" s="273"/>
      <c r="AF561" s="273"/>
      <c r="AG561" s="273"/>
      <c r="AH561" s="273"/>
      <c r="AI561" s="273"/>
      <c r="AJ561" s="273"/>
      <c r="AK561" s="273"/>
      <c r="AL561" s="273"/>
      <c r="AM561" s="273"/>
      <c r="AN561" s="273"/>
      <c r="AO561" s="273"/>
      <c r="AP561" s="273"/>
      <c r="AQ561" s="273"/>
      <c r="AR561" s="273"/>
      <c r="AS561" s="273"/>
      <c r="AT561" s="273"/>
      <c r="AU561" s="273"/>
      <c r="AV561" s="273"/>
    </row>
    <row r="562" spans="2:48" ht="12.75">
      <c r="B562" s="273"/>
      <c r="C562" s="273"/>
      <c r="D562" s="273"/>
      <c r="E562" s="273"/>
      <c r="F562" s="273"/>
      <c r="G562" s="273"/>
      <c r="H562" s="39"/>
      <c r="I562" s="273"/>
      <c r="J562" s="273"/>
      <c r="K562" s="273"/>
      <c r="L562" s="273"/>
      <c r="M562" s="273"/>
      <c r="N562" s="273"/>
      <c r="O562" s="273"/>
      <c r="P562" s="273"/>
      <c r="Q562" s="39"/>
      <c r="R562" s="273"/>
      <c r="S562" s="273"/>
      <c r="T562" s="273"/>
      <c r="U562" s="273"/>
      <c r="V562" s="273"/>
      <c r="W562" s="273"/>
      <c r="X562" s="39"/>
      <c r="Y562" s="273"/>
      <c r="Z562" s="273"/>
      <c r="AA562" s="273"/>
      <c r="AB562" s="273"/>
      <c r="AC562" s="273"/>
      <c r="AD562" s="273"/>
      <c r="AE562" s="273"/>
      <c r="AF562" s="273"/>
      <c r="AG562" s="273"/>
      <c r="AH562" s="273"/>
      <c r="AI562" s="273"/>
      <c r="AJ562" s="273"/>
      <c r="AK562" s="273"/>
      <c r="AL562" s="273"/>
      <c r="AM562" s="273"/>
      <c r="AN562" s="273"/>
      <c r="AO562" s="273"/>
      <c r="AP562" s="273"/>
      <c r="AQ562" s="273"/>
      <c r="AR562" s="273"/>
      <c r="AS562" s="273"/>
      <c r="AT562" s="273"/>
      <c r="AU562" s="273"/>
      <c r="AV562" s="273"/>
    </row>
    <row r="563" spans="2:48" ht="12.75">
      <c r="B563" s="273"/>
      <c r="C563" s="273"/>
      <c r="D563" s="273"/>
      <c r="E563" s="273"/>
      <c r="F563" s="273"/>
      <c r="G563" s="273"/>
      <c r="H563" s="39"/>
      <c r="I563" s="273"/>
      <c r="J563" s="273"/>
      <c r="K563" s="273"/>
      <c r="L563" s="273"/>
      <c r="M563" s="273"/>
      <c r="N563" s="273"/>
      <c r="O563" s="273"/>
      <c r="P563" s="273"/>
      <c r="Q563" s="39"/>
      <c r="R563" s="273"/>
      <c r="S563" s="273"/>
      <c r="T563" s="273"/>
      <c r="U563" s="273"/>
      <c r="V563" s="273"/>
      <c r="W563" s="273"/>
      <c r="X563" s="39"/>
      <c r="Y563" s="273"/>
      <c r="Z563" s="273"/>
      <c r="AA563" s="273"/>
      <c r="AB563" s="273"/>
      <c r="AC563" s="273"/>
      <c r="AD563" s="273"/>
      <c r="AE563" s="273"/>
      <c r="AF563" s="273"/>
      <c r="AG563" s="273"/>
      <c r="AH563" s="273"/>
      <c r="AI563" s="273"/>
      <c r="AJ563" s="273"/>
      <c r="AK563" s="273"/>
      <c r="AL563" s="273"/>
      <c r="AM563" s="273"/>
      <c r="AN563" s="273"/>
      <c r="AO563" s="273"/>
      <c r="AP563" s="273"/>
      <c r="AQ563" s="273"/>
      <c r="AR563" s="273"/>
      <c r="AS563" s="273"/>
      <c r="AT563" s="273"/>
      <c r="AU563" s="273"/>
      <c r="AV563" s="273"/>
    </row>
    <row r="564" spans="2:48" ht="12.75">
      <c r="B564" s="273"/>
      <c r="C564" s="273"/>
      <c r="D564" s="273"/>
      <c r="E564" s="273"/>
      <c r="F564" s="273"/>
      <c r="G564" s="273"/>
      <c r="H564" s="39"/>
      <c r="I564" s="273"/>
      <c r="J564" s="273"/>
      <c r="K564" s="273"/>
      <c r="L564" s="273"/>
      <c r="M564" s="273"/>
      <c r="N564" s="273"/>
      <c r="O564" s="273"/>
      <c r="P564" s="273"/>
      <c r="Q564" s="39"/>
      <c r="R564" s="273"/>
      <c r="S564" s="273"/>
      <c r="T564" s="273"/>
      <c r="U564" s="273"/>
      <c r="V564" s="273"/>
      <c r="W564" s="273"/>
      <c r="X564" s="39"/>
      <c r="Y564" s="273"/>
      <c r="Z564" s="273"/>
      <c r="AA564" s="273"/>
      <c r="AB564" s="273"/>
      <c r="AC564" s="273"/>
      <c r="AD564" s="273"/>
      <c r="AE564" s="273"/>
      <c r="AF564" s="273"/>
      <c r="AG564" s="273"/>
      <c r="AH564" s="273"/>
      <c r="AI564" s="273"/>
      <c r="AJ564" s="273"/>
      <c r="AK564" s="273"/>
      <c r="AL564" s="273"/>
      <c r="AM564" s="273"/>
      <c r="AN564" s="273"/>
      <c r="AO564" s="273"/>
      <c r="AP564" s="273"/>
      <c r="AQ564" s="273"/>
      <c r="AR564" s="273"/>
      <c r="AS564" s="273"/>
      <c r="AT564" s="273"/>
      <c r="AU564" s="273"/>
      <c r="AV564" s="273"/>
    </row>
    <row r="565" spans="2:48" ht="12.75">
      <c r="B565" s="273"/>
      <c r="C565" s="273"/>
      <c r="D565" s="273"/>
      <c r="E565" s="273"/>
      <c r="F565" s="273"/>
      <c r="G565" s="273"/>
      <c r="H565" s="39"/>
      <c r="I565" s="273"/>
      <c r="J565" s="273"/>
      <c r="K565" s="273"/>
      <c r="L565" s="273"/>
      <c r="M565" s="273"/>
      <c r="N565" s="273"/>
      <c r="O565" s="273"/>
      <c r="P565" s="273"/>
      <c r="Q565" s="39"/>
      <c r="R565" s="273"/>
      <c r="S565" s="273"/>
      <c r="T565" s="273"/>
      <c r="U565" s="273"/>
      <c r="V565" s="273"/>
      <c r="W565" s="273"/>
      <c r="X565" s="39"/>
      <c r="Y565" s="273"/>
      <c r="Z565" s="273"/>
      <c r="AA565" s="273"/>
      <c r="AB565" s="273"/>
      <c r="AC565" s="273"/>
      <c r="AD565" s="273"/>
      <c r="AE565" s="273"/>
      <c r="AF565" s="273"/>
      <c r="AG565" s="273"/>
      <c r="AH565" s="273"/>
      <c r="AI565" s="273"/>
      <c r="AJ565" s="273"/>
      <c r="AK565" s="273"/>
      <c r="AL565" s="273"/>
      <c r="AM565" s="273"/>
      <c r="AN565" s="273"/>
      <c r="AO565" s="273"/>
      <c r="AP565" s="273"/>
      <c r="AQ565" s="273"/>
      <c r="AR565" s="273"/>
      <c r="AS565" s="273"/>
      <c r="AT565" s="273"/>
      <c r="AU565" s="273"/>
      <c r="AV565" s="273"/>
    </row>
    <row r="566" spans="2:48" ht="12.75">
      <c r="B566" s="273"/>
      <c r="C566" s="273"/>
      <c r="D566" s="273"/>
      <c r="E566" s="273"/>
      <c r="F566" s="273"/>
      <c r="G566" s="273"/>
      <c r="H566" s="39"/>
      <c r="I566" s="273"/>
      <c r="J566" s="273"/>
      <c r="K566" s="273"/>
      <c r="L566" s="273"/>
      <c r="M566" s="273"/>
      <c r="N566" s="273"/>
      <c r="O566" s="273"/>
      <c r="P566" s="273"/>
      <c r="Q566" s="39"/>
      <c r="R566" s="273"/>
      <c r="S566" s="273"/>
      <c r="T566" s="273"/>
      <c r="U566" s="273"/>
      <c r="V566" s="273"/>
      <c r="W566" s="273"/>
      <c r="X566" s="39"/>
      <c r="Y566" s="273"/>
      <c r="Z566" s="273"/>
      <c r="AA566" s="273"/>
      <c r="AB566" s="273"/>
      <c r="AC566" s="273"/>
      <c r="AD566" s="273"/>
      <c r="AE566" s="273"/>
      <c r="AF566" s="273"/>
      <c r="AG566" s="273"/>
      <c r="AH566" s="273"/>
      <c r="AI566" s="273"/>
      <c r="AJ566" s="273"/>
      <c r="AK566" s="273"/>
      <c r="AL566" s="273"/>
      <c r="AM566" s="273"/>
      <c r="AN566" s="273"/>
      <c r="AO566" s="273"/>
      <c r="AP566" s="273"/>
      <c r="AQ566" s="273"/>
      <c r="AR566" s="273"/>
      <c r="AS566" s="273"/>
      <c r="AT566" s="273"/>
      <c r="AU566" s="273"/>
      <c r="AV566" s="273"/>
    </row>
    <row r="567" spans="2:48" ht="12.75">
      <c r="B567" s="273"/>
      <c r="C567" s="273"/>
      <c r="D567" s="273"/>
      <c r="E567" s="273"/>
      <c r="F567" s="273"/>
      <c r="G567" s="273"/>
      <c r="H567" s="39"/>
      <c r="I567" s="273"/>
      <c r="J567" s="273"/>
      <c r="K567" s="273"/>
      <c r="L567" s="273"/>
      <c r="M567" s="273"/>
      <c r="N567" s="273"/>
      <c r="O567" s="273"/>
      <c r="P567" s="273"/>
      <c r="Q567" s="39"/>
      <c r="R567" s="273"/>
      <c r="S567" s="273"/>
      <c r="T567" s="273"/>
      <c r="U567" s="273"/>
      <c r="V567" s="273"/>
      <c r="W567" s="273"/>
      <c r="X567" s="39"/>
      <c r="Y567" s="273"/>
      <c r="Z567" s="273"/>
      <c r="AA567" s="273"/>
      <c r="AB567" s="273"/>
      <c r="AC567" s="273"/>
      <c r="AD567" s="273"/>
      <c r="AE567" s="273"/>
      <c r="AF567" s="273"/>
      <c r="AG567" s="273"/>
      <c r="AH567" s="273"/>
      <c r="AI567" s="273"/>
      <c r="AJ567" s="273"/>
      <c r="AK567" s="273"/>
      <c r="AL567" s="273"/>
      <c r="AM567" s="273"/>
      <c r="AN567" s="273"/>
      <c r="AO567" s="273"/>
      <c r="AP567" s="273"/>
      <c r="AQ567" s="273"/>
      <c r="AR567" s="273"/>
      <c r="AS567" s="273"/>
      <c r="AT567" s="273"/>
      <c r="AU567" s="273"/>
      <c r="AV567" s="273"/>
    </row>
    <row r="568" spans="2:48" ht="12.75">
      <c r="B568" s="273"/>
      <c r="C568" s="273"/>
      <c r="D568" s="273"/>
      <c r="E568" s="273"/>
      <c r="F568" s="273"/>
      <c r="G568" s="273"/>
      <c r="H568" s="39"/>
      <c r="I568" s="273"/>
      <c r="J568" s="273"/>
      <c r="K568" s="273"/>
      <c r="L568" s="273"/>
      <c r="M568" s="273"/>
      <c r="N568" s="273"/>
      <c r="O568" s="273"/>
      <c r="P568" s="273"/>
      <c r="Q568" s="39"/>
      <c r="R568" s="273"/>
      <c r="S568" s="273"/>
      <c r="T568" s="273"/>
      <c r="U568" s="273"/>
      <c r="V568" s="273"/>
      <c r="W568" s="273"/>
      <c r="X568" s="39"/>
      <c r="Y568" s="273"/>
      <c r="Z568" s="273"/>
      <c r="AA568" s="273"/>
      <c r="AB568" s="273"/>
      <c r="AC568" s="273"/>
      <c r="AD568" s="273"/>
      <c r="AE568" s="273"/>
      <c r="AF568" s="273"/>
      <c r="AG568" s="273"/>
      <c r="AH568" s="273"/>
      <c r="AI568" s="273"/>
      <c r="AJ568" s="273"/>
      <c r="AK568" s="273"/>
      <c r="AL568" s="273"/>
      <c r="AM568" s="273"/>
      <c r="AN568" s="273"/>
      <c r="AO568" s="273"/>
      <c r="AP568" s="273"/>
      <c r="AQ568" s="273"/>
      <c r="AR568" s="273"/>
      <c r="AS568" s="273"/>
      <c r="AT568" s="273"/>
      <c r="AU568" s="273"/>
      <c r="AV568" s="273"/>
    </row>
    <row r="569" spans="2:48" ht="12.75">
      <c r="B569" s="273"/>
      <c r="C569" s="273"/>
      <c r="D569" s="273"/>
      <c r="E569" s="273"/>
      <c r="F569" s="273"/>
      <c r="G569" s="273"/>
      <c r="H569" s="39"/>
      <c r="I569" s="273"/>
      <c r="J569" s="273"/>
      <c r="K569" s="273"/>
      <c r="L569" s="273"/>
      <c r="M569" s="273"/>
      <c r="N569" s="273"/>
      <c r="O569" s="273"/>
      <c r="P569" s="273"/>
      <c r="Q569" s="39"/>
      <c r="R569" s="273"/>
      <c r="S569" s="273"/>
      <c r="T569" s="273"/>
      <c r="U569" s="273"/>
      <c r="V569" s="273"/>
      <c r="W569" s="273"/>
      <c r="X569" s="39"/>
      <c r="Y569" s="273"/>
      <c r="Z569" s="273"/>
      <c r="AA569" s="273"/>
      <c r="AB569" s="273"/>
      <c r="AC569" s="273"/>
      <c r="AD569" s="273"/>
      <c r="AE569" s="273"/>
      <c r="AF569" s="273"/>
      <c r="AG569" s="273"/>
      <c r="AH569" s="273"/>
      <c r="AI569" s="273"/>
      <c r="AJ569" s="273"/>
      <c r="AK569" s="273"/>
      <c r="AL569" s="273"/>
      <c r="AM569" s="273"/>
      <c r="AN569" s="273"/>
      <c r="AO569" s="273"/>
      <c r="AP569" s="273"/>
      <c r="AQ569" s="273"/>
      <c r="AR569" s="273"/>
      <c r="AS569" s="273"/>
      <c r="AT569" s="273"/>
      <c r="AU569" s="273"/>
      <c r="AV569" s="273"/>
    </row>
    <row r="570" spans="2:48" ht="12.75">
      <c r="B570" s="273"/>
      <c r="C570" s="273"/>
      <c r="D570" s="273"/>
      <c r="E570" s="273"/>
      <c r="F570" s="273"/>
      <c r="G570" s="273"/>
      <c r="H570" s="39"/>
      <c r="I570" s="273"/>
      <c r="J570" s="273"/>
      <c r="K570" s="273"/>
      <c r="L570" s="273"/>
      <c r="M570" s="273"/>
      <c r="N570" s="273"/>
      <c r="O570" s="273"/>
      <c r="P570" s="273"/>
      <c r="Q570" s="39"/>
      <c r="R570" s="273"/>
      <c r="S570" s="273"/>
      <c r="T570" s="273"/>
      <c r="U570" s="273"/>
      <c r="V570" s="273"/>
      <c r="W570" s="273"/>
      <c r="X570" s="39"/>
      <c r="Y570" s="273"/>
      <c r="Z570" s="273"/>
      <c r="AA570" s="273"/>
      <c r="AB570" s="273"/>
      <c r="AC570" s="273"/>
      <c r="AD570" s="273"/>
      <c r="AE570" s="273"/>
      <c r="AF570" s="273"/>
      <c r="AG570" s="273"/>
      <c r="AH570" s="273"/>
      <c r="AI570" s="273"/>
      <c r="AJ570" s="273"/>
      <c r="AK570" s="273"/>
      <c r="AL570" s="273"/>
      <c r="AM570" s="273"/>
      <c r="AN570" s="273"/>
      <c r="AO570" s="273"/>
      <c r="AP570" s="273"/>
      <c r="AQ570" s="273"/>
      <c r="AR570" s="273"/>
      <c r="AS570" s="273"/>
      <c r="AT570" s="273"/>
      <c r="AU570" s="273"/>
      <c r="AV570" s="273"/>
    </row>
    <row r="571" spans="2:48" ht="12.75">
      <c r="B571" s="273"/>
      <c r="C571" s="273"/>
      <c r="D571" s="273"/>
      <c r="E571" s="273"/>
      <c r="F571" s="273"/>
      <c r="G571" s="273"/>
      <c r="H571" s="39"/>
      <c r="I571" s="273"/>
      <c r="J571" s="273"/>
      <c r="K571" s="273"/>
      <c r="L571" s="273"/>
      <c r="M571" s="273"/>
      <c r="N571" s="273"/>
      <c r="O571" s="273"/>
      <c r="P571" s="273"/>
      <c r="Q571" s="39"/>
      <c r="R571" s="273"/>
      <c r="S571" s="273"/>
      <c r="T571" s="273"/>
      <c r="U571" s="273"/>
      <c r="V571" s="273"/>
      <c r="W571" s="273"/>
      <c r="X571" s="39"/>
      <c r="Y571" s="273"/>
      <c r="Z571" s="273"/>
      <c r="AA571" s="273"/>
      <c r="AB571" s="273"/>
      <c r="AC571" s="273"/>
      <c r="AD571" s="273"/>
      <c r="AE571" s="273"/>
      <c r="AF571" s="273"/>
      <c r="AG571" s="273"/>
      <c r="AH571" s="273"/>
      <c r="AI571" s="273"/>
      <c r="AJ571" s="273"/>
      <c r="AK571" s="273"/>
      <c r="AL571" s="273"/>
      <c r="AM571" s="273"/>
      <c r="AN571" s="273"/>
      <c r="AO571" s="273"/>
      <c r="AP571" s="273"/>
      <c r="AQ571" s="273"/>
      <c r="AR571" s="273"/>
      <c r="AS571" s="273"/>
      <c r="AT571" s="273"/>
      <c r="AU571" s="273"/>
      <c r="AV571" s="273"/>
    </row>
    <row r="572" spans="2:48" ht="12.75">
      <c r="B572" s="273"/>
      <c r="C572" s="273"/>
      <c r="D572" s="273"/>
      <c r="E572" s="273"/>
      <c r="F572" s="273"/>
      <c r="G572" s="273"/>
      <c r="H572" s="39"/>
      <c r="I572" s="273"/>
      <c r="J572" s="273"/>
      <c r="K572" s="273"/>
      <c r="L572" s="273"/>
      <c r="M572" s="273"/>
      <c r="N572" s="273"/>
      <c r="O572" s="273"/>
      <c r="P572" s="273"/>
      <c r="Q572" s="39"/>
      <c r="R572" s="273"/>
      <c r="S572" s="273"/>
      <c r="T572" s="273"/>
      <c r="U572" s="273"/>
      <c r="V572" s="273"/>
      <c r="W572" s="273"/>
      <c r="X572" s="39"/>
      <c r="Y572" s="273"/>
      <c r="Z572" s="273"/>
      <c r="AA572" s="273"/>
      <c r="AB572" s="273"/>
      <c r="AC572" s="273"/>
      <c r="AD572" s="273"/>
      <c r="AE572" s="273"/>
      <c r="AF572" s="273"/>
      <c r="AG572" s="273"/>
      <c r="AH572" s="273"/>
      <c r="AI572" s="273"/>
      <c r="AJ572" s="273"/>
      <c r="AK572" s="273"/>
      <c r="AL572" s="273"/>
      <c r="AM572" s="273"/>
      <c r="AN572" s="273"/>
      <c r="AO572" s="273"/>
      <c r="AP572" s="273"/>
      <c r="AQ572" s="273"/>
      <c r="AR572" s="273"/>
      <c r="AS572" s="273"/>
      <c r="AT572" s="273"/>
      <c r="AU572" s="273"/>
      <c r="AV572" s="273"/>
    </row>
    <row r="573" spans="2:48" ht="12.75">
      <c r="B573" s="273"/>
      <c r="C573" s="273"/>
      <c r="D573" s="273"/>
      <c r="E573" s="273"/>
      <c r="F573" s="273"/>
      <c r="G573" s="273"/>
      <c r="H573" s="39"/>
      <c r="I573" s="273"/>
      <c r="J573" s="273"/>
      <c r="K573" s="273"/>
      <c r="L573" s="273"/>
      <c r="M573" s="273"/>
      <c r="N573" s="273"/>
      <c r="O573" s="273"/>
      <c r="P573" s="273"/>
      <c r="Q573" s="39"/>
      <c r="R573" s="273"/>
      <c r="S573" s="273"/>
      <c r="T573" s="273"/>
      <c r="U573" s="273"/>
      <c r="V573" s="273"/>
      <c r="W573" s="273"/>
      <c r="X573" s="39"/>
      <c r="Y573" s="273"/>
      <c r="Z573" s="273"/>
      <c r="AA573" s="273"/>
      <c r="AB573" s="273"/>
      <c r="AC573" s="273"/>
      <c r="AD573" s="273"/>
      <c r="AE573" s="273"/>
      <c r="AF573" s="273"/>
      <c r="AG573" s="273"/>
      <c r="AH573" s="273"/>
      <c r="AI573" s="273"/>
      <c r="AJ573" s="273"/>
      <c r="AK573" s="273"/>
      <c r="AL573" s="273"/>
      <c r="AM573" s="273"/>
      <c r="AN573" s="273"/>
      <c r="AO573" s="273"/>
      <c r="AP573" s="273"/>
      <c r="AQ573" s="273"/>
      <c r="AR573" s="273"/>
      <c r="AS573" s="273"/>
      <c r="AT573" s="273"/>
      <c r="AU573" s="273"/>
      <c r="AV573" s="273"/>
    </row>
    <row r="574" spans="2:48" ht="12.75">
      <c r="B574" s="273"/>
      <c r="C574" s="273"/>
      <c r="D574" s="273"/>
      <c r="E574" s="273"/>
      <c r="F574" s="273"/>
      <c r="G574" s="273"/>
      <c r="H574" s="39"/>
      <c r="I574" s="273"/>
      <c r="J574" s="273"/>
      <c r="K574" s="273"/>
      <c r="L574" s="273"/>
      <c r="M574" s="273"/>
      <c r="N574" s="273"/>
      <c r="O574" s="273"/>
      <c r="P574" s="273"/>
      <c r="Q574" s="39"/>
      <c r="R574" s="273"/>
      <c r="S574" s="273"/>
      <c r="T574" s="273"/>
      <c r="U574" s="273"/>
      <c r="V574" s="273"/>
      <c r="W574" s="273"/>
      <c r="X574" s="39"/>
      <c r="Y574" s="273"/>
      <c r="Z574" s="273"/>
      <c r="AA574" s="273"/>
      <c r="AB574" s="273"/>
      <c r="AC574" s="273"/>
      <c r="AD574" s="273"/>
      <c r="AE574" s="273"/>
      <c r="AF574" s="273"/>
      <c r="AG574" s="273"/>
      <c r="AH574" s="273"/>
      <c r="AI574" s="273"/>
      <c r="AJ574" s="273"/>
      <c r="AK574" s="273"/>
      <c r="AL574" s="273"/>
      <c r="AM574" s="273"/>
      <c r="AN574" s="273"/>
      <c r="AO574" s="273"/>
      <c r="AP574" s="273"/>
      <c r="AQ574" s="273"/>
      <c r="AR574" s="273"/>
      <c r="AS574" s="273"/>
      <c r="AT574" s="273"/>
      <c r="AU574" s="273"/>
      <c r="AV574" s="273"/>
    </row>
    <row r="575" spans="2:48" ht="12.75">
      <c r="B575" s="273"/>
      <c r="C575" s="273"/>
      <c r="D575" s="273"/>
      <c r="E575" s="273"/>
      <c r="F575" s="273"/>
      <c r="G575" s="273"/>
      <c r="H575" s="39"/>
      <c r="I575" s="273"/>
      <c r="J575" s="273"/>
      <c r="K575" s="273"/>
      <c r="L575" s="273"/>
      <c r="M575" s="273"/>
      <c r="N575" s="273"/>
      <c r="O575" s="273"/>
      <c r="P575" s="273"/>
      <c r="Q575" s="39"/>
      <c r="R575" s="273"/>
      <c r="S575" s="273"/>
      <c r="T575" s="273"/>
      <c r="U575" s="273"/>
      <c r="V575" s="273"/>
      <c r="W575" s="273"/>
      <c r="X575" s="39"/>
      <c r="Y575" s="273"/>
      <c r="Z575" s="273"/>
      <c r="AA575" s="273"/>
      <c r="AB575" s="273"/>
      <c r="AC575" s="273"/>
      <c r="AD575" s="273"/>
      <c r="AE575" s="273"/>
      <c r="AF575" s="273"/>
      <c r="AG575" s="273"/>
      <c r="AH575" s="273"/>
      <c r="AI575" s="273"/>
      <c r="AJ575" s="273"/>
      <c r="AK575" s="273"/>
      <c r="AL575" s="273"/>
      <c r="AM575" s="273"/>
      <c r="AN575" s="273"/>
      <c r="AO575" s="273"/>
      <c r="AP575" s="273"/>
      <c r="AQ575" s="273"/>
      <c r="AR575" s="273"/>
      <c r="AS575" s="273"/>
      <c r="AT575" s="273"/>
      <c r="AU575" s="273"/>
      <c r="AV575" s="273"/>
    </row>
    <row r="576" spans="2:48" ht="12.75">
      <c r="B576" s="273"/>
      <c r="C576" s="273"/>
      <c r="D576" s="273"/>
      <c r="E576" s="273"/>
      <c r="F576" s="273"/>
      <c r="G576" s="273"/>
      <c r="H576" s="39"/>
      <c r="I576" s="273"/>
      <c r="J576" s="273"/>
      <c r="K576" s="273"/>
      <c r="L576" s="273"/>
      <c r="M576" s="273"/>
      <c r="N576" s="273"/>
      <c r="O576" s="273"/>
      <c r="P576" s="273"/>
      <c r="Q576" s="39"/>
      <c r="R576" s="273"/>
      <c r="S576" s="273"/>
      <c r="T576" s="273"/>
      <c r="U576" s="273"/>
      <c r="V576" s="273"/>
      <c r="W576" s="273"/>
      <c r="X576" s="39"/>
      <c r="Y576" s="273"/>
      <c r="Z576" s="273"/>
      <c r="AA576" s="273"/>
      <c r="AB576" s="273"/>
      <c r="AC576" s="273"/>
      <c r="AD576" s="273"/>
      <c r="AE576" s="273"/>
      <c r="AF576" s="273"/>
      <c r="AG576" s="273"/>
      <c r="AH576" s="273"/>
      <c r="AI576" s="273"/>
      <c r="AJ576" s="273"/>
      <c r="AK576" s="273"/>
      <c r="AL576" s="273"/>
      <c r="AM576" s="273"/>
      <c r="AN576" s="273"/>
      <c r="AO576" s="273"/>
      <c r="AP576" s="273"/>
      <c r="AQ576" s="273"/>
      <c r="AR576" s="273"/>
      <c r="AS576" s="273"/>
      <c r="AT576" s="273"/>
      <c r="AU576" s="273"/>
      <c r="AV576" s="273"/>
    </row>
    <row r="577" spans="2:48" ht="12.75">
      <c r="B577" s="273"/>
      <c r="C577" s="273"/>
      <c r="D577" s="273"/>
      <c r="E577" s="273"/>
      <c r="F577" s="273"/>
      <c r="G577" s="273"/>
      <c r="H577" s="39"/>
      <c r="I577" s="273"/>
      <c r="J577" s="273"/>
      <c r="K577" s="273"/>
      <c r="L577" s="273"/>
      <c r="M577" s="273"/>
      <c r="N577" s="273"/>
      <c r="O577" s="273"/>
      <c r="P577" s="273"/>
      <c r="Q577" s="39"/>
      <c r="R577" s="273"/>
      <c r="S577" s="273"/>
      <c r="T577" s="273"/>
      <c r="U577" s="273"/>
      <c r="V577" s="273"/>
      <c r="W577" s="273"/>
      <c r="X577" s="39"/>
      <c r="Y577" s="273"/>
      <c r="Z577" s="273"/>
      <c r="AA577" s="273"/>
      <c r="AB577" s="273"/>
      <c r="AC577" s="273"/>
      <c r="AD577" s="273"/>
      <c r="AE577" s="273"/>
      <c r="AF577" s="273"/>
      <c r="AG577" s="273"/>
      <c r="AH577" s="273"/>
      <c r="AI577" s="273"/>
      <c r="AJ577" s="273"/>
      <c r="AK577" s="273"/>
      <c r="AL577" s="273"/>
      <c r="AM577" s="273"/>
      <c r="AN577" s="273"/>
      <c r="AO577" s="273"/>
      <c r="AP577" s="273"/>
      <c r="AQ577" s="273"/>
      <c r="AR577" s="273"/>
      <c r="AS577" s="273"/>
      <c r="AT577" s="273"/>
      <c r="AU577" s="273"/>
      <c r="AV577" s="273"/>
    </row>
    <row r="578" spans="2:48" ht="12.75">
      <c r="B578" s="273"/>
      <c r="C578" s="273"/>
      <c r="D578" s="273"/>
      <c r="E578" s="273"/>
      <c r="F578" s="273"/>
      <c r="G578" s="273"/>
      <c r="H578" s="39"/>
      <c r="I578" s="273"/>
      <c r="J578" s="273"/>
      <c r="K578" s="273"/>
      <c r="L578" s="273"/>
      <c r="M578" s="273"/>
      <c r="N578" s="273"/>
      <c r="O578" s="273"/>
      <c r="P578" s="273"/>
      <c r="Q578" s="39"/>
      <c r="R578" s="273"/>
      <c r="S578" s="273"/>
      <c r="T578" s="273"/>
      <c r="U578" s="273"/>
      <c r="V578" s="273"/>
      <c r="W578" s="273"/>
      <c r="X578" s="39"/>
      <c r="Y578" s="273"/>
      <c r="Z578" s="273"/>
      <c r="AA578" s="273"/>
      <c r="AB578" s="273"/>
      <c r="AC578" s="273"/>
      <c r="AD578" s="273"/>
      <c r="AE578" s="273"/>
      <c r="AF578" s="273"/>
      <c r="AG578" s="273"/>
      <c r="AH578" s="273"/>
      <c r="AI578" s="273"/>
      <c r="AJ578" s="273"/>
      <c r="AK578" s="273"/>
      <c r="AL578" s="273"/>
      <c r="AM578" s="273"/>
      <c r="AN578" s="273"/>
      <c r="AO578" s="273"/>
      <c r="AP578" s="273"/>
      <c r="AQ578" s="273"/>
      <c r="AR578" s="273"/>
      <c r="AS578" s="273"/>
      <c r="AT578" s="273"/>
      <c r="AU578" s="273"/>
      <c r="AV578" s="273"/>
    </row>
    <row r="579" spans="2:48" ht="12.75">
      <c r="B579" s="273"/>
      <c r="C579" s="273"/>
      <c r="D579" s="273"/>
      <c r="E579" s="273"/>
      <c r="F579" s="273"/>
      <c r="G579" s="273"/>
      <c r="H579" s="39"/>
      <c r="I579" s="273"/>
      <c r="J579" s="273"/>
      <c r="K579" s="273"/>
      <c r="L579" s="273"/>
      <c r="M579" s="273"/>
      <c r="N579" s="273"/>
      <c r="O579" s="273"/>
      <c r="P579" s="273"/>
      <c r="Q579" s="39"/>
      <c r="R579" s="273"/>
      <c r="S579" s="273"/>
      <c r="T579" s="273"/>
      <c r="U579" s="273"/>
      <c r="V579" s="273"/>
      <c r="W579" s="273"/>
      <c r="X579" s="39"/>
      <c r="Y579" s="273"/>
      <c r="Z579" s="273"/>
      <c r="AA579" s="273"/>
      <c r="AB579" s="273"/>
      <c r="AC579" s="273"/>
      <c r="AD579" s="273"/>
      <c r="AE579" s="273"/>
      <c r="AF579" s="273"/>
      <c r="AG579" s="273"/>
      <c r="AH579" s="273"/>
      <c r="AI579" s="273"/>
      <c r="AJ579" s="273"/>
      <c r="AK579" s="273"/>
      <c r="AL579" s="273"/>
      <c r="AM579" s="273"/>
      <c r="AN579" s="273"/>
      <c r="AO579" s="273"/>
      <c r="AP579" s="273"/>
      <c r="AQ579" s="273"/>
      <c r="AR579" s="273"/>
      <c r="AS579" s="273"/>
      <c r="AT579" s="273"/>
      <c r="AU579" s="273"/>
      <c r="AV579" s="273"/>
    </row>
    <row r="580" spans="2:48" ht="12.75">
      <c r="B580" s="273"/>
      <c r="C580" s="273"/>
      <c r="D580" s="273"/>
      <c r="E580" s="273"/>
      <c r="F580" s="273"/>
      <c r="G580" s="273"/>
      <c r="H580" s="39"/>
      <c r="I580" s="273"/>
      <c r="J580" s="273"/>
      <c r="K580" s="273"/>
      <c r="L580" s="273"/>
      <c r="M580" s="273"/>
      <c r="N580" s="273"/>
      <c r="O580" s="273"/>
      <c r="P580" s="273"/>
      <c r="Q580" s="39"/>
      <c r="R580" s="273"/>
      <c r="S580" s="273"/>
      <c r="T580" s="273"/>
      <c r="U580" s="273"/>
      <c r="V580" s="273"/>
      <c r="W580" s="273"/>
      <c r="X580" s="39"/>
      <c r="Y580" s="273"/>
      <c r="Z580" s="273"/>
      <c r="AA580" s="273"/>
      <c r="AB580" s="273"/>
      <c r="AC580" s="273"/>
      <c r="AD580" s="273"/>
      <c r="AE580" s="273"/>
      <c r="AF580" s="273"/>
      <c r="AG580" s="273"/>
      <c r="AH580" s="273"/>
      <c r="AI580" s="273"/>
      <c r="AJ580" s="273"/>
      <c r="AK580" s="273"/>
      <c r="AL580" s="273"/>
      <c r="AM580" s="273"/>
      <c r="AN580" s="273"/>
      <c r="AO580" s="273"/>
      <c r="AP580" s="273"/>
      <c r="AQ580" s="273"/>
      <c r="AR580" s="273"/>
      <c r="AS580" s="273"/>
      <c r="AT580" s="273"/>
      <c r="AU580" s="273"/>
      <c r="AV580" s="273"/>
    </row>
    <row r="581" spans="2:48" ht="12.75">
      <c r="B581" s="273"/>
      <c r="C581" s="273"/>
      <c r="D581" s="273"/>
      <c r="E581" s="273"/>
      <c r="F581" s="273"/>
      <c r="G581" s="273"/>
      <c r="H581" s="39"/>
      <c r="I581" s="273"/>
      <c r="J581" s="273"/>
      <c r="K581" s="273"/>
      <c r="L581" s="273"/>
      <c r="M581" s="273"/>
      <c r="N581" s="273"/>
      <c r="O581" s="273"/>
      <c r="P581" s="273"/>
      <c r="Q581" s="39"/>
      <c r="R581" s="273"/>
      <c r="S581" s="273"/>
      <c r="T581" s="273"/>
      <c r="U581" s="273"/>
      <c r="V581" s="273"/>
      <c r="W581" s="273"/>
      <c r="X581" s="39"/>
      <c r="Y581" s="273"/>
      <c r="Z581" s="273"/>
      <c r="AA581" s="273"/>
      <c r="AB581" s="273"/>
      <c r="AC581" s="273"/>
      <c r="AD581" s="273"/>
      <c r="AE581" s="273"/>
      <c r="AF581" s="273"/>
      <c r="AG581" s="273"/>
      <c r="AH581" s="273"/>
      <c r="AI581" s="273"/>
      <c r="AJ581" s="273"/>
      <c r="AK581" s="273"/>
      <c r="AL581" s="273"/>
      <c r="AM581" s="273"/>
      <c r="AN581" s="273"/>
      <c r="AO581" s="273"/>
      <c r="AP581" s="273"/>
      <c r="AQ581" s="273"/>
      <c r="AR581" s="273"/>
      <c r="AS581" s="273"/>
      <c r="AT581" s="273"/>
      <c r="AU581" s="273"/>
      <c r="AV581" s="273"/>
    </row>
    <row r="582" spans="2:48" ht="12.75">
      <c r="B582" s="273"/>
      <c r="C582" s="273"/>
      <c r="D582" s="273"/>
      <c r="E582" s="273"/>
      <c r="F582" s="273"/>
      <c r="G582" s="273"/>
      <c r="H582" s="39"/>
      <c r="I582" s="273"/>
      <c r="J582" s="273"/>
      <c r="K582" s="273"/>
      <c r="L582" s="273"/>
      <c r="M582" s="273"/>
      <c r="N582" s="273"/>
      <c r="O582" s="273"/>
      <c r="P582" s="273"/>
      <c r="Q582" s="39"/>
      <c r="R582" s="273"/>
      <c r="S582" s="273"/>
      <c r="T582" s="273"/>
      <c r="U582" s="273"/>
      <c r="V582" s="273"/>
      <c r="W582" s="273"/>
      <c r="X582" s="39"/>
      <c r="Y582" s="273"/>
      <c r="Z582" s="273"/>
      <c r="AA582" s="273"/>
      <c r="AB582" s="273"/>
      <c r="AC582" s="273"/>
      <c r="AD582" s="273"/>
      <c r="AE582" s="273"/>
      <c r="AF582" s="273"/>
      <c r="AG582" s="273"/>
      <c r="AH582" s="273"/>
      <c r="AI582" s="273"/>
      <c r="AJ582" s="273"/>
      <c r="AK582" s="273"/>
      <c r="AL582" s="273"/>
      <c r="AM582" s="273"/>
      <c r="AN582" s="273"/>
      <c r="AO582" s="273"/>
      <c r="AP582" s="273"/>
      <c r="AQ582" s="273"/>
      <c r="AR582" s="273"/>
      <c r="AS582" s="273"/>
      <c r="AT582" s="273"/>
      <c r="AU582" s="273"/>
      <c r="AV582" s="273"/>
    </row>
    <row r="583" spans="2:48" ht="12.75">
      <c r="B583" s="273"/>
      <c r="C583" s="273"/>
      <c r="D583" s="273"/>
      <c r="E583" s="273"/>
      <c r="F583" s="273"/>
      <c r="G583" s="273"/>
      <c r="H583" s="39"/>
      <c r="I583" s="273"/>
      <c r="J583" s="273"/>
      <c r="K583" s="273"/>
      <c r="L583" s="273"/>
      <c r="M583" s="273"/>
      <c r="N583" s="273"/>
      <c r="O583" s="273"/>
      <c r="P583" s="273"/>
      <c r="Q583" s="39"/>
      <c r="R583" s="273"/>
      <c r="S583" s="273"/>
      <c r="T583" s="273"/>
      <c r="U583" s="273"/>
      <c r="V583" s="273"/>
      <c r="W583" s="273"/>
      <c r="X583" s="39"/>
      <c r="Y583" s="273"/>
      <c r="Z583" s="273"/>
      <c r="AA583" s="273"/>
      <c r="AB583" s="273"/>
      <c r="AC583" s="273"/>
      <c r="AD583" s="273"/>
      <c r="AE583" s="273"/>
      <c r="AF583" s="273"/>
      <c r="AG583" s="273"/>
      <c r="AH583" s="273"/>
      <c r="AI583" s="273"/>
      <c r="AJ583" s="273"/>
      <c r="AK583" s="273"/>
      <c r="AL583" s="273"/>
      <c r="AM583" s="273"/>
      <c r="AN583" s="273"/>
      <c r="AO583" s="273"/>
      <c r="AP583" s="273"/>
      <c r="AQ583" s="273"/>
      <c r="AR583" s="273"/>
      <c r="AS583" s="273"/>
      <c r="AT583" s="273"/>
      <c r="AU583" s="273"/>
      <c r="AV583" s="273"/>
    </row>
    <row r="584" spans="2:48" ht="12.75">
      <c r="B584" s="273"/>
      <c r="C584" s="273"/>
      <c r="D584" s="273"/>
      <c r="E584" s="273"/>
      <c r="F584" s="273"/>
      <c r="G584" s="273"/>
      <c r="H584" s="39"/>
      <c r="I584" s="273"/>
      <c r="J584" s="273"/>
      <c r="K584" s="273"/>
      <c r="L584" s="273"/>
      <c r="M584" s="273"/>
      <c r="N584" s="273"/>
      <c r="O584" s="273"/>
      <c r="P584" s="273"/>
      <c r="Q584" s="39"/>
      <c r="R584" s="273"/>
      <c r="S584" s="273"/>
      <c r="T584" s="273"/>
      <c r="U584" s="273"/>
      <c r="V584" s="273"/>
      <c r="W584" s="273"/>
      <c r="X584" s="39"/>
      <c r="Y584" s="273"/>
      <c r="Z584" s="273"/>
      <c r="AA584" s="273"/>
      <c r="AB584" s="273"/>
      <c r="AC584" s="273"/>
      <c r="AD584" s="273"/>
      <c r="AE584" s="273"/>
      <c r="AF584" s="273"/>
      <c r="AG584" s="273"/>
      <c r="AH584" s="273"/>
      <c r="AI584" s="273"/>
      <c r="AJ584" s="273"/>
      <c r="AK584" s="273"/>
      <c r="AL584" s="273"/>
      <c r="AM584" s="273"/>
      <c r="AN584" s="273"/>
      <c r="AO584" s="273"/>
      <c r="AP584" s="273"/>
      <c r="AQ584" s="273"/>
      <c r="AR584" s="273"/>
      <c r="AS584" s="273"/>
      <c r="AT584" s="273"/>
      <c r="AU584" s="273"/>
      <c r="AV584" s="273"/>
    </row>
    <row r="585" spans="2:48" ht="12.75">
      <c r="B585" s="273"/>
      <c r="C585" s="273"/>
      <c r="D585" s="273"/>
      <c r="E585" s="273"/>
      <c r="F585" s="273"/>
      <c r="G585" s="273"/>
      <c r="H585" s="39"/>
      <c r="I585" s="273"/>
      <c r="J585" s="273"/>
      <c r="K585" s="273"/>
      <c r="L585" s="273"/>
      <c r="M585" s="273"/>
      <c r="N585" s="273"/>
      <c r="O585" s="273"/>
      <c r="P585" s="273"/>
      <c r="Q585" s="39"/>
      <c r="R585" s="273"/>
      <c r="S585" s="273"/>
      <c r="T585" s="273"/>
      <c r="U585" s="273"/>
      <c r="V585" s="273"/>
      <c r="W585" s="273"/>
      <c r="X585" s="39"/>
      <c r="Y585" s="273"/>
      <c r="Z585" s="273"/>
      <c r="AA585" s="273"/>
      <c r="AB585" s="273"/>
      <c r="AC585" s="273"/>
      <c r="AD585" s="273"/>
      <c r="AE585" s="273"/>
      <c r="AF585" s="273"/>
      <c r="AG585" s="273"/>
      <c r="AH585" s="273"/>
      <c r="AI585" s="273"/>
      <c r="AJ585" s="273"/>
      <c r="AK585" s="273"/>
      <c r="AL585" s="273"/>
      <c r="AM585" s="273"/>
      <c r="AN585" s="273"/>
      <c r="AO585" s="273"/>
      <c r="AP585" s="273"/>
      <c r="AQ585" s="273"/>
      <c r="AR585" s="273"/>
      <c r="AS585" s="273"/>
      <c r="AT585" s="273"/>
      <c r="AU585" s="273"/>
      <c r="AV585" s="273"/>
    </row>
    <row r="586" spans="2:48" ht="12.75">
      <c r="B586" s="273"/>
      <c r="C586" s="273"/>
      <c r="D586" s="273"/>
      <c r="E586" s="273"/>
      <c r="F586" s="273"/>
      <c r="G586" s="273"/>
      <c r="H586" s="39"/>
      <c r="I586" s="273"/>
      <c r="J586" s="273"/>
      <c r="K586" s="273"/>
      <c r="L586" s="273"/>
      <c r="M586" s="273"/>
      <c r="N586" s="273"/>
      <c r="O586" s="273"/>
      <c r="P586" s="273"/>
      <c r="Q586" s="39"/>
      <c r="R586" s="273"/>
      <c r="S586" s="273"/>
      <c r="T586" s="273"/>
      <c r="U586" s="273"/>
      <c r="V586" s="273"/>
      <c r="W586" s="273"/>
      <c r="X586" s="39"/>
      <c r="Y586" s="273"/>
      <c r="Z586" s="273"/>
      <c r="AA586" s="273"/>
      <c r="AB586" s="273"/>
      <c r="AC586" s="273"/>
      <c r="AD586" s="273"/>
      <c r="AE586" s="273"/>
      <c r="AF586" s="273"/>
      <c r="AG586" s="273"/>
      <c r="AH586" s="273"/>
      <c r="AI586" s="273"/>
      <c r="AJ586" s="273"/>
      <c r="AK586" s="273"/>
      <c r="AL586" s="273"/>
      <c r="AM586" s="273"/>
      <c r="AN586" s="273"/>
      <c r="AO586" s="273"/>
      <c r="AP586" s="273"/>
      <c r="AQ586" s="273"/>
      <c r="AR586" s="273"/>
      <c r="AS586" s="273"/>
      <c r="AT586" s="273"/>
      <c r="AU586" s="273"/>
      <c r="AV586" s="273"/>
    </row>
    <row r="587" spans="2:48" ht="12.75">
      <c r="B587" s="273"/>
      <c r="C587" s="273"/>
      <c r="D587" s="273"/>
      <c r="E587" s="273"/>
      <c r="F587" s="273"/>
      <c r="G587" s="273"/>
      <c r="H587" s="39"/>
      <c r="I587" s="273"/>
      <c r="J587" s="273"/>
      <c r="K587" s="273"/>
      <c r="L587" s="273"/>
      <c r="M587" s="273"/>
      <c r="N587" s="273"/>
      <c r="O587" s="273"/>
      <c r="P587" s="273"/>
      <c r="Q587" s="39"/>
      <c r="R587" s="273"/>
      <c r="S587" s="273"/>
      <c r="T587" s="273"/>
      <c r="U587" s="273"/>
      <c r="V587" s="273"/>
      <c r="W587" s="273"/>
      <c r="X587" s="39"/>
      <c r="Y587" s="273"/>
      <c r="Z587" s="273"/>
      <c r="AA587" s="273"/>
      <c r="AB587" s="273"/>
      <c r="AC587" s="273"/>
      <c r="AD587" s="273"/>
      <c r="AE587" s="273"/>
      <c r="AF587" s="273"/>
      <c r="AG587" s="273"/>
      <c r="AH587" s="273"/>
      <c r="AI587" s="273"/>
      <c r="AJ587" s="273"/>
      <c r="AK587" s="273"/>
      <c r="AL587" s="273"/>
      <c r="AM587" s="273"/>
      <c r="AN587" s="273"/>
      <c r="AO587" s="273"/>
      <c r="AP587" s="273"/>
      <c r="AQ587" s="273"/>
      <c r="AR587" s="273"/>
      <c r="AS587" s="273"/>
      <c r="AT587" s="273"/>
      <c r="AU587" s="273"/>
      <c r="AV587" s="273"/>
    </row>
    <row r="588" spans="2:48" ht="12.75">
      <c r="B588" s="273"/>
      <c r="C588" s="273"/>
      <c r="D588" s="273"/>
      <c r="E588" s="273"/>
      <c r="F588" s="273"/>
      <c r="G588" s="273"/>
      <c r="H588" s="39"/>
      <c r="I588" s="273"/>
      <c r="J588" s="273"/>
      <c r="K588" s="273"/>
      <c r="L588" s="273"/>
      <c r="M588" s="273"/>
      <c r="N588" s="273"/>
      <c r="O588" s="273"/>
      <c r="P588" s="273"/>
      <c r="Q588" s="39"/>
      <c r="R588" s="273"/>
      <c r="S588" s="273"/>
      <c r="T588" s="273"/>
      <c r="U588" s="273"/>
      <c r="V588" s="273"/>
      <c r="W588" s="273"/>
      <c r="X588" s="39"/>
      <c r="Y588" s="273"/>
      <c r="Z588" s="273"/>
      <c r="AA588" s="273"/>
      <c r="AB588" s="273"/>
      <c r="AC588" s="273"/>
      <c r="AD588" s="273"/>
      <c r="AE588" s="273"/>
      <c r="AF588" s="273"/>
      <c r="AG588" s="273"/>
      <c r="AH588" s="273"/>
      <c r="AI588" s="273"/>
      <c r="AJ588" s="273"/>
      <c r="AK588" s="273"/>
      <c r="AL588" s="273"/>
      <c r="AM588" s="273"/>
      <c r="AN588" s="273"/>
      <c r="AO588" s="273"/>
      <c r="AP588" s="273"/>
      <c r="AQ588" s="273"/>
      <c r="AR588" s="273"/>
      <c r="AS588" s="273"/>
      <c r="AT588" s="273"/>
      <c r="AU588" s="273"/>
      <c r="AV588" s="273"/>
    </row>
    <row r="589" spans="2:48" ht="12.75">
      <c r="B589" s="273"/>
      <c r="C589" s="273"/>
      <c r="D589" s="273"/>
      <c r="E589" s="273"/>
      <c r="F589" s="273"/>
      <c r="G589" s="273"/>
      <c r="H589" s="39"/>
      <c r="I589" s="273"/>
      <c r="J589" s="273"/>
      <c r="K589" s="273"/>
      <c r="L589" s="273"/>
      <c r="M589" s="273"/>
      <c r="N589" s="273"/>
      <c r="O589" s="273"/>
      <c r="P589" s="273"/>
      <c r="Q589" s="39"/>
      <c r="R589" s="273"/>
      <c r="S589" s="273"/>
      <c r="T589" s="273"/>
      <c r="U589" s="273"/>
      <c r="V589" s="273"/>
      <c r="W589" s="273"/>
      <c r="X589" s="39"/>
      <c r="Y589" s="273"/>
      <c r="Z589" s="273"/>
      <c r="AA589" s="273"/>
      <c r="AB589" s="273"/>
      <c r="AC589" s="273"/>
      <c r="AD589" s="273"/>
      <c r="AE589" s="273"/>
      <c r="AF589" s="273"/>
      <c r="AG589" s="273"/>
      <c r="AH589" s="273"/>
      <c r="AI589" s="273"/>
      <c r="AJ589" s="273"/>
      <c r="AK589" s="273"/>
      <c r="AL589" s="273"/>
      <c r="AM589" s="273"/>
      <c r="AN589" s="273"/>
      <c r="AO589" s="273"/>
      <c r="AP589" s="273"/>
      <c r="AQ589" s="273"/>
      <c r="AR589" s="273"/>
      <c r="AS589" s="273"/>
      <c r="AT589" s="273"/>
      <c r="AU589" s="273"/>
      <c r="AV589" s="273"/>
    </row>
    <row r="590" spans="2:48" ht="12.75">
      <c r="B590" s="273"/>
      <c r="C590" s="273"/>
      <c r="D590" s="273"/>
      <c r="E590" s="273"/>
      <c r="F590" s="273"/>
      <c r="G590" s="273"/>
      <c r="H590" s="39"/>
      <c r="I590" s="273"/>
      <c r="J590" s="273"/>
      <c r="K590" s="273"/>
      <c r="L590" s="273"/>
      <c r="M590" s="273"/>
      <c r="N590" s="273"/>
      <c r="O590" s="273"/>
      <c r="P590" s="273"/>
      <c r="Q590" s="39"/>
      <c r="R590" s="273"/>
      <c r="S590" s="273"/>
      <c r="T590" s="273"/>
      <c r="U590" s="273"/>
      <c r="V590" s="273"/>
      <c r="W590" s="273"/>
      <c r="X590" s="39"/>
      <c r="Y590" s="273"/>
      <c r="Z590" s="273"/>
      <c r="AA590" s="273"/>
      <c r="AB590" s="273"/>
      <c r="AC590" s="273"/>
      <c r="AD590" s="273"/>
      <c r="AE590" s="273"/>
      <c r="AF590" s="273"/>
      <c r="AG590" s="273"/>
      <c r="AH590" s="273"/>
      <c r="AI590" s="273"/>
      <c r="AJ590" s="273"/>
      <c r="AK590" s="273"/>
      <c r="AL590" s="273"/>
      <c r="AM590" s="273"/>
      <c r="AN590" s="273"/>
      <c r="AO590" s="273"/>
      <c r="AP590" s="273"/>
      <c r="AQ590" s="273"/>
      <c r="AR590" s="273"/>
      <c r="AS590" s="273"/>
      <c r="AT590" s="273"/>
      <c r="AU590" s="273"/>
      <c r="AV590" s="273"/>
    </row>
    <row r="591" spans="2:48" ht="12.75">
      <c r="B591" s="273"/>
      <c r="C591" s="273"/>
      <c r="D591" s="273"/>
      <c r="E591" s="273"/>
      <c r="F591" s="273"/>
      <c r="G591" s="273"/>
      <c r="H591" s="39"/>
      <c r="I591" s="273"/>
      <c r="J591" s="273"/>
      <c r="K591" s="273"/>
      <c r="L591" s="273"/>
      <c r="M591" s="273"/>
      <c r="N591" s="273"/>
      <c r="O591" s="273"/>
      <c r="P591" s="273"/>
      <c r="Q591" s="39"/>
      <c r="R591" s="273"/>
      <c r="S591" s="273"/>
      <c r="T591" s="273"/>
      <c r="U591" s="273"/>
      <c r="V591" s="273"/>
      <c r="W591" s="273"/>
      <c r="X591" s="39"/>
      <c r="Y591" s="273"/>
      <c r="Z591" s="273"/>
      <c r="AA591" s="273"/>
      <c r="AB591" s="273"/>
      <c r="AC591" s="273"/>
      <c r="AD591" s="273"/>
      <c r="AE591" s="273"/>
      <c r="AF591" s="273"/>
      <c r="AG591" s="273"/>
      <c r="AH591" s="273"/>
      <c r="AI591" s="273"/>
      <c r="AJ591" s="273"/>
      <c r="AK591" s="273"/>
      <c r="AL591" s="273"/>
      <c r="AM591" s="273"/>
      <c r="AN591" s="273"/>
      <c r="AO591" s="273"/>
      <c r="AP591" s="273"/>
      <c r="AQ591" s="273"/>
      <c r="AR591" s="273"/>
      <c r="AS591" s="273"/>
      <c r="AT591" s="273"/>
      <c r="AU591" s="273"/>
      <c r="AV591" s="273"/>
    </row>
    <row r="592" spans="2:48" ht="12.75">
      <c r="B592" s="273"/>
      <c r="C592" s="273"/>
      <c r="D592" s="273"/>
      <c r="E592" s="273"/>
      <c r="F592" s="273"/>
      <c r="G592" s="273"/>
      <c r="H592" s="39"/>
      <c r="I592" s="273"/>
      <c r="J592" s="273"/>
      <c r="K592" s="273"/>
      <c r="L592" s="273"/>
      <c r="M592" s="273"/>
      <c r="N592" s="273"/>
      <c r="O592" s="273"/>
      <c r="P592" s="273"/>
      <c r="Q592" s="39"/>
      <c r="R592" s="273"/>
      <c r="S592" s="273"/>
      <c r="T592" s="273"/>
      <c r="U592" s="273"/>
      <c r="V592" s="273"/>
      <c r="W592" s="273"/>
      <c r="X592" s="39"/>
      <c r="Y592" s="273"/>
      <c r="Z592" s="273"/>
      <c r="AA592" s="273"/>
      <c r="AB592" s="273"/>
      <c r="AC592" s="273"/>
      <c r="AD592" s="273"/>
      <c r="AE592" s="273"/>
      <c r="AF592" s="273"/>
      <c r="AG592" s="273"/>
      <c r="AH592" s="273"/>
      <c r="AI592" s="273"/>
      <c r="AJ592" s="273"/>
      <c r="AK592" s="273"/>
      <c r="AL592" s="273"/>
      <c r="AM592" s="273"/>
      <c r="AN592" s="273"/>
      <c r="AO592" s="273"/>
      <c r="AP592" s="273"/>
      <c r="AQ592" s="273"/>
      <c r="AR592" s="273"/>
      <c r="AS592" s="273"/>
      <c r="AT592" s="273"/>
      <c r="AU592" s="273"/>
      <c r="AV592" s="273"/>
    </row>
    <row r="593" spans="2:48" ht="12.75">
      <c r="B593" s="273"/>
      <c r="C593" s="273"/>
      <c r="D593" s="273"/>
      <c r="E593" s="273"/>
      <c r="F593" s="273"/>
      <c r="G593" s="273"/>
      <c r="H593" s="39"/>
      <c r="I593" s="273"/>
      <c r="J593" s="273"/>
      <c r="K593" s="273"/>
      <c r="L593" s="273"/>
      <c r="M593" s="273"/>
      <c r="N593" s="273"/>
      <c r="O593" s="273"/>
      <c r="P593" s="273"/>
      <c r="Q593" s="39"/>
      <c r="R593" s="273"/>
      <c r="S593" s="273"/>
      <c r="T593" s="273"/>
      <c r="U593" s="273"/>
      <c r="V593" s="273"/>
      <c r="W593" s="273"/>
      <c r="X593" s="39"/>
      <c r="Y593" s="273"/>
      <c r="Z593" s="273"/>
      <c r="AA593" s="273"/>
      <c r="AB593" s="273"/>
      <c r="AC593" s="273"/>
      <c r="AD593" s="273"/>
      <c r="AE593" s="273"/>
      <c r="AF593" s="273"/>
      <c r="AG593" s="273"/>
      <c r="AH593" s="273"/>
      <c r="AI593" s="273"/>
      <c r="AJ593" s="273"/>
      <c r="AK593" s="273"/>
      <c r="AL593" s="273"/>
      <c r="AM593" s="273"/>
      <c r="AN593" s="273"/>
      <c r="AO593" s="273"/>
      <c r="AP593" s="273"/>
      <c r="AQ593" s="273"/>
      <c r="AR593" s="273"/>
      <c r="AS593" s="273"/>
      <c r="AT593" s="273"/>
      <c r="AU593" s="273"/>
      <c r="AV593" s="273"/>
    </row>
    <row r="594" spans="2:48" ht="12.75">
      <c r="B594" s="273"/>
      <c r="C594" s="273"/>
      <c r="D594" s="273"/>
      <c r="E594" s="273"/>
      <c r="F594" s="273"/>
      <c r="G594" s="273"/>
      <c r="H594" s="39"/>
      <c r="I594" s="273"/>
      <c r="J594" s="273"/>
      <c r="K594" s="273"/>
      <c r="L594" s="273"/>
      <c r="M594" s="273"/>
      <c r="N594" s="273"/>
      <c r="O594" s="273"/>
      <c r="P594" s="273"/>
      <c r="Q594" s="39"/>
      <c r="R594" s="273"/>
      <c r="S594" s="273"/>
      <c r="T594" s="273"/>
      <c r="U594" s="273"/>
      <c r="V594" s="273"/>
      <c r="W594" s="273"/>
      <c r="X594" s="39"/>
      <c r="Y594" s="273"/>
      <c r="Z594" s="273"/>
      <c r="AA594" s="273"/>
      <c r="AB594" s="273"/>
      <c r="AC594" s="273"/>
      <c r="AD594" s="273"/>
      <c r="AE594" s="273"/>
      <c r="AF594" s="273"/>
      <c r="AG594" s="273"/>
      <c r="AH594" s="273"/>
      <c r="AI594" s="273"/>
      <c r="AJ594" s="273"/>
      <c r="AK594" s="273"/>
      <c r="AL594" s="273"/>
      <c r="AM594" s="273"/>
      <c r="AN594" s="273"/>
      <c r="AO594" s="273"/>
      <c r="AP594" s="273"/>
      <c r="AQ594" s="273"/>
      <c r="AR594" s="273"/>
      <c r="AS594" s="273"/>
      <c r="AT594" s="273"/>
      <c r="AU594" s="273"/>
      <c r="AV594" s="273"/>
    </row>
    <row r="595" spans="2:48" ht="12.75">
      <c r="B595" s="273"/>
      <c r="C595" s="273"/>
      <c r="D595" s="273"/>
      <c r="E595" s="273"/>
      <c r="F595" s="273"/>
      <c r="G595" s="273"/>
      <c r="H595" s="39"/>
      <c r="I595" s="273"/>
      <c r="J595" s="273"/>
      <c r="K595" s="273"/>
      <c r="L595" s="273"/>
      <c r="M595" s="273"/>
      <c r="N595" s="273"/>
      <c r="O595" s="273"/>
      <c r="P595" s="273"/>
      <c r="Q595" s="39"/>
      <c r="R595" s="273"/>
      <c r="S595" s="273"/>
      <c r="T595" s="273"/>
      <c r="U595" s="273"/>
      <c r="V595" s="273"/>
      <c r="W595" s="273"/>
      <c r="X595" s="39"/>
      <c r="Y595" s="273"/>
      <c r="Z595" s="273"/>
      <c r="AA595" s="273"/>
      <c r="AB595" s="273"/>
      <c r="AC595" s="273"/>
      <c r="AD595" s="273"/>
      <c r="AE595" s="273"/>
      <c r="AF595" s="273"/>
      <c r="AG595" s="273"/>
      <c r="AH595" s="273"/>
      <c r="AI595" s="273"/>
      <c r="AJ595" s="273"/>
      <c r="AK595" s="273"/>
      <c r="AL595" s="273"/>
      <c r="AM595" s="273"/>
      <c r="AN595" s="273"/>
      <c r="AO595" s="273"/>
      <c r="AP595" s="273"/>
      <c r="AQ595" s="273"/>
      <c r="AR595" s="273"/>
      <c r="AS595" s="273"/>
      <c r="AT595" s="273"/>
      <c r="AU595" s="273"/>
      <c r="AV595" s="273"/>
    </row>
    <row r="596" spans="2:48" ht="12.75">
      <c r="B596" s="273"/>
      <c r="C596" s="273"/>
      <c r="D596" s="273"/>
      <c r="E596" s="273"/>
      <c r="F596" s="273"/>
      <c r="G596" s="273"/>
      <c r="H596" s="39"/>
      <c r="I596" s="273"/>
      <c r="J596" s="273"/>
      <c r="K596" s="273"/>
      <c r="L596" s="273"/>
      <c r="M596" s="273"/>
      <c r="N596" s="273"/>
      <c r="O596" s="273"/>
      <c r="P596" s="273"/>
      <c r="Q596" s="39"/>
      <c r="R596" s="273"/>
      <c r="S596" s="273"/>
      <c r="T596" s="273"/>
      <c r="U596" s="273"/>
      <c r="V596" s="273"/>
      <c r="W596" s="273"/>
      <c r="X596" s="39"/>
      <c r="Y596" s="273"/>
      <c r="Z596" s="273"/>
      <c r="AA596" s="273"/>
      <c r="AB596" s="273"/>
      <c r="AC596" s="273"/>
      <c r="AD596" s="273"/>
      <c r="AE596" s="273"/>
      <c r="AF596" s="273"/>
      <c r="AG596" s="273"/>
      <c r="AH596" s="273"/>
      <c r="AI596" s="273"/>
      <c r="AJ596" s="273"/>
      <c r="AK596" s="273"/>
      <c r="AL596" s="273"/>
      <c r="AM596" s="273"/>
      <c r="AN596" s="273"/>
      <c r="AO596" s="273"/>
      <c r="AP596" s="273"/>
      <c r="AQ596" s="273"/>
      <c r="AR596" s="273"/>
      <c r="AS596" s="273"/>
      <c r="AT596" s="273"/>
      <c r="AU596" s="273"/>
      <c r="AV596" s="273"/>
    </row>
    <row r="597" spans="2:48" ht="12.75">
      <c r="B597" s="273"/>
      <c r="C597" s="273"/>
      <c r="D597" s="273"/>
      <c r="E597" s="273"/>
      <c r="F597" s="273"/>
      <c r="G597" s="273"/>
      <c r="H597" s="39"/>
      <c r="I597" s="273"/>
      <c r="J597" s="273"/>
      <c r="K597" s="273"/>
      <c r="L597" s="273"/>
      <c r="M597" s="273"/>
      <c r="N597" s="273"/>
      <c r="O597" s="273"/>
      <c r="P597" s="273"/>
      <c r="Q597" s="39"/>
      <c r="R597" s="273"/>
      <c r="S597" s="273"/>
      <c r="T597" s="273"/>
      <c r="U597" s="273"/>
      <c r="V597" s="273"/>
      <c r="W597" s="273"/>
      <c r="X597" s="39"/>
      <c r="Y597" s="273"/>
      <c r="Z597" s="273"/>
      <c r="AA597" s="273"/>
      <c r="AB597" s="273"/>
      <c r="AC597" s="273"/>
      <c r="AD597" s="273"/>
      <c r="AE597" s="273"/>
      <c r="AF597" s="273"/>
      <c r="AG597" s="273"/>
      <c r="AH597" s="273"/>
      <c r="AI597" s="273"/>
      <c r="AJ597" s="273"/>
      <c r="AK597" s="273"/>
      <c r="AL597" s="273"/>
      <c r="AM597" s="273"/>
      <c r="AN597" s="273"/>
      <c r="AO597" s="273"/>
      <c r="AP597" s="273"/>
      <c r="AQ597" s="273"/>
      <c r="AR597" s="273"/>
      <c r="AS597" s="273"/>
      <c r="AT597" s="273"/>
      <c r="AU597" s="273"/>
      <c r="AV597" s="273"/>
    </row>
    <row r="598" spans="2:48" ht="12.75">
      <c r="B598" s="273"/>
      <c r="C598" s="273"/>
      <c r="D598" s="273"/>
      <c r="E598" s="273"/>
      <c r="F598" s="273"/>
      <c r="G598" s="273"/>
      <c r="H598" s="39"/>
      <c r="I598" s="273"/>
      <c r="J598" s="273"/>
      <c r="K598" s="273"/>
      <c r="L598" s="273"/>
      <c r="M598" s="273"/>
      <c r="N598" s="273"/>
      <c r="O598" s="273"/>
      <c r="P598" s="273"/>
      <c r="Q598" s="39"/>
      <c r="R598" s="273"/>
      <c r="S598" s="273"/>
      <c r="T598" s="273"/>
      <c r="U598" s="273"/>
      <c r="V598" s="273"/>
      <c r="W598" s="273"/>
      <c r="X598" s="39"/>
      <c r="Y598" s="273"/>
      <c r="Z598" s="273"/>
      <c r="AA598" s="273"/>
      <c r="AB598" s="273"/>
      <c r="AC598" s="273"/>
      <c r="AD598" s="273"/>
      <c r="AE598" s="273"/>
      <c r="AF598" s="273"/>
      <c r="AG598" s="273"/>
      <c r="AH598" s="273"/>
      <c r="AI598" s="273"/>
      <c r="AJ598" s="273"/>
      <c r="AK598" s="273"/>
      <c r="AL598" s="273"/>
      <c r="AM598" s="273"/>
      <c r="AN598" s="273"/>
      <c r="AO598" s="273"/>
      <c r="AP598" s="273"/>
      <c r="AQ598" s="273"/>
      <c r="AR598" s="273"/>
      <c r="AS598" s="273"/>
      <c r="AT598" s="273"/>
      <c r="AU598" s="273"/>
      <c r="AV598" s="273"/>
    </row>
    <row r="599" spans="2:48" ht="12.75">
      <c r="B599" s="273"/>
      <c r="C599" s="273"/>
      <c r="D599" s="273"/>
      <c r="E599" s="273"/>
      <c r="F599" s="273"/>
      <c r="G599" s="273"/>
      <c r="H599" s="39"/>
      <c r="I599" s="273"/>
      <c r="J599" s="273"/>
      <c r="K599" s="273"/>
      <c r="L599" s="273"/>
      <c r="M599" s="273"/>
      <c r="N599" s="273"/>
      <c r="O599" s="273"/>
      <c r="P599" s="273"/>
      <c r="Q599" s="39"/>
      <c r="R599" s="273"/>
      <c r="S599" s="273"/>
      <c r="T599" s="273"/>
      <c r="U599" s="273"/>
      <c r="V599" s="273"/>
      <c r="W599" s="273"/>
      <c r="X599" s="39"/>
      <c r="Y599" s="273"/>
      <c r="Z599" s="273"/>
      <c r="AA599" s="273"/>
      <c r="AB599" s="273"/>
      <c r="AC599" s="273"/>
      <c r="AD599" s="273"/>
      <c r="AE599" s="273"/>
      <c r="AF599" s="273"/>
      <c r="AG599" s="273"/>
      <c r="AH599" s="273"/>
      <c r="AI599" s="273"/>
      <c r="AJ599" s="273"/>
      <c r="AK599" s="273"/>
      <c r="AL599" s="273"/>
      <c r="AM599" s="273"/>
      <c r="AN599" s="273"/>
      <c r="AO599" s="273"/>
      <c r="AP599" s="273"/>
      <c r="AQ599" s="273"/>
      <c r="AR599" s="273"/>
      <c r="AS599" s="273"/>
      <c r="AT599" s="273"/>
      <c r="AU599" s="273"/>
      <c r="AV599" s="273"/>
    </row>
    <row r="600" spans="2:48" ht="12.75">
      <c r="B600" s="273"/>
      <c r="C600" s="273"/>
      <c r="D600" s="273"/>
      <c r="E600" s="273"/>
      <c r="F600" s="273"/>
      <c r="G600" s="273"/>
      <c r="H600" s="39"/>
      <c r="I600" s="273"/>
      <c r="J600" s="273"/>
      <c r="K600" s="273"/>
      <c r="L600" s="273"/>
      <c r="M600" s="273"/>
      <c r="N600" s="273"/>
      <c r="O600" s="273"/>
      <c r="P600" s="273"/>
      <c r="Q600" s="39"/>
      <c r="R600" s="273"/>
      <c r="S600" s="273"/>
      <c r="T600" s="273"/>
      <c r="U600" s="273"/>
      <c r="V600" s="273"/>
      <c r="W600" s="273"/>
      <c r="X600" s="39"/>
      <c r="Y600" s="273"/>
      <c r="Z600" s="273"/>
      <c r="AA600" s="273"/>
      <c r="AB600" s="273"/>
      <c r="AC600" s="273"/>
      <c r="AD600" s="273"/>
      <c r="AE600" s="273"/>
      <c r="AF600" s="273"/>
      <c r="AG600" s="273"/>
      <c r="AH600" s="273"/>
      <c r="AI600" s="273"/>
      <c r="AJ600" s="273"/>
      <c r="AK600" s="273"/>
      <c r="AL600" s="273"/>
      <c r="AM600" s="273"/>
      <c r="AN600" s="273"/>
      <c r="AO600" s="273"/>
      <c r="AP600" s="273"/>
      <c r="AQ600" s="273"/>
      <c r="AR600" s="273"/>
      <c r="AS600" s="273"/>
      <c r="AT600" s="273"/>
      <c r="AU600" s="273"/>
      <c r="AV600" s="273"/>
    </row>
    <row r="601" spans="2:48" ht="12.75">
      <c r="B601" s="273"/>
      <c r="C601" s="273"/>
      <c r="D601" s="273"/>
      <c r="E601" s="273"/>
      <c r="F601" s="273"/>
      <c r="G601" s="273"/>
      <c r="H601" s="39"/>
      <c r="I601" s="273"/>
      <c r="J601" s="273"/>
      <c r="K601" s="273"/>
      <c r="L601" s="273"/>
      <c r="M601" s="273"/>
      <c r="N601" s="273"/>
      <c r="O601" s="273"/>
      <c r="P601" s="273"/>
      <c r="Q601" s="39"/>
      <c r="R601" s="273"/>
      <c r="S601" s="273"/>
      <c r="T601" s="273"/>
      <c r="U601" s="273"/>
      <c r="V601" s="273"/>
      <c r="W601" s="273"/>
      <c r="X601" s="39"/>
      <c r="Y601" s="273"/>
      <c r="Z601" s="273"/>
      <c r="AA601" s="273"/>
      <c r="AB601" s="273"/>
      <c r="AC601" s="273"/>
      <c r="AD601" s="273"/>
      <c r="AE601" s="273"/>
      <c r="AF601" s="273"/>
      <c r="AG601" s="273"/>
      <c r="AH601" s="273"/>
      <c r="AI601" s="273"/>
      <c r="AJ601" s="273"/>
      <c r="AK601" s="273"/>
      <c r="AL601" s="273"/>
      <c r="AM601" s="273"/>
      <c r="AN601" s="273"/>
      <c r="AO601" s="273"/>
      <c r="AP601" s="273"/>
      <c r="AQ601" s="273"/>
      <c r="AR601" s="273"/>
      <c r="AS601" s="273"/>
      <c r="AT601" s="273"/>
      <c r="AU601" s="273"/>
      <c r="AV601" s="273"/>
    </row>
    <row r="602" spans="2:48" ht="12.75">
      <c r="B602" s="273"/>
      <c r="C602" s="273"/>
      <c r="D602" s="273"/>
      <c r="E602" s="273"/>
      <c r="F602" s="273"/>
      <c r="G602" s="273"/>
      <c r="H602" s="39"/>
      <c r="I602" s="273"/>
      <c r="J602" s="273"/>
      <c r="K602" s="273"/>
      <c r="L602" s="273"/>
      <c r="M602" s="273"/>
      <c r="N602" s="273"/>
      <c r="O602" s="273"/>
      <c r="P602" s="273"/>
      <c r="Q602" s="39"/>
      <c r="R602" s="273"/>
      <c r="S602" s="273"/>
      <c r="T602" s="273"/>
      <c r="U602" s="273"/>
      <c r="V602" s="273"/>
      <c r="W602" s="273"/>
      <c r="X602" s="39"/>
      <c r="Y602" s="273"/>
      <c r="Z602" s="273"/>
      <c r="AA602" s="273"/>
      <c r="AB602" s="273"/>
      <c r="AC602" s="273"/>
      <c r="AD602" s="273"/>
      <c r="AE602" s="273"/>
      <c r="AF602" s="273"/>
      <c r="AG602" s="273"/>
      <c r="AH602" s="273"/>
      <c r="AI602" s="273"/>
      <c r="AJ602" s="273"/>
      <c r="AK602" s="273"/>
      <c r="AL602" s="273"/>
      <c r="AM602" s="273"/>
      <c r="AN602" s="273"/>
      <c r="AO602" s="273"/>
      <c r="AP602" s="273"/>
      <c r="AQ602" s="273"/>
      <c r="AR602" s="273"/>
      <c r="AS602" s="273"/>
      <c r="AT602" s="273"/>
      <c r="AU602" s="273"/>
      <c r="AV602" s="273"/>
    </row>
    <row r="603" spans="2:48" ht="12.75">
      <c r="B603" s="273"/>
      <c r="C603" s="273"/>
      <c r="D603" s="273"/>
      <c r="E603" s="273"/>
      <c r="F603" s="273"/>
      <c r="G603" s="273"/>
      <c r="H603" s="39"/>
      <c r="I603" s="273"/>
      <c r="J603" s="273"/>
      <c r="K603" s="273"/>
      <c r="L603" s="273"/>
      <c r="M603" s="273"/>
      <c r="N603" s="273"/>
      <c r="O603" s="273"/>
      <c r="P603" s="273"/>
      <c r="Q603" s="39"/>
      <c r="R603" s="273"/>
      <c r="S603" s="273"/>
      <c r="T603" s="273"/>
      <c r="U603" s="273"/>
      <c r="V603" s="273"/>
      <c r="W603" s="273"/>
      <c r="X603" s="39"/>
      <c r="Y603" s="273"/>
      <c r="Z603" s="273"/>
      <c r="AA603" s="273"/>
      <c r="AB603" s="273"/>
      <c r="AC603" s="273"/>
      <c r="AD603" s="273"/>
      <c r="AE603" s="273"/>
      <c r="AF603" s="273"/>
      <c r="AG603" s="273"/>
      <c r="AH603" s="273"/>
      <c r="AI603" s="273"/>
      <c r="AJ603" s="273"/>
      <c r="AK603" s="273"/>
      <c r="AL603" s="273"/>
      <c r="AM603" s="273"/>
      <c r="AN603" s="273"/>
      <c r="AO603" s="273"/>
      <c r="AP603" s="273"/>
      <c r="AQ603" s="273"/>
      <c r="AR603" s="273"/>
      <c r="AS603" s="273"/>
      <c r="AT603" s="273"/>
      <c r="AU603" s="273"/>
      <c r="AV603" s="273"/>
    </row>
    <row r="604" spans="2:48" ht="12.75">
      <c r="B604" s="273"/>
      <c r="C604" s="273"/>
      <c r="D604" s="273"/>
      <c r="E604" s="273"/>
      <c r="F604" s="273"/>
      <c r="G604" s="273"/>
      <c r="H604" s="39"/>
      <c r="I604" s="273"/>
      <c r="J604" s="273"/>
      <c r="K604" s="273"/>
      <c r="L604" s="273"/>
      <c r="M604" s="273"/>
      <c r="N604" s="273"/>
      <c r="O604" s="273"/>
      <c r="P604" s="273"/>
      <c r="Q604" s="39"/>
      <c r="R604" s="273"/>
      <c r="S604" s="273"/>
      <c r="T604" s="273"/>
      <c r="U604" s="273"/>
      <c r="V604" s="273"/>
      <c r="W604" s="273"/>
      <c r="X604" s="39"/>
      <c r="Y604" s="273"/>
      <c r="Z604" s="273"/>
      <c r="AA604" s="273"/>
      <c r="AB604" s="273"/>
      <c r="AC604" s="273"/>
      <c r="AD604" s="273"/>
      <c r="AE604" s="273"/>
      <c r="AF604" s="273"/>
      <c r="AG604" s="273"/>
      <c r="AH604" s="273"/>
      <c r="AI604" s="273"/>
      <c r="AJ604" s="273"/>
      <c r="AK604" s="273"/>
      <c r="AL604" s="273"/>
      <c r="AM604" s="273"/>
      <c r="AN604" s="273"/>
      <c r="AO604" s="273"/>
      <c r="AP604" s="273"/>
      <c r="AQ604" s="273"/>
      <c r="AR604" s="273"/>
      <c r="AS604" s="273"/>
      <c r="AT604" s="273"/>
      <c r="AU604" s="273"/>
      <c r="AV604" s="273"/>
    </row>
    <row r="605" spans="2:48" ht="12.75">
      <c r="B605" s="273"/>
      <c r="C605" s="273"/>
      <c r="D605" s="273"/>
      <c r="E605" s="273"/>
      <c r="F605" s="273"/>
      <c r="G605" s="273"/>
      <c r="H605" s="39"/>
      <c r="I605" s="273"/>
      <c r="J605" s="273"/>
      <c r="K605" s="273"/>
      <c r="L605" s="273"/>
      <c r="M605" s="273"/>
      <c r="N605" s="273"/>
      <c r="O605" s="273"/>
      <c r="P605" s="273"/>
      <c r="Q605" s="39"/>
      <c r="R605" s="273"/>
      <c r="S605" s="273"/>
      <c r="T605" s="273"/>
      <c r="U605" s="273"/>
      <c r="V605" s="273"/>
      <c r="W605" s="273"/>
      <c r="X605" s="39"/>
      <c r="Y605" s="273"/>
      <c r="Z605" s="273"/>
      <c r="AA605" s="273"/>
      <c r="AB605" s="273"/>
      <c r="AC605" s="273"/>
      <c r="AD605" s="273"/>
      <c r="AE605" s="273"/>
      <c r="AF605" s="273"/>
      <c r="AG605" s="273"/>
      <c r="AH605" s="273"/>
      <c r="AI605" s="273"/>
      <c r="AJ605" s="273"/>
      <c r="AK605" s="273"/>
      <c r="AL605" s="273"/>
      <c r="AM605" s="273"/>
      <c r="AN605" s="273"/>
      <c r="AO605" s="273"/>
      <c r="AP605" s="273"/>
      <c r="AQ605" s="273"/>
      <c r="AR605" s="273"/>
      <c r="AS605" s="273"/>
      <c r="AT605" s="273"/>
      <c r="AU605" s="273"/>
      <c r="AV605" s="273"/>
    </row>
    <row r="606" spans="2:48" ht="12.75">
      <c r="B606" s="273"/>
      <c r="C606" s="273"/>
      <c r="D606" s="273"/>
      <c r="E606" s="273"/>
      <c r="F606" s="273"/>
      <c r="G606" s="273"/>
      <c r="H606" s="39"/>
      <c r="I606" s="273"/>
      <c r="J606" s="273"/>
      <c r="K606" s="273"/>
      <c r="L606" s="273"/>
      <c r="M606" s="273"/>
      <c r="N606" s="273"/>
      <c r="O606" s="273"/>
      <c r="P606" s="273"/>
      <c r="Q606" s="39"/>
      <c r="R606" s="273"/>
      <c r="S606" s="273"/>
      <c r="T606" s="273"/>
      <c r="U606" s="273"/>
      <c r="V606" s="273"/>
      <c r="W606" s="273"/>
      <c r="X606" s="39"/>
      <c r="Y606" s="273"/>
      <c r="Z606" s="273"/>
      <c r="AA606" s="273"/>
      <c r="AB606" s="273"/>
      <c r="AC606" s="273"/>
      <c r="AD606" s="273"/>
      <c r="AE606" s="273"/>
      <c r="AF606" s="273"/>
      <c r="AG606" s="273"/>
      <c r="AH606" s="273"/>
      <c r="AI606" s="273"/>
      <c r="AJ606" s="273"/>
      <c r="AK606" s="273"/>
      <c r="AL606" s="273"/>
      <c r="AM606" s="273"/>
      <c r="AN606" s="273"/>
      <c r="AO606" s="273"/>
      <c r="AP606" s="273"/>
      <c r="AQ606" s="273"/>
      <c r="AR606" s="273"/>
      <c r="AS606" s="273"/>
      <c r="AT606" s="273"/>
      <c r="AU606" s="273"/>
      <c r="AV606" s="273"/>
    </row>
    <row r="607" spans="2:48" ht="12.75">
      <c r="B607" s="273"/>
      <c r="C607" s="273"/>
      <c r="D607" s="273"/>
      <c r="E607" s="273"/>
      <c r="F607" s="273"/>
      <c r="G607" s="273"/>
      <c r="H607" s="39"/>
      <c r="I607" s="273"/>
      <c r="J607" s="273"/>
      <c r="K607" s="273"/>
      <c r="L607" s="273"/>
      <c r="M607" s="273"/>
      <c r="N607" s="273"/>
      <c r="O607" s="273"/>
      <c r="P607" s="273"/>
      <c r="Q607" s="39"/>
      <c r="R607" s="273"/>
      <c r="S607" s="273"/>
      <c r="T607" s="273"/>
      <c r="U607" s="273"/>
      <c r="V607" s="273"/>
      <c r="W607" s="273"/>
      <c r="X607" s="39"/>
      <c r="Y607" s="273"/>
      <c r="Z607" s="273"/>
      <c r="AA607" s="273"/>
      <c r="AB607" s="273"/>
      <c r="AC607" s="273"/>
      <c r="AD607" s="273"/>
      <c r="AE607" s="273"/>
      <c r="AF607" s="273"/>
      <c r="AG607" s="273"/>
      <c r="AH607" s="273"/>
      <c r="AI607" s="273"/>
      <c r="AJ607" s="273"/>
      <c r="AK607" s="273"/>
      <c r="AL607" s="273"/>
      <c r="AM607" s="273"/>
      <c r="AN607" s="273"/>
      <c r="AO607" s="273"/>
      <c r="AP607" s="273"/>
      <c r="AQ607" s="273"/>
      <c r="AR607" s="273"/>
      <c r="AS607" s="273"/>
      <c r="AT607" s="273"/>
      <c r="AU607" s="273"/>
      <c r="AV607" s="273"/>
    </row>
    <row r="608" spans="2:48" ht="12.75">
      <c r="B608" s="273"/>
      <c r="C608" s="273"/>
      <c r="D608" s="273"/>
      <c r="E608" s="273"/>
      <c r="F608" s="273"/>
      <c r="G608" s="273"/>
      <c r="H608" s="39"/>
      <c r="I608" s="273"/>
      <c r="J608" s="273"/>
      <c r="K608" s="273"/>
      <c r="L608" s="273"/>
      <c r="M608" s="273"/>
      <c r="N608" s="273"/>
      <c r="O608" s="273"/>
      <c r="P608" s="273"/>
      <c r="Q608" s="39"/>
      <c r="R608" s="273"/>
      <c r="S608" s="273"/>
      <c r="T608" s="273"/>
      <c r="U608" s="273"/>
      <c r="V608" s="273"/>
      <c r="W608" s="273"/>
      <c r="X608" s="39"/>
      <c r="Y608" s="273"/>
      <c r="Z608" s="273"/>
      <c r="AA608" s="273"/>
      <c r="AB608" s="273"/>
      <c r="AC608" s="273"/>
      <c r="AD608" s="273"/>
      <c r="AE608" s="273"/>
      <c r="AF608" s="273"/>
      <c r="AG608" s="273"/>
      <c r="AH608" s="273"/>
      <c r="AI608" s="273"/>
      <c r="AJ608" s="273"/>
      <c r="AK608" s="273"/>
      <c r="AL608" s="273"/>
      <c r="AM608" s="273"/>
      <c r="AN608" s="273"/>
      <c r="AO608" s="273"/>
      <c r="AP608" s="273"/>
      <c r="AQ608" s="273"/>
      <c r="AR608" s="273"/>
      <c r="AS608" s="273"/>
      <c r="AT608" s="273"/>
      <c r="AU608" s="273"/>
      <c r="AV608" s="273"/>
    </row>
    <row r="609" spans="2:48" ht="12.75">
      <c r="B609" s="273"/>
      <c r="C609" s="273"/>
      <c r="D609" s="273"/>
      <c r="E609" s="273"/>
      <c r="F609" s="273"/>
      <c r="G609" s="273"/>
      <c r="H609" s="39"/>
      <c r="I609" s="273"/>
      <c r="J609" s="273"/>
      <c r="K609" s="273"/>
      <c r="L609" s="273"/>
      <c r="M609" s="273"/>
      <c r="N609" s="273"/>
      <c r="O609" s="273"/>
      <c r="P609" s="273"/>
      <c r="Q609" s="39"/>
      <c r="R609" s="273"/>
      <c r="S609" s="273"/>
      <c r="T609" s="273"/>
      <c r="U609" s="273"/>
      <c r="V609" s="273"/>
      <c r="W609" s="273"/>
      <c r="X609" s="39"/>
      <c r="Y609" s="273"/>
      <c r="Z609" s="273"/>
      <c r="AA609" s="273"/>
      <c r="AB609" s="273"/>
      <c r="AC609" s="273"/>
      <c r="AD609" s="273"/>
      <c r="AE609" s="273"/>
      <c r="AF609" s="273"/>
      <c r="AG609" s="273"/>
      <c r="AH609" s="273"/>
      <c r="AI609" s="273"/>
      <c r="AJ609" s="273"/>
      <c r="AK609" s="273"/>
      <c r="AL609" s="273"/>
      <c r="AM609" s="273"/>
      <c r="AN609" s="273"/>
      <c r="AO609" s="273"/>
      <c r="AP609" s="273"/>
      <c r="AQ609" s="273"/>
      <c r="AR609" s="273"/>
      <c r="AS609" s="273"/>
      <c r="AT609" s="273"/>
      <c r="AU609" s="273"/>
      <c r="AV609" s="273"/>
    </row>
    <row r="610" spans="2:48" ht="12.75">
      <c r="B610" s="273"/>
      <c r="C610" s="273"/>
      <c r="D610" s="273"/>
      <c r="E610" s="273"/>
      <c r="F610" s="273"/>
      <c r="G610" s="273"/>
      <c r="H610" s="39"/>
      <c r="I610" s="273"/>
      <c r="J610" s="273"/>
      <c r="K610" s="273"/>
      <c r="L610" s="273"/>
      <c r="M610" s="273"/>
      <c r="N610" s="273"/>
      <c r="O610" s="273"/>
      <c r="P610" s="273"/>
      <c r="Q610" s="39"/>
      <c r="R610" s="273"/>
      <c r="S610" s="273"/>
      <c r="T610" s="273"/>
      <c r="U610" s="273"/>
      <c r="V610" s="273"/>
      <c r="W610" s="273"/>
      <c r="X610" s="39"/>
      <c r="Y610" s="273"/>
      <c r="Z610" s="273"/>
      <c r="AA610" s="273"/>
      <c r="AB610" s="273"/>
      <c r="AC610" s="273"/>
      <c r="AD610" s="273"/>
      <c r="AE610" s="273"/>
      <c r="AF610" s="273"/>
      <c r="AG610" s="273"/>
      <c r="AH610" s="273"/>
      <c r="AI610" s="273"/>
      <c r="AJ610" s="273"/>
      <c r="AK610" s="273"/>
      <c r="AL610" s="273"/>
      <c r="AM610" s="273"/>
      <c r="AN610" s="273"/>
      <c r="AO610" s="273"/>
      <c r="AP610" s="273"/>
      <c r="AQ610" s="273"/>
      <c r="AR610" s="273"/>
      <c r="AS610" s="273"/>
      <c r="AT610" s="273"/>
      <c r="AU610" s="273"/>
      <c r="AV610" s="273"/>
    </row>
    <row r="611" spans="2:48" ht="12.75">
      <c r="B611" s="273"/>
      <c r="C611" s="273"/>
      <c r="D611" s="273"/>
      <c r="E611" s="273"/>
      <c r="F611" s="273"/>
      <c r="G611" s="273"/>
      <c r="H611" s="39"/>
      <c r="I611" s="273"/>
      <c r="J611" s="273"/>
      <c r="K611" s="273"/>
      <c r="L611" s="273"/>
      <c r="M611" s="273"/>
      <c r="N611" s="273"/>
      <c r="O611" s="273"/>
      <c r="P611" s="273"/>
      <c r="Q611" s="39"/>
      <c r="R611" s="273"/>
      <c r="S611" s="273"/>
      <c r="T611" s="273"/>
      <c r="U611" s="273"/>
      <c r="V611" s="273"/>
      <c r="W611" s="273"/>
      <c r="X611" s="39"/>
      <c r="Y611" s="273"/>
      <c r="Z611" s="273"/>
      <c r="AA611" s="273"/>
      <c r="AB611" s="273"/>
      <c r="AC611" s="273"/>
      <c r="AD611" s="273"/>
      <c r="AE611" s="273"/>
      <c r="AF611" s="273"/>
      <c r="AG611" s="273"/>
      <c r="AH611" s="273"/>
      <c r="AI611" s="273"/>
      <c r="AJ611" s="273"/>
      <c r="AK611" s="273"/>
      <c r="AL611" s="273"/>
      <c r="AM611" s="273"/>
      <c r="AN611" s="273"/>
      <c r="AO611" s="273"/>
      <c r="AP611" s="273"/>
      <c r="AQ611" s="273"/>
      <c r="AR611" s="273"/>
      <c r="AS611" s="273"/>
      <c r="AT611" s="273"/>
      <c r="AU611" s="273"/>
      <c r="AV611" s="273"/>
    </row>
    <row r="612" spans="2:48" ht="12.75">
      <c r="B612" s="273"/>
      <c r="C612" s="273"/>
      <c r="D612" s="273"/>
      <c r="E612" s="273"/>
      <c r="F612" s="273"/>
      <c r="G612" s="273"/>
      <c r="H612" s="39"/>
      <c r="I612" s="273"/>
      <c r="J612" s="273"/>
      <c r="K612" s="273"/>
      <c r="L612" s="273"/>
      <c r="M612" s="273"/>
      <c r="N612" s="273"/>
      <c r="O612" s="273"/>
      <c r="P612" s="273"/>
      <c r="Q612" s="39"/>
      <c r="R612" s="273"/>
      <c r="S612" s="273"/>
      <c r="T612" s="273"/>
      <c r="U612" s="273"/>
      <c r="V612" s="273"/>
      <c r="W612" s="273"/>
      <c r="X612" s="39"/>
      <c r="Y612" s="273"/>
      <c r="Z612" s="273"/>
      <c r="AA612" s="273"/>
      <c r="AB612" s="273"/>
      <c r="AC612" s="273"/>
      <c r="AD612" s="273"/>
      <c r="AE612" s="273"/>
      <c r="AF612" s="273"/>
      <c r="AG612" s="273"/>
      <c r="AH612" s="273"/>
      <c r="AI612" s="273"/>
      <c r="AJ612" s="273"/>
      <c r="AK612" s="273"/>
      <c r="AL612" s="273"/>
      <c r="AM612" s="273"/>
      <c r="AN612" s="273"/>
      <c r="AO612" s="273"/>
      <c r="AP612" s="273"/>
      <c r="AQ612" s="273"/>
      <c r="AR612" s="273"/>
      <c r="AS612" s="273"/>
      <c r="AT612" s="273"/>
      <c r="AU612" s="273"/>
      <c r="AV612" s="273"/>
    </row>
    <row r="613" spans="2:48" ht="12.75">
      <c r="B613" s="273"/>
      <c r="C613" s="273"/>
      <c r="D613" s="273"/>
      <c r="E613" s="273"/>
      <c r="F613" s="273"/>
      <c r="G613" s="273"/>
      <c r="H613" s="39"/>
      <c r="I613" s="273"/>
      <c r="J613" s="273"/>
      <c r="K613" s="273"/>
      <c r="L613" s="273"/>
      <c r="M613" s="273"/>
      <c r="N613" s="273"/>
      <c r="O613" s="273"/>
      <c r="P613" s="273"/>
      <c r="Q613" s="39"/>
      <c r="R613" s="273"/>
      <c r="S613" s="273"/>
      <c r="T613" s="273"/>
      <c r="U613" s="273"/>
      <c r="V613" s="273"/>
      <c r="W613" s="273"/>
      <c r="X613" s="39"/>
      <c r="Y613" s="273"/>
      <c r="Z613" s="273"/>
      <c r="AA613" s="273"/>
      <c r="AB613" s="273"/>
      <c r="AC613" s="273"/>
      <c r="AD613" s="273"/>
      <c r="AE613" s="273"/>
      <c r="AF613" s="273"/>
      <c r="AG613" s="273"/>
      <c r="AH613" s="273"/>
      <c r="AI613" s="273"/>
      <c r="AJ613" s="273"/>
      <c r="AK613" s="273"/>
      <c r="AL613" s="273"/>
      <c r="AM613" s="273"/>
      <c r="AN613" s="273"/>
      <c r="AO613" s="273"/>
      <c r="AP613" s="273"/>
      <c r="AQ613" s="273"/>
      <c r="AR613" s="273"/>
      <c r="AS613" s="273"/>
      <c r="AT613" s="273"/>
      <c r="AU613" s="273"/>
      <c r="AV613" s="273"/>
    </row>
    <row r="614" spans="2:48" ht="12.75">
      <c r="B614" s="273"/>
      <c r="C614" s="273"/>
      <c r="D614" s="273"/>
      <c r="E614" s="273"/>
      <c r="F614" s="273"/>
      <c r="G614" s="273"/>
      <c r="H614" s="39"/>
      <c r="I614" s="273"/>
      <c r="J614" s="273"/>
      <c r="K614" s="273"/>
      <c r="L614" s="273"/>
      <c r="M614" s="273"/>
      <c r="N614" s="273"/>
      <c r="O614" s="273"/>
      <c r="P614" s="273"/>
      <c r="Q614" s="39"/>
      <c r="R614" s="273"/>
      <c r="S614" s="273"/>
      <c r="T614" s="273"/>
      <c r="U614" s="273"/>
      <c r="V614" s="273"/>
      <c r="W614" s="273"/>
      <c r="X614" s="39"/>
      <c r="Y614" s="273"/>
      <c r="Z614" s="273"/>
      <c r="AA614" s="273"/>
      <c r="AB614" s="273"/>
      <c r="AC614" s="273"/>
      <c r="AD614" s="273"/>
      <c r="AE614" s="273"/>
      <c r="AF614" s="273"/>
      <c r="AG614" s="273"/>
      <c r="AH614" s="273"/>
      <c r="AI614" s="273"/>
      <c r="AJ614" s="273"/>
      <c r="AK614" s="273"/>
      <c r="AL614" s="273"/>
      <c r="AM614" s="273"/>
      <c r="AN614" s="273"/>
      <c r="AO614" s="273"/>
      <c r="AP614" s="273"/>
      <c r="AQ614" s="273"/>
      <c r="AR614" s="273"/>
      <c r="AS614" s="273"/>
      <c r="AT614" s="273"/>
      <c r="AU614" s="273"/>
      <c r="AV614" s="273"/>
    </row>
    <row r="615" spans="2:48" ht="12.75">
      <c r="B615" s="273"/>
      <c r="C615" s="273"/>
      <c r="D615" s="273"/>
      <c r="E615" s="273"/>
      <c r="F615" s="273"/>
      <c r="G615" s="273"/>
      <c r="H615" s="39"/>
      <c r="I615" s="273"/>
      <c r="J615" s="273"/>
      <c r="K615" s="273"/>
      <c r="L615" s="273"/>
      <c r="M615" s="273"/>
      <c r="N615" s="273"/>
      <c r="O615" s="273"/>
      <c r="P615" s="273"/>
      <c r="Q615" s="39"/>
      <c r="R615" s="273"/>
      <c r="S615" s="273"/>
      <c r="T615" s="273"/>
      <c r="U615" s="273"/>
      <c r="V615" s="273"/>
      <c r="W615" s="273"/>
      <c r="X615" s="39"/>
      <c r="Y615" s="273"/>
      <c r="Z615" s="273"/>
      <c r="AA615" s="273"/>
      <c r="AB615" s="273"/>
      <c r="AC615" s="273"/>
      <c r="AD615" s="273"/>
      <c r="AE615" s="273"/>
      <c r="AF615" s="273"/>
      <c r="AG615" s="273"/>
      <c r="AH615" s="273"/>
      <c r="AI615" s="273"/>
      <c r="AJ615" s="273"/>
      <c r="AK615" s="273"/>
      <c r="AL615" s="273"/>
      <c r="AM615" s="273"/>
      <c r="AN615" s="273"/>
      <c r="AO615" s="273"/>
      <c r="AP615" s="273"/>
      <c r="AQ615" s="273"/>
      <c r="AR615" s="273"/>
      <c r="AS615" s="273"/>
      <c r="AT615" s="273"/>
      <c r="AU615" s="273"/>
      <c r="AV615" s="273"/>
    </row>
    <row r="616" spans="2:48" ht="12.75">
      <c r="B616" s="273"/>
      <c r="C616" s="273"/>
      <c r="D616" s="273"/>
      <c r="E616" s="273"/>
      <c r="F616" s="273"/>
      <c r="G616" s="273"/>
      <c r="H616" s="39"/>
      <c r="I616" s="273"/>
      <c r="J616" s="273"/>
      <c r="K616" s="273"/>
      <c r="L616" s="273"/>
      <c r="M616" s="273"/>
      <c r="N616" s="273"/>
      <c r="O616" s="273"/>
      <c r="P616" s="273"/>
      <c r="Q616" s="39"/>
      <c r="R616" s="273"/>
      <c r="S616" s="273"/>
      <c r="T616" s="273"/>
      <c r="U616" s="273"/>
      <c r="V616" s="273"/>
      <c r="W616" s="273"/>
      <c r="X616" s="39"/>
      <c r="Y616" s="273"/>
      <c r="Z616" s="273"/>
      <c r="AA616" s="273"/>
      <c r="AB616" s="273"/>
      <c r="AC616" s="273"/>
      <c r="AD616" s="273"/>
      <c r="AE616" s="273"/>
      <c r="AF616" s="273"/>
      <c r="AG616" s="273"/>
      <c r="AH616" s="273"/>
      <c r="AI616" s="273"/>
      <c r="AJ616" s="273"/>
      <c r="AK616" s="273"/>
      <c r="AL616" s="273"/>
      <c r="AM616" s="273"/>
      <c r="AN616" s="273"/>
      <c r="AO616" s="273"/>
      <c r="AP616" s="273"/>
      <c r="AQ616" s="273"/>
      <c r="AR616" s="273"/>
      <c r="AS616" s="273"/>
      <c r="AT616" s="273"/>
      <c r="AU616" s="273"/>
      <c r="AV616" s="273"/>
    </row>
    <row r="617" spans="2:48" ht="12.75">
      <c r="B617" s="273"/>
      <c r="C617" s="273"/>
      <c r="D617" s="273"/>
      <c r="E617" s="273"/>
      <c r="F617" s="273"/>
      <c r="G617" s="273"/>
      <c r="H617" s="39"/>
      <c r="I617" s="273"/>
      <c r="J617" s="273"/>
      <c r="K617" s="273"/>
      <c r="L617" s="273"/>
      <c r="M617" s="273"/>
      <c r="N617" s="273"/>
      <c r="O617" s="273"/>
      <c r="P617" s="273"/>
      <c r="Q617" s="39"/>
      <c r="R617" s="273"/>
      <c r="S617" s="273"/>
      <c r="T617" s="273"/>
      <c r="U617" s="273"/>
      <c r="V617" s="273"/>
      <c r="W617" s="273"/>
      <c r="X617" s="39"/>
      <c r="Y617" s="273"/>
      <c r="Z617" s="273"/>
      <c r="AA617" s="273"/>
      <c r="AB617" s="273"/>
      <c r="AC617" s="273"/>
      <c r="AD617" s="273"/>
      <c r="AE617" s="273"/>
      <c r="AF617" s="273"/>
      <c r="AG617" s="273"/>
      <c r="AH617" s="273"/>
      <c r="AI617" s="273"/>
      <c r="AJ617" s="273"/>
      <c r="AK617" s="273"/>
      <c r="AL617" s="273"/>
      <c r="AM617" s="273"/>
      <c r="AN617" s="273"/>
      <c r="AO617" s="273"/>
      <c r="AP617" s="273"/>
      <c r="AQ617" s="273"/>
      <c r="AR617" s="273"/>
      <c r="AS617" s="273"/>
      <c r="AT617" s="273"/>
      <c r="AU617" s="273"/>
      <c r="AV617" s="273"/>
    </row>
    <row r="618" spans="2:48" ht="12.75">
      <c r="B618" s="273"/>
      <c r="C618" s="273"/>
      <c r="D618" s="273"/>
      <c r="E618" s="273"/>
      <c r="F618" s="273"/>
      <c r="G618" s="273"/>
      <c r="H618" s="39"/>
      <c r="I618" s="273"/>
      <c r="J618" s="273"/>
      <c r="K618" s="273"/>
      <c r="L618" s="273"/>
      <c r="M618" s="273"/>
      <c r="N618" s="273"/>
      <c r="O618" s="273"/>
      <c r="P618" s="273"/>
      <c r="Q618" s="39"/>
      <c r="R618" s="273"/>
      <c r="S618" s="273"/>
      <c r="T618" s="273"/>
      <c r="U618" s="273"/>
      <c r="V618" s="273"/>
      <c r="W618" s="273"/>
      <c r="X618" s="39"/>
      <c r="Y618" s="273"/>
      <c r="Z618" s="273"/>
      <c r="AA618" s="273"/>
      <c r="AB618" s="273"/>
      <c r="AC618" s="273"/>
      <c r="AD618" s="273"/>
      <c r="AE618" s="273"/>
      <c r="AF618" s="273"/>
      <c r="AG618" s="273"/>
      <c r="AH618" s="273"/>
      <c r="AI618" s="273"/>
      <c r="AJ618" s="273"/>
      <c r="AK618" s="273"/>
      <c r="AL618" s="273"/>
      <c r="AM618" s="273"/>
      <c r="AN618" s="273"/>
      <c r="AO618" s="273"/>
      <c r="AP618" s="273"/>
      <c r="AQ618" s="273"/>
      <c r="AR618" s="273"/>
      <c r="AS618" s="273"/>
      <c r="AT618" s="273"/>
      <c r="AU618" s="273"/>
      <c r="AV618" s="273"/>
    </row>
    <row r="619" spans="2:48" ht="12.75">
      <c r="B619" s="273"/>
      <c r="C619" s="273"/>
      <c r="D619" s="273"/>
      <c r="E619" s="273"/>
      <c r="F619" s="273"/>
      <c r="G619" s="273"/>
      <c r="H619" s="39"/>
      <c r="I619" s="273"/>
      <c r="J619" s="273"/>
      <c r="K619" s="273"/>
      <c r="L619" s="273"/>
      <c r="M619" s="273"/>
      <c r="N619" s="273"/>
      <c r="O619" s="273"/>
      <c r="P619" s="273"/>
      <c r="Q619" s="39"/>
      <c r="R619" s="273"/>
      <c r="S619" s="273"/>
      <c r="T619" s="273"/>
      <c r="U619" s="273"/>
      <c r="V619" s="273"/>
      <c r="W619" s="273"/>
      <c r="X619" s="39"/>
      <c r="Y619" s="273"/>
      <c r="Z619" s="273"/>
      <c r="AA619" s="273"/>
      <c r="AB619" s="273"/>
      <c r="AC619" s="273"/>
      <c r="AD619" s="273"/>
      <c r="AE619" s="273"/>
      <c r="AF619" s="273"/>
      <c r="AG619" s="273"/>
      <c r="AH619" s="273"/>
      <c r="AI619" s="273"/>
      <c r="AJ619" s="273"/>
      <c r="AK619" s="273"/>
      <c r="AL619" s="273"/>
      <c r="AM619" s="273"/>
      <c r="AN619" s="273"/>
      <c r="AO619" s="273"/>
      <c r="AP619" s="273"/>
      <c r="AQ619" s="273"/>
      <c r="AR619" s="273"/>
      <c r="AS619" s="273"/>
      <c r="AT619" s="273"/>
      <c r="AU619" s="273"/>
      <c r="AV619" s="273"/>
    </row>
    <row r="620" spans="2:48" ht="12.75">
      <c r="B620" s="273"/>
      <c r="C620" s="273"/>
      <c r="D620" s="273"/>
      <c r="E620" s="273"/>
      <c r="F620" s="273"/>
      <c r="G620" s="273"/>
      <c r="H620" s="39"/>
      <c r="I620" s="273"/>
      <c r="J620" s="273"/>
      <c r="K620" s="273"/>
      <c r="L620" s="273"/>
      <c r="M620" s="273"/>
      <c r="N620" s="273"/>
      <c r="O620" s="273"/>
      <c r="P620" s="273"/>
      <c r="Q620" s="39"/>
      <c r="R620" s="273"/>
      <c r="S620" s="273"/>
      <c r="T620" s="273"/>
      <c r="U620" s="273"/>
      <c r="V620" s="273"/>
      <c r="W620" s="273"/>
      <c r="X620" s="39"/>
      <c r="Y620" s="273"/>
      <c r="Z620" s="273"/>
      <c r="AA620" s="273"/>
      <c r="AB620" s="273"/>
      <c r="AC620" s="273"/>
      <c r="AD620" s="273"/>
      <c r="AE620" s="273"/>
      <c r="AF620" s="273"/>
      <c r="AG620" s="273"/>
      <c r="AH620" s="273"/>
      <c r="AI620" s="273"/>
      <c r="AJ620" s="273"/>
      <c r="AK620" s="273"/>
      <c r="AL620" s="273"/>
      <c r="AM620" s="273"/>
      <c r="AN620" s="273"/>
      <c r="AO620" s="273"/>
      <c r="AP620" s="273"/>
      <c r="AQ620" s="273"/>
      <c r="AR620" s="273"/>
      <c r="AS620" s="273"/>
      <c r="AT620" s="273"/>
      <c r="AU620" s="273"/>
      <c r="AV620" s="273"/>
    </row>
    <row r="621" spans="2:48" ht="12.75">
      <c r="B621" s="273"/>
      <c r="C621" s="273"/>
      <c r="D621" s="273"/>
      <c r="E621" s="273"/>
      <c r="F621" s="273"/>
      <c r="G621" s="273"/>
      <c r="H621" s="39"/>
      <c r="I621" s="273"/>
      <c r="J621" s="273"/>
      <c r="K621" s="273"/>
      <c r="L621" s="273"/>
      <c r="M621" s="273"/>
      <c r="N621" s="273"/>
      <c r="O621" s="273"/>
      <c r="P621" s="273"/>
      <c r="Q621" s="39"/>
      <c r="R621" s="273"/>
      <c r="S621" s="273"/>
      <c r="T621" s="273"/>
      <c r="U621" s="273"/>
      <c r="V621" s="273"/>
      <c r="W621" s="273"/>
      <c r="X621" s="39"/>
      <c r="Y621" s="273"/>
      <c r="Z621" s="273"/>
      <c r="AA621" s="273"/>
      <c r="AB621" s="273"/>
      <c r="AC621" s="273"/>
      <c r="AD621" s="273"/>
      <c r="AE621" s="273"/>
      <c r="AF621" s="273"/>
      <c r="AG621" s="273"/>
      <c r="AH621" s="273"/>
      <c r="AI621" s="273"/>
      <c r="AJ621" s="273"/>
      <c r="AK621" s="273"/>
      <c r="AL621" s="273"/>
      <c r="AM621" s="273"/>
      <c r="AN621" s="273"/>
      <c r="AO621" s="273"/>
      <c r="AP621" s="273"/>
      <c r="AQ621" s="273"/>
      <c r="AR621" s="273"/>
      <c r="AS621" s="273"/>
      <c r="AT621" s="273"/>
      <c r="AU621" s="273"/>
      <c r="AV621" s="273"/>
    </row>
    <row r="622" spans="2:48" ht="12.75">
      <c r="B622" s="273"/>
      <c r="C622" s="273"/>
      <c r="D622" s="273"/>
      <c r="E622" s="273"/>
      <c r="F622" s="273"/>
      <c r="G622" s="273"/>
      <c r="H622" s="39"/>
      <c r="I622" s="273"/>
      <c r="J622" s="273"/>
      <c r="K622" s="273"/>
      <c r="L622" s="273"/>
      <c r="M622" s="273"/>
      <c r="N622" s="273"/>
      <c r="O622" s="273"/>
      <c r="P622" s="273"/>
      <c r="Q622" s="39"/>
      <c r="R622" s="273"/>
      <c r="S622" s="273"/>
      <c r="T622" s="273"/>
      <c r="U622" s="273"/>
      <c r="V622" s="273"/>
      <c r="W622" s="273"/>
      <c r="X622" s="39"/>
      <c r="Y622" s="273"/>
      <c r="Z622" s="273"/>
      <c r="AA622" s="273"/>
      <c r="AB622" s="273"/>
      <c r="AC622" s="273"/>
      <c r="AD622" s="273"/>
      <c r="AE622" s="273"/>
      <c r="AF622" s="273"/>
      <c r="AG622" s="273"/>
      <c r="AH622" s="273"/>
      <c r="AI622" s="273"/>
      <c r="AJ622" s="273"/>
      <c r="AK622" s="273"/>
      <c r="AL622" s="273"/>
      <c r="AM622" s="273"/>
      <c r="AN622" s="273"/>
      <c r="AO622" s="273"/>
      <c r="AP622" s="273"/>
      <c r="AQ622" s="273"/>
      <c r="AR622" s="273"/>
      <c r="AS622" s="273"/>
      <c r="AT622" s="273"/>
      <c r="AU622" s="273"/>
      <c r="AV622" s="273"/>
    </row>
    <row r="623" spans="2:48" ht="12.75">
      <c r="B623" s="273"/>
      <c r="C623" s="273"/>
      <c r="D623" s="273"/>
      <c r="E623" s="273"/>
      <c r="F623" s="273"/>
      <c r="G623" s="273"/>
      <c r="H623" s="39"/>
      <c r="I623" s="273"/>
      <c r="J623" s="273"/>
      <c r="K623" s="273"/>
      <c r="L623" s="273"/>
      <c r="M623" s="273"/>
      <c r="N623" s="273"/>
      <c r="O623" s="273"/>
      <c r="P623" s="273"/>
      <c r="Q623" s="39"/>
      <c r="R623" s="273"/>
      <c r="S623" s="273"/>
      <c r="T623" s="273"/>
      <c r="U623" s="273"/>
      <c r="V623" s="273"/>
      <c r="W623" s="273"/>
      <c r="X623" s="39"/>
      <c r="Y623" s="273"/>
      <c r="Z623" s="273"/>
      <c r="AA623" s="273"/>
      <c r="AB623" s="273"/>
      <c r="AC623" s="273"/>
      <c r="AD623" s="273"/>
      <c r="AE623" s="273"/>
      <c r="AF623" s="273"/>
      <c r="AG623" s="273"/>
      <c r="AH623" s="273"/>
      <c r="AI623" s="273"/>
      <c r="AJ623" s="273"/>
      <c r="AK623" s="273"/>
      <c r="AL623" s="273"/>
      <c r="AM623" s="273"/>
      <c r="AN623" s="273"/>
      <c r="AO623" s="273"/>
      <c r="AP623" s="273"/>
      <c r="AQ623" s="273"/>
      <c r="AR623" s="273"/>
      <c r="AS623" s="273"/>
      <c r="AT623" s="273"/>
      <c r="AU623" s="273"/>
      <c r="AV623" s="273"/>
    </row>
    <row r="624" spans="2:48" ht="12.75">
      <c r="B624" s="273"/>
      <c r="C624" s="273"/>
      <c r="D624" s="273"/>
      <c r="E624" s="273"/>
      <c r="F624" s="273"/>
      <c r="G624" s="273"/>
      <c r="H624" s="39"/>
      <c r="I624" s="273"/>
      <c r="J624" s="273"/>
      <c r="K624" s="273"/>
      <c r="L624" s="273"/>
      <c r="M624" s="273"/>
      <c r="N624" s="273"/>
      <c r="O624" s="273"/>
      <c r="P624" s="273"/>
      <c r="Q624" s="39"/>
      <c r="R624" s="273"/>
      <c r="S624" s="273"/>
      <c r="T624" s="273"/>
      <c r="U624" s="273"/>
      <c r="V624" s="273"/>
      <c r="W624" s="273"/>
      <c r="X624" s="39"/>
      <c r="Y624" s="273"/>
      <c r="Z624" s="273"/>
      <c r="AA624" s="273"/>
      <c r="AB624" s="273"/>
      <c r="AC624" s="273"/>
      <c r="AD624" s="273"/>
      <c r="AE624" s="273"/>
      <c r="AF624" s="273"/>
      <c r="AG624" s="273"/>
      <c r="AH624" s="273"/>
      <c r="AI624" s="273"/>
      <c r="AJ624" s="273"/>
      <c r="AK624" s="273"/>
      <c r="AL624" s="273"/>
      <c r="AM624" s="273"/>
      <c r="AN624" s="273"/>
      <c r="AO624" s="273"/>
      <c r="AP624" s="273"/>
      <c r="AQ624" s="273"/>
      <c r="AR624" s="273"/>
      <c r="AS624" s="273"/>
      <c r="AT624" s="273"/>
      <c r="AU624" s="273"/>
      <c r="AV624" s="273"/>
    </row>
    <row r="625" spans="2:48" ht="12.75">
      <c r="B625" s="273"/>
      <c r="C625" s="273"/>
      <c r="D625" s="273"/>
      <c r="E625" s="273"/>
      <c r="F625" s="273"/>
      <c r="G625" s="273"/>
      <c r="H625" s="39"/>
      <c r="I625" s="273"/>
      <c r="J625" s="273"/>
      <c r="K625" s="273"/>
      <c r="L625" s="273"/>
      <c r="M625" s="273"/>
      <c r="N625" s="273"/>
      <c r="O625" s="273"/>
      <c r="P625" s="273"/>
      <c r="Q625" s="39"/>
      <c r="R625" s="273"/>
      <c r="S625" s="273"/>
      <c r="T625" s="273"/>
      <c r="U625" s="273"/>
      <c r="V625" s="273"/>
      <c r="W625" s="273"/>
      <c r="X625" s="39"/>
      <c r="Y625" s="273"/>
      <c r="Z625" s="273"/>
      <c r="AA625" s="273"/>
      <c r="AB625" s="273"/>
      <c r="AC625" s="273"/>
      <c r="AD625" s="273"/>
      <c r="AE625" s="273"/>
      <c r="AF625" s="273"/>
      <c r="AG625" s="273"/>
      <c r="AH625" s="273"/>
      <c r="AI625" s="273"/>
      <c r="AJ625" s="273"/>
      <c r="AK625" s="273"/>
      <c r="AL625" s="273"/>
      <c r="AM625" s="273"/>
      <c r="AN625" s="273"/>
      <c r="AO625" s="273"/>
      <c r="AP625" s="273"/>
      <c r="AQ625" s="273"/>
      <c r="AR625" s="273"/>
      <c r="AS625" s="273"/>
      <c r="AT625" s="273"/>
      <c r="AU625" s="273"/>
      <c r="AV625" s="273"/>
    </row>
    <row r="626" spans="2:48" ht="12.75">
      <c r="B626" s="273"/>
      <c r="C626" s="273"/>
      <c r="D626" s="273"/>
      <c r="E626" s="273"/>
      <c r="F626" s="273"/>
      <c r="G626" s="273"/>
      <c r="H626" s="39"/>
      <c r="I626" s="273"/>
      <c r="J626" s="273"/>
      <c r="K626" s="273"/>
      <c r="L626" s="273"/>
      <c r="M626" s="273"/>
      <c r="N626" s="273"/>
      <c r="O626" s="273"/>
      <c r="P626" s="273"/>
      <c r="Q626" s="39"/>
      <c r="R626" s="273"/>
      <c r="S626" s="273"/>
      <c r="T626" s="273"/>
      <c r="U626" s="273"/>
      <c r="V626" s="273"/>
      <c r="W626" s="273"/>
      <c r="X626" s="39"/>
      <c r="Y626" s="273"/>
      <c r="Z626" s="273"/>
      <c r="AA626" s="273"/>
      <c r="AB626" s="273"/>
      <c r="AC626" s="273"/>
      <c r="AD626" s="273"/>
      <c r="AE626" s="273"/>
      <c r="AF626" s="273"/>
      <c r="AG626" s="273"/>
      <c r="AH626" s="273"/>
      <c r="AI626" s="273"/>
      <c r="AJ626" s="273"/>
      <c r="AK626" s="273"/>
      <c r="AL626" s="273"/>
      <c r="AM626" s="273"/>
      <c r="AN626" s="273"/>
      <c r="AO626" s="273"/>
      <c r="AP626" s="273"/>
      <c r="AQ626" s="273"/>
      <c r="AR626" s="273"/>
      <c r="AS626" s="273"/>
      <c r="AT626" s="273"/>
      <c r="AU626" s="273"/>
      <c r="AV626" s="273"/>
    </row>
    <row r="627" spans="2:48" ht="12.75">
      <c r="B627" s="273"/>
      <c r="C627" s="273"/>
      <c r="D627" s="273"/>
      <c r="E627" s="273"/>
      <c r="F627" s="273"/>
      <c r="G627" s="273"/>
      <c r="H627" s="39"/>
      <c r="I627" s="273"/>
      <c r="J627" s="273"/>
      <c r="K627" s="273"/>
      <c r="L627" s="273"/>
      <c r="M627" s="273"/>
      <c r="N627" s="273"/>
      <c r="O627" s="273"/>
      <c r="P627" s="273"/>
      <c r="Q627" s="39"/>
      <c r="R627" s="273"/>
      <c r="S627" s="273"/>
      <c r="T627" s="273"/>
      <c r="U627" s="273"/>
      <c r="V627" s="273"/>
      <c r="W627" s="273"/>
      <c r="X627" s="39"/>
      <c r="Y627" s="273"/>
      <c r="Z627" s="273"/>
      <c r="AA627" s="273"/>
      <c r="AB627" s="273"/>
      <c r="AC627" s="273"/>
      <c r="AD627" s="273"/>
      <c r="AE627" s="273"/>
      <c r="AF627" s="273"/>
      <c r="AG627" s="273"/>
      <c r="AH627" s="273"/>
      <c r="AI627" s="273"/>
      <c r="AJ627" s="273"/>
      <c r="AK627" s="273"/>
      <c r="AL627" s="273"/>
      <c r="AM627" s="273"/>
      <c r="AN627" s="273"/>
      <c r="AO627" s="273"/>
      <c r="AP627" s="273"/>
      <c r="AQ627" s="273"/>
      <c r="AR627" s="273"/>
      <c r="AS627" s="273"/>
      <c r="AT627" s="273"/>
      <c r="AU627" s="273"/>
      <c r="AV627" s="273"/>
    </row>
    <row r="628" spans="2:48" ht="12.75">
      <c r="B628" s="273"/>
      <c r="C628" s="273"/>
      <c r="D628" s="273"/>
      <c r="E628" s="273"/>
      <c r="F628" s="273"/>
      <c r="G628" s="273"/>
      <c r="H628" s="39"/>
      <c r="I628" s="273"/>
      <c r="J628" s="273"/>
      <c r="K628" s="273"/>
      <c r="L628" s="273"/>
      <c r="M628" s="273"/>
      <c r="N628" s="273"/>
      <c r="O628" s="273"/>
      <c r="P628" s="273"/>
      <c r="Q628" s="39"/>
      <c r="R628" s="273"/>
      <c r="S628" s="273"/>
      <c r="T628" s="273"/>
      <c r="U628" s="273"/>
      <c r="V628" s="273"/>
      <c r="W628" s="273"/>
      <c r="X628" s="39"/>
      <c r="Y628" s="273"/>
      <c r="Z628" s="273"/>
      <c r="AA628" s="273"/>
      <c r="AB628" s="273"/>
      <c r="AC628" s="273"/>
      <c r="AD628" s="273"/>
      <c r="AE628" s="273"/>
      <c r="AF628" s="273"/>
      <c r="AG628" s="273"/>
      <c r="AH628" s="273"/>
      <c r="AI628" s="273"/>
      <c r="AJ628" s="273"/>
      <c r="AK628" s="273"/>
      <c r="AL628" s="273"/>
      <c r="AM628" s="273"/>
      <c r="AN628" s="273"/>
      <c r="AO628" s="273"/>
      <c r="AP628" s="273"/>
      <c r="AQ628" s="273"/>
      <c r="AR628" s="273"/>
      <c r="AS628" s="273"/>
      <c r="AT628" s="273"/>
      <c r="AU628" s="273"/>
      <c r="AV628" s="273"/>
    </row>
    <row r="629" spans="2:48" ht="12.75">
      <c r="B629" s="273"/>
      <c r="C629" s="273"/>
      <c r="D629" s="273"/>
      <c r="E629" s="273"/>
      <c r="F629" s="273"/>
      <c r="G629" s="273"/>
      <c r="H629" s="39"/>
      <c r="I629" s="273"/>
      <c r="J629" s="273"/>
      <c r="K629" s="273"/>
      <c r="L629" s="273"/>
      <c r="M629" s="273"/>
      <c r="N629" s="273"/>
      <c r="O629" s="273"/>
      <c r="P629" s="273"/>
      <c r="Q629" s="39"/>
      <c r="R629" s="273"/>
      <c r="S629" s="273"/>
      <c r="T629" s="273"/>
      <c r="U629" s="273"/>
      <c r="V629" s="273"/>
      <c r="W629" s="273"/>
      <c r="X629" s="39"/>
      <c r="Y629" s="273"/>
      <c r="Z629" s="273"/>
      <c r="AA629" s="273"/>
      <c r="AB629" s="273"/>
      <c r="AC629" s="273"/>
      <c r="AD629" s="273"/>
      <c r="AE629" s="273"/>
      <c r="AF629" s="273"/>
      <c r="AG629" s="273"/>
      <c r="AH629" s="273"/>
      <c r="AI629" s="273"/>
      <c r="AJ629" s="273"/>
      <c r="AK629" s="273"/>
      <c r="AL629" s="273"/>
      <c r="AM629" s="273"/>
      <c r="AN629" s="273"/>
      <c r="AO629" s="273"/>
      <c r="AP629" s="273"/>
      <c r="AQ629" s="273"/>
      <c r="AR629" s="273"/>
      <c r="AS629" s="273"/>
      <c r="AT629" s="273"/>
      <c r="AU629" s="273"/>
      <c r="AV629" s="273"/>
    </row>
    <row r="630" spans="2:48" ht="12.75">
      <c r="B630" s="273"/>
      <c r="C630" s="273"/>
      <c r="D630" s="273"/>
      <c r="E630" s="273"/>
      <c r="F630" s="273"/>
      <c r="G630" s="273"/>
      <c r="H630" s="39"/>
      <c r="I630" s="273"/>
      <c r="J630" s="273"/>
      <c r="K630" s="273"/>
      <c r="L630" s="273"/>
      <c r="M630" s="273"/>
      <c r="N630" s="273"/>
      <c r="O630" s="273"/>
      <c r="P630" s="273"/>
      <c r="Q630" s="39"/>
      <c r="R630" s="273"/>
      <c r="S630" s="273"/>
      <c r="T630" s="273"/>
      <c r="U630" s="273"/>
      <c r="V630" s="273"/>
      <c r="W630" s="273"/>
      <c r="X630" s="39"/>
      <c r="Y630" s="273"/>
      <c r="Z630" s="273"/>
      <c r="AA630" s="273"/>
      <c r="AB630" s="273"/>
      <c r="AC630" s="273"/>
      <c r="AD630" s="273"/>
      <c r="AE630" s="273"/>
      <c r="AF630" s="273"/>
      <c r="AG630" s="273"/>
      <c r="AH630" s="273"/>
      <c r="AI630" s="273"/>
      <c r="AJ630" s="273"/>
      <c r="AK630" s="273"/>
      <c r="AL630" s="273"/>
      <c r="AM630" s="273"/>
      <c r="AN630" s="273"/>
      <c r="AO630" s="273"/>
      <c r="AP630" s="273"/>
      <c r="AQ630" s="273"/>
      <c r="AR630" s="273"/>
      <c r="AS630" s="273"/>
      <c r="AT630" s="273"/>
      <c r="AU630" s="273"/>
      <c r="AV630" s="273"/>
    </row>
    <row r="631" spans="2:48" ht="12.75">
      <c r="B631" s="273"/>
      <c r="C631" s="273"/>
      <c r="D631" s="273"/>
      <c r="E631" s="273"/>
      <c r="F631" s="273"/>
      <c r="G631" s="273"/>
      <c r="H631" s="39"/>
      <c r="I631" s="273"/>
      <c r="J631" s="273"/>
      <c r="K631" s="273"/>
      <c r="L631" s="273"/>
      <c r="M631" s="273"/>
      <c r="N631" s="273"/>
      <c r="O631" s="273"/>
      <c r="P631" s="273"/>
      <c r="Q631" s="39"/>
      <c r="R631" s="273"/>
      <c r="S631" s="273"/>
      <c r="T631" s="273"/>
      <c r="U631" s="273"/>
      <c r="V631" s="273"/>
      <c r="W631" s="273"/>
      <c r="X631" s="39"/>
      <c r="Y631" s="273"/>
      <c r="Z631" s="273"/>
      <c r="AA631" s="273"/>
      <c r="AB631" s="273"/>
      <c r="AC631" s="273"/>
      <c r="AD631" s="273"/>
      <c r="AE631" s="273"/>
      <c r="AF631" s="273"/>
      <c r="AG631" s="273"/>
      <c r="AH631" s="273"/>
      <c r="AI631" s="273"/>
      <c r="AJ631" s="273"/>
      <c r="AK631" s="273"/>
      <c r="AL631" s="273"/>
      <c r="AM631" s="273"/>
      <c r="AN631" s="273"/>
      <c r="AO631" s="273"/>
      <c r="AP631" s="273"/>
      <c r="AQ631" s="273"/>
      <c r="AR631" s="273"/>
      <c r="AS631" s="273"/>
      <c r="AT631" s="273"/>
      <c r="AU631" s="273"/>
      <c r="AV631" s="273"/>
    </row>
    <row r="632" spans="2:48" ht="12.75">
      <c r="B632" s="273"/>
      <c r="C632" s="273"/>
      <c r="D632" s="273"/>
      <c r="E632" s="273"/>
      <c r="F632" s="273"/>
      <c r="G632" s="273"/>
      <c r="H632" s="39"/>
      <c r="I632" s="273"/>
      <c r="J632" s="273"/>
      <c r="K632" s="273"/>
      <c r="L632" s="273"/>
      <c r="M632" s="273"/>
      <c r="N632" s="273"/>
      <c r="O632" s="273"/>
      <c r="P632" s="273"/>
      <c r="Q632" s="39"/>
      <c r="R632" s="273"/>
      <c r="S632" s="273"/>
      <c r="T632" s="273"/>
      <c r="U632" s="273"/>
      <c r="V632" s="273"/>
      <c r="W632" s="273"/>
      <c r="X632" s="39"/>
      <c r="Y632" s="273"/>
      <c r="Z632" s="273"/>
      <c r="AA632" s="273"/>
      <c r="AB632" s="273"/>
      <c r="AC632" s="273"/>
      <c r="AD632" s="273"/>
      <c r="AE632" s="273"/>
      <c r="AF632" s="273"/>
      <c r="AG632" s="273"/>
      <c r="AH632" s="273"/>
      <c r="AI632" s="273"/>
      <c r="AJ632" s="273"/>
      <c r="AK632" s="273"/>
      <c r="AL632" s="273"/>
      <c r="AM632" s="273"/>
      <c r="AN632" s="273"/>
      <c r="AO632" s="273"/>
      <c r="AP632" s="273"/>
      <c r="AQ632" s="273"/>
      <c r="AR632" s="273"/>
      <c r="AS632" s="273"/>
      <c r="AT632" s="273"/>
      <c r="AU632" s="273"/>
      <c r="AV632" s="273"/>
    </row>
    <row r="633" spans="2:48" ht="12.75">
      <c r="B633" s="273"/>
      <c r="C633" s="273"/>
      <c r="D633" s="273"/>
      <c r="E633" s="273"/>
      <c r="F633" s="273"/>
      <c r="G633" s="273"/>
      <c r="H633" s="39"/>
      <c r="I633" s="273"/>
      <c r="J633" s="273"/>
      <c r="K633" s="273"/>
      <c r="L633" s="273"/>
      <c r="M633" s="273"/>
      <c r="N633" s="273"/>
      <c r="O633" s="273"/>
      <c r="P633" s="273"/>
      <c r="Q633" s="39"/>
      <c r="R633" s="273"/>
      <c r="S633" s="273"/>
      <c r="T633" s="273"/>
      <c r="U633" s="273"/>
      <c r="V633" s="273"/>
      <c r="W633" s="273"/>
      <c r="X633" s="39"/>
      <c r="Y633" s="273"/>
      <c r="Z633" s="273"/>
      <c r="AA633" s="273"/>
      <c r="AB633" s="273"/>
      <c r="AC633" s="273"/>
      <c r="AD633" s="273"/>
      <c r="AE633" s="273"/>
      <c r="AF633" s="273"/>
      <c r="AG633" s="273"/>
      <c r="AH633" s="273"/>
      <c r="AI633" s="273"/>
      <c r="AJ633" s="273"/>
      <c r="AK633" s="273"/>
      <c r="AL633" s="273"/>
      <c r="AM633" s="273"/>
      <c r="AN633" s="273"/>
      <c r="AO633" s="273"/>
      <c r="AP633" s="273"/>
      <c r="AQ633" s="273"/>
      <c r="AR633" s="273"/>
      <c r="AS633" s="273"/>
      <c r="AT633" s="273"/>
      <c r="AU633" s="273"/>
      <c r="AV633" s="273"/>
    </row>
    <row r="634" spans="2:48" ht="12.75">
      <c r="B634" s="273"/>
      <c r="C634" s="273"/>
      <c r="D634" s="273"/>
      <c r="E634" s="273"/>
      <c r="F634" s="273"/>
      <c r="G634" s="273"/>
      <c r="H634" s="39"/>
      <c r="I634" s="273"/>
      <c r="J634" s="273"/>
      <c r="K634" s="273"/>
      <c r="L634" s="273"/>
      <c r="M634" s="273"/>
      <c r="N634" s="273"/>
      <c r="O634" s="273"/>
      <c r="P634" s="273"/>
      <c r="Q634" s="39"/>
      <c r="R634" s="273"/>
      <c r="S634" s="273"/>
      <c r="T634" s="273"/>
      <c r="U634" s="273"/>
      <c r="V634" s="273"/>
      <c r="W634" s="273"/>
      <c r="X634" s="39"/>
      <c r="Y634" s="273"/>
      <c r="Z634" s="273"/>
      <c r="AA634" s="273"/>
      <c r="AB634" s="273"/>
      <c r="AC634" s="273"/>
      <c r="AD634" s="273"/>
      <c r="AE634" s="273"/>
      <c r="AF634" s="273"/>
      <c r="AG634" s="273"/>
      <c r="AH634" s="273"/>
      <c r="AI634" s="273"/>
      <c r="AJ634" s="273"/>
      <c r="AK634" s="273"/>
      <c r="AL634" s="273"/>
      <c r="AM634" s="273"/>
      <c r="AN634" s="273"/>
      <c r="AO634" s="273"/>
      <c r="AP634" s="273"/>
      <c r="AQ634" s="273"/>
      <c r="AR634" s="273"/>
      <c r="AS634" s="273"/>
      <c r="AT634" s="273"/>
      <c r="AU634" s="273"/>
      <c r="AV634" s="273"/>
    </row>
    <row r="635" spans="2:48" ht="12.75">
      <c r="B635" s="273"/>
      <c r="C635" s="273"/>
      <c r="D635" s="273"/>
      <c r="E635" s="273"/>
      <c r="F635" s="273"/>
      <c r="G635" s="273"/>
      <c r="H635" s="39"/>
      <c r="I635" s="273"/>
      <c r="J635" s="273"/>
      <c r="K635" s="273"/>
      <c r="L635" s="273"/>
      <c r="M635" s="273"/>
      <c r="N635" s="273"/>
      <c r="O635" s="273"/>
      <c r="P635" s="273"/>
      <c r="Q635" s="39"/>
      <c r="R635" s="273"/>
      <c r="S635" s="273"/>
      <c r="T635" s="273"/>
      <c r="U635" s="273"/>
      <c r="V635" s="273"/>
      <c r="W635" s="273"/>
      <c r="X635" s="39"/>
      <c r="Y635" s="273"/>
      <c r="Z635" s="273"/>
      <c r="AA635" s="273"/>
      <c r="AB635" s="273"/>
      <c r="AC635" s="273"/>
      <c r="AD635" s="273"/>
      <c r="AE635" s="273"/>
      <c r="AF635" s="273"/>
      <c r="AG635" s="273"/>
      <c r="AH635" s="273"/>
      <c r="AI635" s="273"/>
      <c r="AJ635" s="273"/>
      <c r="AK635" s="273"/>
      <c r="AL635" s="273"/>
      <c r="AM635" s="273"/>
      <c r="AN635" s="273"/>
      <c r="AO635" s="273"/>
      <c r="AP635" s="273"/>
      <c r="AQ635" s="273"/>
      <c r="AR635" s="273"/>
      <c r="AS635" s="273"/>
      <c r="AT635" s="273"/>
      <c r="AU635" s="273"/>
      <c r="AV635" s="273"/>
    </row>
    <row r="636" spans="2:48" ht="12.75">
      <c r="B636" s="273"/>
      <c r="C636" s="273"/>
      <c r="D636" s="273"/>
      <c r="E636" s="273"/>
      <c r="F636" s="273"/>
      <c r="G636" s="273"/>
      <c r="H636" s="39"/>
      <c r="I636" s="273"/>
      <c r="J636" s="273"/>
      <c r="K636" s="273"/>
      <c r="L636" s="273"/>
      <c r="M636" s="273"/>
      <c r="N636" s="273"/>
      <c r="O636" s="273"/>
      <c r="P636" s="273"/>
      <c r="Q636" s="39"/>
      <c r="R636" s="273"/>
      <c r="S636" s="273"/>
      <c r="T636" s="273"/>
      <c r="U636" s="273"/>
      <c r="V636" s="273"/>
      <c r="W636" s="273"/>
      <c r="X636" s="39"/>
      <c r="Y636" s="273"/>
      <c r="Z636" s="273"/>
      <c r="AA636" s="273"/>
      <c r="AB636" s="273"/>
      <c r="AC636" s="273"/>
      <c r="AD636" s="273"/>
      <c r="AE636" s="273"/>
      <c r="AF636" s="273"/>
      <c r="AG636" s="273"/>
      <c r="AH636" s="273"/>
      <c r="AI636" s="273"/>
      <c r="AJ636" s="273"/>
      <c r="AK636" s="273"/>
      <c r="AL636" s="273"/>
      <c r="AM636" s="273"/>
      <c r="AN636" s="273"/>
      <c r="AO636" s="273"/>
      <c r="AP636" s="273"/>
      <c r="AQ636" s="273"/>
      <c r="AR636" s="273"/>
      <c r="AS636" s="273"/>
      <c r="AT636" s="273"/>
      <c r="AU636" s="273"/>
      <c r="AV636" s="273"/>
    </row>
    <row r="637" spans="2:48" ht="12.75">
      <c r="B637" s="273"/>
      <c r="C637" s="273"/>
      <c r="D637" s="273"/>
      <c r="E637" s="273"/>
      <c r="F637" s="273"/>
      <c r="G637" s="273"/>
      <c r="H637" s="39"/>
      <c r="I637" s="273"/>
      <c r="J637" s="273"/>
      <c r="K637" s="273"/>
      <c r="L637" s="273"/>
      <c r="M637" s="273"/>
      <c r="N637" s="273"/>
      <c r="O637" s="273"/>
      <c r="P637" s="273"/>
      <c r="Q637" s="39"/>
      <c r="R637" s="273"/>
      <c r="S637" s="273"/>
      <c r="T637" s="273"/>
      <c r="U637" s="273"/>
      <c r="V637" s="273"/>
      <c r="W637" s="273"/>
      <c r="X637" s="39"/>
      <c r="Y637" s="273"/>
      <c r="Z637" s="273"/>
      <c r="AA637" s="273"/>
      <c r="AB637" s="273"/>
      <c r="AC637" s="273"/>
      <c r="AD637" s="273"/>
      <c r="AE637" s="273"/>
      <c r="AF637" s="273"/>
      <c r="AG637" s="273"/>
      <c r="AH637" s="273"/>
      <c r="AI637" s="273"/>
      <c r="AJ637" s="273"/>
      <c r="AK637" s="273"/>
      <c r="AL637" s="273"/>
      <c r="AM637" s="273"/>
      <c r="AN637" s="273"/>
      <c r="AO637" s="273"/>
      <c r="AP637" s="273"/>
      <c r="AQ637" s="273"/>
      <c r="AR637" s="273"/>
      <c r="AS637" s="273"/>
      <c r="AT637" s="273"/>
      <c r="AU637" s="273"/>
      <c r="AV637" s="273"/>
    </row>
    <row r="638" spans="2:48" ht="12.75">
      <c r="B638" s="273"/>
      <c r="C638" s="273"/>
      <c r="D638" s="273"/>
      <c r="E638" s="273"/>
      <c r="F638" s="273"/>
      <c r="G638" s="273"/>
      <c r="H638" s="39"/>
      <c r="I638" s="273"/>
      <c r="J638" s="273"/>
      <c r="K638" s="273"/>
      <c r="L638" s="273"/>
      <c r="M638" s="273"/>
      <c r="N638" s="273"/>
      <c r="O638" s="273"/>
      <c r="P638" s="273"/>
      <c r="Q638" s="39"/>
      <c r="R638" s="273"/>
      <c r="S638" s="273"/>
      <c r="T638" s="273"/>
      <c r="U638" s="273"/>
      <c r="V638" s="273"/>
      <c r="W638" s="273"/>
      <c r="X638" s="39"/>
      <c r="Y638" s="273"/>
      <c r="Z638" s="273"/>
      <c r="AA638" s="273"/>
      <c r="AB638" s="273"/>
      <c r="AC638" s="273"/>
      <c r="AD638" s="273"/>
      <c r="AE638" s="273"/>
      <c r="AF638" s="273"/>
      <c r="AG638" s="273"/>
      <c r="AH638" s="273"/>
      <c r="AI638" s="273"/>
      <c r="AJ638" s="273"/>
      <c r="AK638" s="273"/>
      <c r="AL638" s="273"/>
      <c r="AM638" s="273"/>
      <c r="AN638" s="273"/>
      <c r="AO638" s="273"/>
      <c r="AP638" s="273"/>
      <c r="AQ638" s="273"/>
      <c r="AR638" s="273"/>
      <c r="AS638" s="273"/>
      <c r="AT638" s="273"/>
      <c r="AU638" s="273"/>
      <c r="AV638" s="273"/>
    </row>
    <row r="639" spans="2:48" ht="12.75">
      <c r="B639" s="273"/>
      <c r="C639" s="273"/>
      <c r="D639" s="273"/>
      <c r="E639" s="273"/>
      <c r="F639" s="273"/>
      <c r="G639" s="273"/>
      <c r="H639" s="39"/>
      <c r="I639" s="273"/>
      <c r="J639" s="273"/>
      <c r="K639" s="273"/>
      <c r="L639" s="273"/>
      <c r="M639" s="273"/>
      <c r="N639" s="273"/>
      <c r="O639" s="273"/>
      <c r="P639" s="273"/>
      <c r="Q639" s="39"/>
      <c r="R639" s="273"/>
      <c r="S639" s="273"/>
      <c r="T639" s="273"/>
      <c r="U639" s="273"/>
      <c r="V639" s="273"/>
      <c r="W639" s="273"/>
      <c r="X639" s="39"/>
      <c r="Y639" s="273"/>
      <c r="Z639" s="273"/>
      <c r="AA639" s="273"/>
      <c r="AB639" s="273"/>
      <c r="AC639" s="273"/>
      <c r="AD639" s="273"/>
      <c r="AE639" s="273"/>
      <c r="AF639" s="273"/>
      <c r="AG639" s="273"/>
      <c r="AH639" s="273"/>
      <c r="AI639" s="273"/>
      <c r="AJ639" s="273"/>
      <c r="AK639" s="273"/>
      <c r="AL639" s="273"/>
      <c r="AM639" s="273"/>
      <c r="AN639" s="273"/>
      <c r="AO639" s="273"/>
      <c r="AP639" s="273"/>
      <c r="AQ639" s="273"/>
      <c r="AR639" s="273"/>
      <c r="AS639" s="273"/>
      <c r="AT639" s="273"/>
      <c r="AU639" s="273"/>
      <c r="AV639" s="273"/>
    </row>
    <row r="640" spans="2:48" ht="12.75">
      <c r="B640" s="273"/>
      <c r="C640" s="273"/>
      <c r="D640" s="273"/>
      <c r="E640" s="273"/>
      <c r="F640" s="273"/>
      <c r="G640" s="273"/>
      <c r="H640" s="39"/>
      <c r="I640" s="273"/>
      <c r="J640" s="273"/>
      <c r="K640" s="273"/>
      <c r="L640" s="273"/>
      <c r="M640" s="273"/>
      <c r="N640" s="273"/>
      <c r="O640" s="273"/>
      <c r="P640" s="273"/>
      <c r="Q640" s="39"/>
      <c r="R640" s="273"/>
      <c r="S640" s="273"/>
      <c r="T640" s="273"/>
      <c r="U640" s="273"/>
      <c r="V640" s="273"/>
      <c r="W640" s="273"/>
      <c r="X640" s="39"/>
      <c r="Y640" s="273"/>
      <c r="Z640" s="273"/>
      <c r="AA640" s="273"/>
      <c r="AB640" s="273"/>
      <c r="AC640" s="273"/>
      <c r="AD640" s="273"/>
      <c r="AE640" s="273"/>
      <c r="AF640" s="273"/>
      <c r="AG640" s="273"/>
      <c r="AH640" s="273"/>
      <c r="AI640" s="273"/>
      <c r="AJ640" s="273"/>
      <c r="AK640" s="273"/>
      <c r="AL640" s="273"/>
      <c r="AM640" s="273"/>
      <c r="AN640" s="273"/>
      <c r="AO640" s="273"/>
      <c r="AP640" s="273"/>
      <c r="AQ640" s="273"/>
      <c r="AR640" s="273"/>
      <c r="AS640" s="273"/>
      <c r="AT640" s="273"/>
      <c r="AU640" s="273"/>
      <c r="AV640" s="273"/>
    </row>
    <row r="641" spans="2:48" ht="12.75">
      <c r="B641" s="273"/>
      <c r="C641" s="273"/>
      <c r="D641" s="273"/>
      <c r="E641" s="273"/>
      <c r="F641" s="273"/>
      <c r="G641" s="273"/>
      <c r="H641" s="39"/>
      <c r="I641" s="273"/>
      <c r="J641" s="273"/>
      <c r="K641" s="273"/>
      <c r="L641" s="273"/>
      <c r="M641" s="273"/>
      <c r="N641" s="273"/>
      <c r="O641" s="273"/>
      <c r="P641" s="273"/>
      <c r="Q641" s="39"/>
      <c r="R641" s="273"/>
      <c r="S641" s="273"/>
      <c r="T641" s="273"/>
      <c r="U641" s="273"/>
      <c r="V641" s="273"/>
      <c r="W641" s="273"/>
      <c r="X641" s="39"/>
      <c r="Y641" s="273"/>
      <c r="Z641" s="273"/>
      <c r="AA641" s="273"/>
      <c r="AB641" s="273"/>
      <c r="AC641" s="273"/>
      <c r="AD641" s="273"/>
      <c r="AE641" s="273"/>
      <c r="AF641" s="273"/>
      <c r="AG641" s="273"/>
      <c r="AH641" s="273"/>
      <c r="AI641" s="273"/>
      <c r="AJ641" s="273"/>
      <c r="AK641" s="273"/>
      <c r="AL641" s="273"/>
      <c r="AM641" s="273"/>
      <c r="AN641" s="273"/>
      <c r="AO641" s="273"/>
      <c r="AP641" s="273"/>
      <c r="AQ641" s="273"/>
      <c r="AR641" s="273"/>
      <c r="AS641" s="273"/>
      <c r="AT641" s="273"/>
      <c r="AU641" s="273"/>
      <c r="AV641" s="273"/>
    </row>
    <row r="642" spans="2:48" ht="12.75">
      <c r="B642" s="273"/>
      <c r="C642" s="273"/>
      <c r="D642" s="273"/>
      <c r="E642" s="273"/>
      <c r="F642" s="273"/>
      <c r="G642" s="273"/>
      <c r="H642" s="39"/>
      <c r="I642" s="273"/>
      <c r="J642" s="273"/>
      <c r="K642" s="273"/>
      <c r="L642" s="273"/>
      <c r="M642" s="273"/>
      <c r="N642" s="273"/>
      <c r="O642" s="273"/>
      <c r="P642" s="273"/>
      <c r="Q642" s="39"/>
      <c r="R642" s="273"/>
      <c r="S642" s="273"/>
      <c r="T642" s="273"/>
      <c r="U642" s="273"/>
      <c r="V642" s="273"/>
      <c r="W642" s="273"/>
      <c r="X642" s="39"/>
      <c r="Y642" s="273"/>
      <c r="Z642" s="273"/>
      <c r="AA642" s="273"/>
      <c r="AB642" s="273"/>
      <c r="AC642" s="273"/>
      <c r="AD642" s="273"/>
      <c r="AE642" s="273"/>
      <c r="AF642" s="273"/>
      <c r="AG642" s="273"/>
      <c r="AH642" s="273"/>
      <c r="AI642" s="273"/>
      <c r="AJ642" s="273"/>
      <c r="AK642" s="273"/>
      <c r="AL642" s="273"/>
      <c r="AM642" s="273"/>
      <c r="AN642" s="273"/>
      <c r="AO642" s="273"/>
      <c r="AP642" s="273"/>
      <c r="AQ642" s="273"/>
      <c r="AR642" s="273"/>
      <c r="AS642" s="273"/>
      <c r="AT642" s="273"/>
      <c r="AU642" s="273"/>
      <c r="AV642" s="273"/>
    </row>
    <row r="643" spans="2:48" ht="12.75">
      <c r="B643" s="273"/>
      <c r="C643" s="273"/>
      <c r="D643" s="273"/>
      <c r="E643" s="273"/>
      <c r="F643" s="273"/>
      <c r="G643" s="273"/>
      <c r="H643" s="39"/>
      <c r="I643" s="273"/>
      <c r="J643" s="273"/>
      <c r="K643" s="273"/>
      <c r="L643" s="273"/>
      <c r="M643" s="273"/>
      <c r="N643" s="273"/>
      <c r="O643" s="273"/>
      <c r="P643" s="273"/>
      <c r="Q643" s="39"/>
      <c r="R643" s="273"/>
      <c r="S643" s="273"/>
      <c r="T643" s="273"/>
      <c r="U643" s="273"/>
      <c r="V643" s="273"/>
      <c r="W643" s="273"/>
      <c r="X643" s="39"/>
      <c r="Y643" s="273"/>
      <c r="Z643" s="273"/>
      <c r="AA643" s="273"/>
      <c r="AB643" s="273"/>
      <c r="AC643" s="273"/>
      <c r="AD643" s="273"/>
      <c r="AE643" s="273"/>
      <c r="AF643" s="273"/>
      <c r="AG643" s="273"/>
      <c r="AH643" s="273"/>
      <c r="AI643" s="273"/>
      <c r="AJ643" s="273"/>
      <c r="AK643" s="273"/>
      <c r="AL643" s="273"/>
      <c r="AM643" s="273"/>
      <c r="AN643" s="273"/>
      <c r="AO643" s="273"/>
      <c r="AP643" s="273"/>
      <c r="AQ643" s="273"/>
      <c r="AR643" s="273"/>
      <c r="AS643" s="273"/>
      <c r="AT643" s="273"/>
      <c r="AU643" s="273"/>
      <c r="AV643" s="273"/>
    </row>
    <row r="644" spans="2:48" ht="12.75">
      <c r="B644" s="273"/>
      <c r="C644" s="273"/>
      <c r="D644" s="273"/>
      <c r="E644" s="273"/>
      <c r="F644" s="273"/>
      <c r="G644" s="273"/>
      <c r="H644" s="39"/>
      <c r="I644" s="273"/>
      <c r="J644" s="273"/>
      <c r="K644" s="273"/>
      <c r="L644" s="273"/>
      <c r="M644" s="273"/>
      <c r="N644" s="273"/>
      <c r="O644" s="273"/>
      <c r="P644" s="273"/>
      <c r="Q644" s="39"/>
      <c r="R644" s="273"/>
      <c r="S644" s="273"/>
      <c r="T644" s="273"/>
      <c r="U644" s="273"/>
      <c r="V644" s="273"/>
      <c r="W644" s="273"/>
      <c r="X644" s="39"/>
      <c r="Y644" s="273"/>
      <c r="Z644" s="273"/>
      <c r="AA644" s="273"/>
      <c r="AB644" s="273"/>
      <c r="AC644" s="273"/>
      <c r="AD644" s="273"/>
      <c r="AE644" s="273"/>
      <c r="AF644" s="273"/>
      <c r="AG644" s="273"/>
      <c r="AH644" s="273"/>
      <c r="AI644" s="273"/>
      <c r="AJ644" s="273"/>
      <c r="AK644" s="273"/>
      <c r="AL644" s="273"/>
      <c r="AM644" s="273"/>
      <c r="AN644" s="273"/>
      <c r="AO644" s="273"/>
      <c r="AP644" s="273"/>
      <c r="AQ644" s="273"/>
      <c r="AR644" s="273"/>
      <c r="AS644" s="273"/>
      <c r="AT644" s="273"/>
      <c r="AU644" s="273"/>
      <c r="AV644" s="273"/>
    </row>
    <row r="645" spans="2:48" ht="12.75">
      <c r="B645" s="273"/>
      <c r="C645" s="273"/>
      <c r="D645" s="273"/>
      <c r="E645" s="273"/>
      <c r="F645" s="273"/>
      <c r="G645" s="273"/>
      <c r="H645" s="39"/>
      <c r="I645" s="273"/>
      <c r="J645" s="273"/>
      <c r="K645" s="273"/>
      <c r="L645" s="273"/>
      <c r="M645" s="273"/>
      <c r="N645" s="273"/>
      <c r="O645" s="273"/>
      <c r="P645" s="273"/>
      <c r="Q645" s="39"/>
      <c r="R645" s="273"/>
      <c r="S645" s="273"/>
      <c r="T645" s="273"/>
      <c r="U645" s="273"/>
      <c r="V645" s="273"/>
      <c r="W645" s="273"/>
      <c r="X645" s="39"/>
      <c r="Y645" s="273"/>
      <c r="Z645" s="273"/>
      <c r="AA645" s="273"/>
      <c r="AB645" s="273"/>
      <c r="AC645" s="273"/>
      <c r="AD645" s="273"/>
      <c r="AE645" s="273"/>
      <c r="AF645" s="273"/>
      <c r="AG645" s="273"/>
      <c r="AH645" s="273"/>
      <c r="AI645" s="273"/>
      <c r="AJ645" s="273"/>
      <c r="AK645" s="273"/>
      <c r="AL645" s="273"/>
      <c r="AM645" s="273"/>
      <c r="AN645" s="273"/>
      <c r="AO645" s="273"/>
      <c r="AP645" s="273"/>
      <c r="AQ645" s="273"/>
      <c r="AR645" s="273"/>
      <c r="AS645" s="273"/>
      <c r="AT645" s="273"/>
      <c r="AU645" s="273"/>
      <c r="AV645" s="273"/>
    </row>
    <row r="646" spans="2:48" ht="12.75">
      <c r="B646" s="273"/>
      <c r="C646" s="273"/>
      <c r="D646" s="273"/>
      <c r="E646" s="273"/>
      <c r="F646" s="273"/>
      <c r="G646" s="273"/>
      <c r="H646" s="39"/>
      <c r="I646" s="273"/>
      <c r="J646" s="273"/>
      <c r="K646" s="273"/>
      <c r="L646" s="273"/>
      <c r="M646" s="273"/>
      <c r="N646" s="273"/>
      <c r="O646" s="273"/>
      <c r="P646" s="273"/>
      <c r="Q646" s="39"/>
      <c r="R646" s="273"/>
      <c r="S646" s="273"/>
      <c r="T646" s="273"/>
      <c r="U646" s="273"/>
      <c r="V646" s="273"/>
      <c r="W646" s="273"/>
      <c r="X646" s="39"/>
      <c r="Y646" s="273"/>
      <c r="Z646" s="273"/>
      <c r="AA646" s="273"/>
      <c r="AB646" s="273"/>
      <c r="AC646" s="273"/>
      <c r="AD646" s="273"/>
      <c r="AE646" s="273"/>
      <c r="AF646" s="273"/>
      <c r="AG646" s="273"/>
      <c r="AH646" s="273"/>
      <c r="AI646" s="273"/>
      <c r="AJ646" s="273"/>
      <c r="AK646" s="273"/>
      <c r="AL646" s="273"/>
      <c r="AM646" s="273"/>
      <c r="AN646" s="273"/>
      <c r="AO646" s="273"/>
      <c r="AP646" s="273"/>
      <c r="AQ646" s="273"/>
      <c r="AR646" s="273"/>
      <c r="AS646" s="273"/>
      <c r="AT646" s="273"/>
      <c r="AU646" s="273"/>
      <c r="AV646" s="273"/>
    </row>
    <row r="647" spans="2:48" ht="12.75">
      <c r="B647" s="273"/>
      <c r="C647" s="273"/>
      <c r="D647" s="273"/>
      <c r="E647" s="273"/>
      <c r="F647" s="273"/>
      <c r="G647" s="273"/>
      <c r="H647" s="39"/>
      <c r="I647" s="273"/>
      <c r="J647" s="273"/>
      <c r="K647" s="273"/>
      <c r="L647" s="273"/>
      <c r="M647" s="273"/>
      <c r="N647" s="273"/>
      <c r="O647" s="273"/>
      <c r="P647" s="273"/>
      <c r="Q647" s="39"/>
      <c r="R647" s="273"/>
      <c r="S647" s="273"/>
      <c r="T647" s="273"/>
      <c r="U647" s="273"/>
      <c r="V647" s="273"/>
      <c r="W647" s="273"/>
      <c r="X647" s="39"/>
      <c r="Y647" s="273"/>
      <c r="Z647" s="273"/>
      <c r="AA647" s="273"/>
      <c r="AB647" s="273"/>
      <c r="AC647" s="273"/>
      <c r="AD647" s="273"/>
      <c r="AE647" s="273"/>
      <c r="AF647" s="273"/>
      <c r="AG647" s="273"/>
      <c r="AH647" s="273"/>
      <c r="AI647" s="273"/>
      <c r="AJ647" s="273"/>
      <c r="AK647" s="273"/>
      <c r="AL647" s="273"/>
      <c r="AM647" s="273"/>
      <c r="AN647" s="273"/>
      <c r="AO647" s="273"/>
      <c r="AP647" s="273"/>
      <c r="AQ647" s="273"/>
      <c r="AR647" s="273"/>
      <c r="AS647" s="273"/>
      <c r="AT647" s="273"/>
      <c r="AU647" s="273"/>
      <c r="AV647" s="273"/>
    </row>
    <row r="648" spans="2:48" ht="12.75">
      <c r="B648" s="273"/>
      <c r="C648" s="273"/>
      <c r="D648" s="273"/>
      <c r="E648" s="273"/>
      <c r="F648" s="273"/>
      <c r="G648" s="273"/>
      <c r="H648" s="39"/>
      <c r="I648" s="273"/>
      <c r="J648" s="273"/>
      <c r="K648" s="273"/>
      <c r="L648" s="273"/>
      <c r="M648" s="273"/>
      <c r="N648" s="273"/>
      <c r="O648" s="273"/>
      <c r="P648" s="273"/>
      <c r="Q648" s="39"/>
      <c r="R648" s="273"/>
      <c r="S648" s="273"/>
      <c r="T648" s="273"/>
      <c r="U648" s="273"/>
      <c r="V648" s="273"/>
      <c r="W648" s="273"/>
      <c r="X648" s="39"/>
      <c r="Y648" s="273"/>
      <c r="Z648" s="273"/>
      <c r="AA648" s="273"/>
      <c r="AB648" s="273"/>
      <c r="AC648" s="273"/>
      <c r="AD648" s="273"/>
      <c r="AE648" s="273"/>
      <c r="AF648" s="273"/>
      <c r="AG648" s="273"/>
      <c r="AH648" s="273"/>
      <c r="AI648" s="273"/>
      <c r="AJ648" s="273"/>
      <c r="AK648" s="273"/>
      <c r="AL648" s="273"/>
      <c r="AM648" s="273"/>
      <c r="AN648" s="273"/>
      <c r="AO648" s="273"/>
      <c r="AP648" s="273"/>
      <c r="AQ648" s="273"/>
      <c r="AR648" s="273"/>
      <c r="AS648" s="273"/>
      <c r="AT648" s="273"/>
      <c r="AU648" s="273"/>
      <c r="AV648" s="273"/>
    </row>
    <row r="649" spans="2:48" ht="12.75">
      <c r="B649" s="273"/>
      <c r="C649" s="273"/>
      <c r="D649" s="273"/>
      <c r="E649" s="273"/>
      <c r="F649" s="273"/>
      <c r="G649" s="273"/>
      <c r="H649" s="39"/>
      <c r="I649" s="273"/>
      <c r="J649" s="273"/>
      <c r="K649" s="273"/>
      <c r="L649" s="273"/>
      <c r="M649" s="273"/>
      <c r="N649" s="273"/>
      <c r="O649" s="273"/>
      <c r="P649" s="273"/>
      <c r="Q649" s="39"/>
      <c r="R649" s="273"/>
      <c r="S649" s="273"/>
      <c r="T649" s="273"/>
      <c r="U649" s="273"/>
      <c r="V649" s="273"/>
      <c r="W649" s="273"/>
      <c r="X649" s="39"/>
      <c r="Y649" s="273"/>
      <c r="Z649" s="273"/>
      <c r="AA649" s="273"/>
      <c r="AB649" s="273"/>
      <c r="AC649" s="273"/>
      <c r="AD649" s="273"/>
      <c r="AE649" s="273"/>
      <c r="AF649" s="273"/>
      <c r="AG649" s="273"/>
      <c r="AH649" s="273"/>
      <c r="AI649" s="273"/>
      <c r="AJ649" s="273"/>
      <c r="AK649" s="273"/>
      <c r="AL649" s="273"/>
      <c r="AM649" s="273"/>
      <c r="AN649" s="273"/>
      <c r="AO649" s="273"/>
      <c r="AP649" s="273"/>
      <c r="AQ649" s="273"/>
      <c r="AR649" s="273"/>
      <c r="AS649" s="273"/>
      <c r="AT649" s="273"/>
      <c r="AU649" s="273"/>
      <c r="AV649" s="273"/>
    </row>
    <row r="650" spans="2:48" ht="12.75">
      <c r="B650" s="273"/>
      <c r="C650" s="273"/>
      <c r="D650" s="273"/>
      <c r="E650" s="273"/>
      <c r="F650" s="273"/>
      <c r="G650" s="273"/>
      <c r="H650" s="39"/>
      <c r="I650" s="273"/>
      <c r="J650" s="273"/>
      <c r="K650" s="273"/>
      <c r="L650" s="273"/>
      <c r="M650" s="273"/>
      <c r="N650" s="273"/>
      <c r="O650" s="273"/>
      <c r="P650" s="273"/>
      <c r="Q650" s="39"/>
      <c r="R650" s="273"/>
      <c r="S650" s="273"/>
      <c r="T650" s="273"/>
      <c r="U650" s="273"/>
      <c r="V650" s="273"/>
      <c r="W650" s="273"/>
      <c r="X650" s="39"/>
      <c r="Y650" s="273"/>
      <c r="Z650" s="273"/>
      <c r="AA650" s="273"/>
      <c r="AB650" s="273"/>
      <c r="AC650" s="273"/>
      <c r="AD650" s="273"/>
      <c r="AE650" s="273"/>
      <c r="AF650" s="273"/>
      <c r="AG650" s="273"/>
      <c r="AH650" s="273"/>
      <c r="AI650" s="273"/>
      <c r="AJ650" s="273"/>
      <c r="AK650" s="273"/>
      <c r="AL650" s="273"/>
      <c r="AM650" s="273"/>
      <c r="AN650" s="273"/>
      <c r="AO650" s="273"/>
      <c r="AP650" s="273"/>
      <c r="AQ650" s="273"/>
      <c r="AR650" s="273"/>
      <c r="AS650" s="273"/>
      <c r="AT650" s="273"/>
      <c r="AU650" s="273"/>
      <c r="AV650" s="273"/>
    </row>
    <row r="651" spans="2:48" ht="12.75">
      <c r="B651" s="273"/>
      <c r="C651" s="273"/>
      <c r="D651" s="273"/>
      <c r="E651" s="273"/>
      <c r="F651" s="273"/>
      <c r="G651" s="273"/>
      <c r="H651" s="39"/>
      <c r="I651" s="273"/>
      <c r="J651" s="273"/>
      <c r="K651" s="273"/>
      <c r="L651" s="273"/>
      <c r="M651" s="273"/>
      <c r="N651" s="273"/>
      <c r="O651" s="273"/>
      <c r="P651" s="273"/>
      <c r="Q651" s="39"/>
      <c r="R651" s="273"/>
      <c r="S651" s="273"/>
      <c r="T651" s="273"/>
      <c r="U651" s="273"/>
      <c r="V651" s="273"/>
      <c r="W651" s="273"/>
      <c r="X651" s="39"/>
      <c r="Y651" s="273"/>
      <c r="Z651" s="273"/>
      <c r="AA651" s="273"/>
      <c r="AB651" s="273"/>
      <c r="AC651" s="273"/>
      <c r="AD651" s="273"/>
      <c r="AE651" s="273"/>
      <c r="AF651" s="273"/>
      <c r="AG651" s="273"/>
      <c r="AH651" s="273"/>
      <c r="AI651" s="273"/>
      <c r="AJ651" s="273"/>
      <c r="AK651" s="273"/>
      <c r="AL651" s="273"/>
      <c r="AM651" s="273"/>
      <c r="AN651" s="273"/>
      <c r="AO651" s="273"/>
      <c r="AP651" s="273"/>
      <c r="AQ651" s="273"/>
      <c r="AR651" s="273"/>
      <c r="AS651" s="273"/>
      <c r="AT651" s="273"/>
      <c r="AU651" s="273"/>
      <c r="AV651" s="273"/>
    </row>
    <row r="652" spans="2:48" ht="12.75">
      <c r="B652" s="273"/>
      <c r="C652" s="273"/>
      <c r="D652" s="273"/>
      <c r="E652" s="273"/>
      <c r="F652" s="273"/>
      <c r="G652" s="273"/>
      <c r="H652" s="39"/>
      <c r="I652" s="273"/>
      <c r="J652" s="273"/>
      <c r="K652" s="273"/>
      <c r="L652" s="273"/>
      <c r="M652" s="273"/>
      <c r="N652" s="273"/>
      <c r="O652" s="273"/>
      <c r="P652" s="273"/>
      <c r="Q652" s="39"/>
      <c r="R652" s="273"/>
      <c r="S652" s="273"/>
      <c r="T652" s="273"/>
      <c r="U652" s="273"/>
      <c r="V652" s="273"/>
      <c r="W652" s="273"/>
      <c r="X652" s="39"/>
      <c r="Y652" s="273"/>
      <c r="Z652" s="273"/>
      <c r="AA652" s="273"/>
      <c r="AB652" s="273"/>
      <c r="AC652" s="273"/>
      <c r="AD652" s="273"/>
      <c r="AE652" s="273"/>
      <c r="AF652" s="273"/>
      <c r="AG652" s="273"/>
      <c r="AH652" s="273"/>
      <c r="AI652" s="273"/>
      <c r="AJ652" s="273"/>
      <c r="AK652" s="273"/>
      <c r="AL652" s="273"/>
      <c r="AM652" s="273"/>
      <c r="AN652" s="273"/>
      <c r="AO652" s="273"/>
      <c r="AP652" s="273"/>
      <c r="AQ652" s="273"/>
      <c r="AR652" s="273"/>
      <c r="AS652" s="273"/>
      <c r="AT652" s="273"/>
      <c r="AU652" s="273"/>
      <c r="AV652" s="273"/>
    </row>
    <row r="653" spans="2:48" ht="12.75">
      <c r="B653" s="273"/>
      <c r="C653" s="273"/>
      <c r="D653" s="273"/>
      <c r="E653" s="273"/>
      <c r="F653" s="273"/>
      <c r="G653" s="273"/>
      <c r="H653" s="39"/>
      <c r="I653" s="273"/>
      <c r="J653" s="273"/>
      <c r="K653" s="273"/>
      <c r="L653" s="273"/>
      <c r="M653" s="273"/>
      <c r="N653" s="273"/>
      <c r="O653" s="273"/>
      <c r="P653" s="273"/>
      <c r="Q653" s="39"/>
      <c r="R653" s="273"/>
      <c r="S653" s="273"/>
      <c r="T653" s="273"/>
      <c r="U653" s="273"/>
      <c r="V653" s="273"/>
      <c r="W653" s="273"/>
      <c r="X653" s="39"/>
      <c r="Y653" s="273"/>
      <c r="Z653" s="273"/>
      <c r="AA653" s="273"/>
      <c r="AB653" s="273"/>
      <c r="AC653" s="273"/>
      <c r="AD653" s="273"/>
      <c r="AE653" s="273"/>
      <c r="AF653" s="273"/>
      <c r="AG653" s="273"/>
      <c r="AH653" s="273"/>
      <c r="AI653" s="273"/>
      <c r="AJ653" s="273"/>
      <c r="AK653" s="273"/>
      <c r="AL653" s="273"/>
      <c r="AM653" s="273"/>
      <c r="AN653" s="273"/>
      <c r="AO653" s="273"/>
      <c r="AP653" s="273"/>
      <c r="AQ653" s="273"/>
      <c r="AR653" s="273"/>
      <c r="AS653" s="273"/>
      <c r="AT653" s="273"/>
      <c r="AU653" s="273"/>
      <c r="AV653" s="273"/>
    </row>
    <row r="654" spans="2:48" ht="12.75">
      <c r="B654" s="273"/>
      <c r="C654" s="273"/>
      <c r="D654" s="273"/>
      <c r="E654" s="273"/>
      <c r="F654" s="273"/>
      <c r="G654" s="273"/>
      <c r="H654" s="39"/>
      <c r="I654" s="273"/>
      <c r="J654" s="273"/>
      <c r="K654" s="273"/>
      <c r="L654" s="273"/>
      <c r="M654" s="273"/>
      <c r="N654" s="273"/>
      <c r="O654" s="273"/>
      <c r="P654" s="273"/>
      <c r="Q654" s="39"/>
      <c r="R654" s="273"/>
      <c r="S654" s="273"/>
      <c r="T654" s="273"/>
      <c r="U654" s="273"/>
      <c r="V654" s="273"/>
      <c r="W654" s="273"/>
      <c r="X654" s="39"/>
      <c r="Y654" s="273"/>
      <c r="Z654" s="273"/>
      <c r="AA654" s="273"/>
      <c r="AB654" s="273"/>
      <c r="AC654" s="273"/>
      <c r="AD654" s="273"/>
      <c r="AE654" s="273"/>
      <c r="AF654" s="273"/>
      <c r="AG654" s="273"/>
      <c r="AH654" s="273"/>
      <c r="AI654" s="273"/>
      <c r="AJ654" s="273"/>
      <c r="AK654" s="273"/>
      <c r="AL654" s="273"/>
      <c r="AM654" s="273"/>
      <c r="AN654" s="273"/>
      <c r="AO654" s="273"/>
      <c r="AP654" s="273"/>
      <c r="AQ654" s="273"/>
      <c r="AR654" s="273"/>
      <c r="AS654" s="273"/>
      <c r="AT654" s="273"/>
      <c r="AU654" s="273"/>
      <c r="AV654" s="273"/>
    </row>
    <row r="655" spans="2:48" ht="12.75">
      <c r="B655" s="273"/>
      <c r="C655" s="273"/>
      <c r="D655" s="273"/>
      <c r="E655" s="273"/>
      <c r="F655" s="273"/>
      <c r="G655" s="273"/>
      <c r="H655" s="39"/>
      <c r="I655" s="273"/>
      <c r="J655" s="273"/>
      <c r="K655" s="273"/>
      <c r="L655" s="273"/>
      <c r="M655" s="273"/>
      <c r="N655" s="273"/>
      <c r="O655" s="273"/>
      <c r="P655" s="273"/>
      <c r="Q655" s="39"/>
      <c r="R655" s="273"/>
      <c r="S655" s="273"/>
      <c r="T655" s="273"/>
      <c r="U655" s="273"/>
      <c r="V655" s="273"/>
      <c r="W655" s="273"/>
      <c r="X655" s="39"/>
      <c r="Y655" s="273"/>
      <c r="Z655" s="273"/>
      <c r="AA655" s="273"/>
      <c r="AB655" s="273"/>
      <c r="AC655" s="273"/>
      <c r="AD655" s="273"/>
      <c r="AE655" s="273"/>
      <c r="AF655" s="273"/>
      <c r="AG655" s="273"/>
      <c r="AH655" s="273"/>
      <c r="AI655" s="273"/>
      <c r="AJ655" s="273"/>
      <c r="AK655" s="273"/>
      <c r="AL655" s="273"/>
      <c r="AM655" s="273"/>
      <c r="AN655" s="273"/>
      <c r="AO655" s="273"/>
      <c r="AP655" s="273"/>
      <c r="AQ655" s="273"/>
      <c r="AR655" s="273"/>
      <c r="AS655" s="273"/>
      <c r="AT655" s="273"/>
      <c r="AU655" s="273"/>
      <c r="AV655" s="273"/>
    </row>
    <row r="656" spans="2:48" ht="12.75">
      <c r="B656" s="273"/>
      <c r="C656" s="273"/>
      <c r="D656" s="273"/>
      <c r="E656" s="273"/>
      <c r="F656" s="273"/>
      <c r="G656" s="273"/>
      <c r="H656" s="39"/>
      <c r="I656" s="273"/>
      <c r="J656" s="273"/>
      <c r="K656" s="273"/>
      <c r="L656" s="273"/>
      <c r="M656" s="273"/>
      <c r="N656" s="273"/>
      <c r="O656" s="273"/>
      <c r="P656" s="273"/>
      <c r="Q656" s="39"/>
      <c r="R656" s="273"/>
      <c r="S656" s="273"/>
      <c r="T656" s="273"/>
      <c r="U656" s="273"/>
      <c r="V656" s="273"/>
      <c r="W656" s="273"/>
      <c r="X656" s="39"/>
      <c r="Y656" s="273"/>
      <c r="Z656" s="273"/>
      <c r="AA656" s="273"/>
      <c r="AB656" s="273"/>
      <c r="AC656" s="273"/>
      <c r="AD656" s="273"/>
      <c r="AE656" s="273"/>
      <c r="AF656" s="273"/>
      <c r="AG656" s="273"/>
      <c r="AH656" s="273"/>
      <c r="AI656" s="273"/>
      <c r="AJ656" s="273"/>
      <c r="AK656" s="273"/>
      <c r="AL656" s="273"/>
      <c r="AM656" s="273"/>
      <c r="AN656" s="273"/>
      <c r="AO656" s="273"/>
      <c r="AP656" s="273"/>
      <c r="AQ656" s="273"/>
      <c r="AR656" s="273"/>
      <c r="AS656" s="273"/>
      <c r="AT656" s="273"/>
      <c r="AU656" s="273"/>
      <c r="AV656" s="273"/>
    </row>
    <row r="657" spans="2:48" ht="12.75">
      <c r="B657" s="273"/>
      <c r="C657" s="273"/>
      <c r="D657" s="273"/>
      <c r="E657" s="273"/>
      <c r="F657" s="273"/>
      <c r="G657" s="273"/>
      <c r="H657" s="39"/>
      <c r="I657" s="273"/>
      <c r="J657" s="273"/>
      <c r="K657" s="273"/>
      <c r="L657" s="273"/>
      <c r="M657" s="273"/>
      <c r="N657" s="273"/>
      <c r="O657" s="273"/>
      <c r="P657" s="273"/>
      <c r="Q657" s="39"/>
      <c r="R657" s="273"/>
      <c r="S657" s="273"/>
      <c r="T657" s="273"/>
      <c r="U657" s="273"/>
      <c r="V657" s="273"/>
      <c r="W657" s="273"/>
      <c r="X657" s="39"/>
      <c r="Y657" s="273"/>
      <c r="Z657" s="273"/>
      <c r="AA657" s="273"/>
      <c r="AB657" s="273"/>
      <c r="AC657" s="273"/>
      <c r="AD657" s="273"/>
      <c r="AE657" s="273"/>
      <c r="AF657" s="273"/>
      <c r="AG657" s="273"/>
      <c r="AH657" s="273"/>
      <c r="AI657" s="273"/>
      <c r="AJ657" s="273"/>
      <c r="AK657" s="273"/>
      <c r="AL657" s="273"/>
      <c r="AM657" s="273"/>
      <c r="AN657" s="273"/>
      <c r="AO657" s="273"/>
      <c r="AP657" s="273"/>
      <c r="AQ657" s="273"/>
      <c r="AR657" s="273"/>
      <c r="AS657" s="273"/>
      <c r="AT657" s="273"/>
      <c r="AU657" s="273"/>
      <c r="AV657" s="273"/>
    </row>
    <row r="658" spans="2:48" ht="12.75">
      <c r="B658" s="273"/>
      <c r="C658" s="273"/>
      <c r="D658" s="273"/>
      <c r="E658" s="273"/>
      <c r="F658" s="273"/>
      <c r="G658" s="273"/>
      <c r="H658" s="39"/>
      <c r="I658" s="273"/>
      <c r="J658" s="273"/>
      <c r="K658" s="273"/>
      <c r="L658" s="273"/>
      <c r="M658" s="273"/>
      <c r="N658" s="273"/>
      <c r="O658" s="273"/>
      <c r="P658" s="273"/>
      <c r="Q658" s="39"/>
      <c r="R658" s="273"/>
      <c r="S658" s="273"/>
      <c r="T658" s="273"/>
      <c r="U658" s="273"/>
      <c r="V658" s="273"/>
      <c r="W658" s="273"/>
      <c r="X658" s="39"/>
      <c r="Y658" s="273"/>
      <c r="Z658" s="273"/>
      <c r="AA658" s="273"/>
      <c r="AB658" s="273"/>
      <c r="AC658" s="273"/>
      <c r="AD658" s="273"/>
      <c r="AE658" s="273"/>
      <c r="AF658" s="273"/>
      <c r="AG658" s="273"/>
      <c r="AH658" s="273"/>
      <c r="AI658" s="273"/>
      <c r="AJ658" s="273"/>
      <c r="AK658" s="273"/>
      <c r="AL658" s="273"/>
      <c r="AM658" s="273"/>
      <c r="AN658" s="273"/>
      <c r="AO658" s="273"/>
      <c r="AP658" s="273"/>
      <c r="AQ658" s="273"/>
      <c r="AR658" s="273"/>
      <c r="AS658" s="273"/>
      <c r="AT658" s="273"/>
      <c r="AU658" s="273"/>
      <c r="AV658" s="273"/>
    </row>
    <row r="659" spans="2:48" ht="12.75">
      <c r="B659" s="273"/>
      <c r="C659" s="273"/>
      <c r="D659" s="273"/>
      <c r="E659" s="273"/>
      <c r="F659" s="273"/>
      <c r="G659" s="273"/>
      <c r="H659" s="39"/>
      <c r="I659" s="273"/>
      <c r="J659" s="273"/>
      <c r="K659" s="273"/>
      <c r="L659" s="273"/>
      <c r="M659" s="273"/>
      <c r="N659" s="273"/>
      <c r="O659" s="273"/>
      <c r="P659" s="273"/>
      <c r="Q659" s="39"/>
      <c r="R659" s="273"/>
      <c r="S659" s="273"/>
      <c r="T659" s="273"/>
      <c r="U659" s="273"/>
      <c r="V659" s="273"/>
      <c r="W659" s="273"/>
      <c r="X659" s="39"/>
      <c r="Y659" s="273"/>
      <c r="Z659" s="273"/>
      <c r="AA659" s="273"/>
      <c r="AB659" s="273"/>
      <c r="AC659" s="273"/>
      <c r="AD659" s="273"/>
      <c r="AE659" s="273"/>
      <c r="AF659" s="273"/>
      <c r="AG659" s="273"/>
      <c r="AH659" s="273"/>
      <c r="AI659" s="273"/>
      <c r="AJ659" s="273"/>
      <c r="AK659" s="273"/>
      <c r="AL659" s="273"/>
      <c r="AM659" s="273"/>
      <c r="AN659" s="273"/>
      <c r="AO659" s="273"/>
      <c r="AP659" s="273"/>
      <c r="AQ659" s="273"/>
      <c r="AR659" s="273"/>
      <c r="AS659" s="273"/>
      <c r="AT659" s="273"/>
      <c r="AU659" s="273"/>
      <c r="AV659" s="273"/>
    </row>
    <row r="660" spans="2:48" ht="12.75">
      <c r="B660" s="273"/>
      <c r="C660" s="273"/>
      <c r="D660" s="273"/>
      <c r="E660" s="273"/>
      <c r="F660" s="273"/>
      <c r="G660" s="273"/>
      <c r="H660" s="39"/>
      <c r="I660" s="273"/>
      <c r="J660" s="273"/>
      <c r="K660" s="273"/>
      <c r="L660" s="273"/>
      <c r="M660" s="273"/>
      <c r="N660" s="273"/>
      <c r="O660" s="273"/>
      <c r="P660" s="273"/>
      <c r="Q660" s="39"/>
      <c r="R660" s="273"/>
      <c r="S660" s="273"/>
      <c r="T660" s="273"/>
      <c r="U660" s="273"/>
      <c r="V660" s="273"/>
      <c r="W660" s="273"/>
      <c r="X660" s="39"/>
      <c r="Y660" s="273"/>
      <c r="Z660" s="273"/>
      <c r="AA660" s="273"/>
      <c r="AB660" s="273"/>
      <c r="AC660" s="273"/>
      <c r="AD660" s="273"/>
      <c r="AE660" s="273"/>
      <c r="AF660" s="273"/>
      <c r="AG660" s="273"/>
      <c r="AH660" s="273"/>
      <c r="AI660" s="273"/>
      <c r="AJ660" s="273"/>
      <c r="AK660" s="273"/>
      <c r="AL660" s="273"/>
      <c r="AM660" s="273"/>
      <c r="AN660" s="273"/>
      <c r="AO660" s="273"/>
      <c r="AP660" s="273"/>
      <c r="AQ660" s="273"/>
      <c r="AR660" s="273"/>
      <c r="AS660" s="273"/>
      <c r="AT660" s="273"/>
      <c r="AU660" s="273"/>
      <c r="AV660" s="273"/>
    </row>
    <row r="661" spans="2:48" ht="12.75">
      <c r="B661" s="273"/>
      <c r="C661" s="273"/>
      <c r="D661" s="273"/>
      <c r="E661" s="273"/>
      <c r="F661" s="273"/>
      <c r="G661" s="273"/>
      <c r="H661" s="39"/>
      <c r="I661" s="273"/>
      <c r="J661" s="273"/>
      <c r="K661" s="273"/>
      <c r="L661" s="273"/>
      <c r="M661" s="273"/>
      <c r="N661" s="273"/>
      <c r="O661" s="273"/>
      <c r="P661" s="273"/>
      <c r="Q661" s="39"/>
      <c r="R661" s="273"/>
      <c r="S661" s="273"/>
      <c r="T661" s="273"/>
      <c r="U661" s="273"/>
      <c r="V661" s="273"/>
      <c r="W661" s="273"/>
      <c r="X661" s="39"/>
      <c r="Y661" s="273"/>
      <c r="Z661" s="273"/>
      <c r="AA661" s="273"/>
      <c r="AB661" s="273"/>
      <c r="AC661" s="273"/>
      <c r="AD661" s="273"/>
      <c r="AE661" s="273"/>
      <c r="AF661" s="273"/>
      <c r="AG661" s="273"/>
      <c r="AH661" s="273"/>
      <c r="AI661" s="273"/>
      <c r="AJ661" s="273"/>
      <c r="AK661" s="273"/>
      <c r="AL661" s="273"/>
      <c r="AM661" s="273"/>
      <c r="AN661" s="273"/>
      <c r="AO661" s="273"/>
      <c r="AP661" s="273"/>
      <c r="AQ661" s="273"/>
      <c r="AR661" s="273"/>
      <c r="AS661" s="273"/>
      <c r="AT661" s="273"/>
      <c r="AU661" s="273"/>
      <c r="AV661" s="273"/>
    </row>
    <row r="662" spans="2:48" ht="12.75">
      <c r="B662" s="273"/>
      <c r="C662" s="273"/>
      <c r="D662" s="273"/>
      <c r="E662" s="273"/>
      <c r="F662" s="273"/>
      <c r="G662" s="273"/>
      <c r="H662" s="39"/>
      <c r="I662" s="273"/>
      <c r="J662" s="273"/>
      <c r="K662" s="273"/>
      <c r="L662" s="273"/>
      <c r="M662" s="273"/>
      <c r="N662" s="273"/>
      <c r="O662" s="273"/>
      <c r="P662" s="273"/>
      <c r="Q662" s="39"/>
      <c r="R662" s="273"/>
      <c r="S662" s="273"/>
      <c r="T662" s="273"/>
      <c r="U662" s="273"/>
      <c r="V662" s="273"/>
      <c r="W662" s="273"/>
      <c r="X662" s="39"/>
      <c r="Y662" s="273"/>
      <c r="Z662" s="273"/>
      <c r="AA662" s="273"/>
      <c r="AB662" s="273"/>
      <c r="AC662" s="273"/>
      <c r="AD662" s="273"/>
      <c r="AE662" s="273"/>
      <c r="AF662" s="273"/>
      <c r="AG662" s="273"/>
      <c r="AH662" s="273"/>
      <c r="AI662" s="273"/>
      <c r="AJ662" s="273"/>
      <c r="AK662" s="273"/>
      <c r="AL662" s="273"/>
      <c r="AM662" s="273"/>
      <c r="AN662" s="273"/>
      <c r="AO662" s="273"/>
      <c r="AP662" s="273"/>
      <c r="AQ662" s="273"/>
      <c r="AR662" s="273"/>
      <c r="AS662" s="273"/>
      <c r="AT662" s="273"/>
      <c r="AU662" s="273"/>
      <c r="AV662" s="273"/>
    </row>
    <row r="663" spans="2:48" ht="12.75">
      <c r="B663" s="273"/>
      <c r="C663" s="273"/>
      <c r="D663" s="273"/>
      <c r="E663" s="273"/>
      <c r="F663" s="273"/>
      <c r="G663" s="273"/>
      <c r="H663" s="39"/>
      <c r="I663" s="273"/>
      <c r="J663" s="273"/>
      <c r="K663" s="273"/>
      <c r="L663" s="273"/>
      <c r="M663" s="273"/>
      <c r="N663" s="273"/>
      <c r="O663" s="273"/>
      <c r="P663" s="273"/>
      <c r="Q663" s="39"/>
      <c r="R663" s="273"/>
      <c r="S663" s="273"/>
      <c r="T663" s="273"/>
      <c r="U663" s="273"/>
      <c r="V663" s="273"/>
      <c r="W663" s="273"/>
      <c r="X663" s="39"/>
      <c r="Y663" s="273"/>
      <c r="Z663" s="273"/>
      <c r="AA663" s="273"/>
      <c r="AB663" s="273"/>
      <c r="AC663" s="273"/>
      <c r="AD663" s="273"/>
      <c r="AE663" s="273"/>
      <c r="AF663" s="273"/>
      <c r="AG663" s="273"/>
      <c r="AH663" s="273"/>
      <c r="AI663" s="273"/>
      <c r="AJ663" s="273"/>
      <c r="AK663" s="273"/>
      <c r="AL663" s="273"/>
      <c r="AM663" s="273"/>
      <c r="AN663" s="273"/>
      <c r="AO663" s="273"/>
      <c r="AP663" s="273"/>
      <c r="AQ663" s="273"/>
      <c r="AR663" s="273"/>
      <c r="AS663" s="273"/>
      <c r="AT663" s="273"/>
      <c r="AU663" s="273"/>
      <c r="AV663" s="273"/>
    </row>
    <row r="664" spans="2:48" ht="12.75">
      <c r="B664" s="273"/>
      <c r="C664" s="273"/>
      <c r="D664" s="273"/>
      <c r="E664" s="273"/>
      <c r="F664" s="273"/>
      <c r="G664" s="273"/>
      <c r="H664" s="39"/>
      <c r="I664" s="273"/>
      <c r="J664" s="273"/>
      <c r="K664" s="273"/>
      <c r="L664" s="273"/>
      <c r="M664" s="273"/>
      <c r="N664" s="273"/>
      <c r="O664" s="273"/>
      <c r="P664" s="273"/>
      <c r="Q664" s="39"/>
      <c r="R664" s="273"/>
      <c r="S664" s="273"/>
      <c r="T664" s="273"/>
      <c r="U664" s="273"/>
      <c r="V664" s="273"/>
      <c r="W664" s="273"/>
      <c r="X664" s="39"/>
      <c r="Y664" s="273"/>
      <c r="Z664" s="273"/>
      <c r="AA664" s="273"/>
      <c r="AB664" s="273"/>
      <c r="AC664" s="273"/>
      <c r="AD664" s="273"/>
      <c r="AE664" s="273"/>
      <c r="AF664" s="273"/>
      <c r="AG664" s="273"/>
      <c r="AH664" s="273"/>
      <c r="AI664" s="273"/>
      <c r="AJ664" s="273"/>
      <c r="AK664" s="273"/>
      <c r="AL664" s="273"/>
      <c r="AM664" s="273"/>
      <c r="AN664" s="273"/>
      <c r="AO664" s="273"/>
      <c r="AP664" s="273"/>
      <c r="AQ664" s="273"/>
      <c r="AR664" s="273"/>
      <c r="AS664" s="273"/>
      <c r="AT664" s="273"/>
      <c r="AU664" s="273"/>
      <c r="AV664" s="273"/>
    </row>
    <row r="665" spans="2:48" ht="12.75">
      <c r="B665" s="273"/>
      <c r="C665" s="273"/>
      <c r="D665" s="273"/>
      <c r="E665" s="273"/>
      <c r="F665" s="273"/>
      <c r="G665" s="273"/>
      <c r="H665" s="39"/>
      <c r="I665" s="273"/>
      <c r="J665" s="273"/>
      <c r="K665" s="273"/>
      <c r="L665" s="273"/>
      <c r="M665" s="273"/>
      <c r="N665" s="273"/>
      <c r="O665" s="273"/>
      <c r="P665" s="273"/>
      <c r="Q665" s="39"/>
      <c r="R665" s="273"/>
      <c r="S665" s="273"/>
      <c r="T665" s="273"/>
      <c r="U665" s="273"/>
      <c r="V665" s="273"/>
      <c r="W665" s="273"/>
      <c r="X665" s="39"/>
      <c r="Y665" s="273"/>
      <c r="Z665" s="273"/>
      <c r="AA665" s="273"/>
      <c r="AB665" s="273"/>
      <c r="AC665" s="273"/>
      <c r="AD665" s="273"/>
      <c r="AE665" s="273"/>
      <c r="AF665" s="273"/>
      <c r="AG665" s="273"/>
      <c r="AH665" s="273"/>
      <c r="AI665" s="273"/>
      <c r="AJ665" s="273"/>
      <c r="AK665" s="273"/>
      <c r="AL665" s="273"/>
      <c r="AM665" s="273"/>
      <c r="AN665" s="273"/>
      <c r="AO665" s="273"/>
      <c r="AP665" s="273"/>
      <c r="AQ665" s="273"/>
      <c r="AR665" s="273"/>
      <c r="AS665" s="273"/>
      <c r="AT665" s="273"/>
      <c r="AU665" s="273"/>
      <c r="AV665" s="273"/>
    </row>
    <row r="666" spans="2:48" ht="12.75">
      <c r="B666" s="273"/>
      <c r="C666" s="273"/>
      <c r="D666" s="273"/>
      <c r="E666" s="273"/>
      <c r="F666" s="273"/>
      <c r="G666" s="273"/>
      <c r="H666" s="39"/>
      <c r="I666" s="273"/>
      <c r="J666" s="273"/>
      <c r="K666" s="273"/>
      <c r="L666" s="273"/>
      <c r="M666" s="273"/>
      <c r="N666" s="273"/>
      <c r="O666" s="273"/>
      <c r="P666" s="273"/>
      <c r="Q666" s="39"/>
      <c r="R666" s="273"/>
      <c r="S666" s="273"/>
      <c r="T666" s="273"/>
      <c r="U666" s="273"/>
      <c r="V666" s="273"/>
      <c r="W666" s="273"/>
      <c r="X666" s="39"/>
      <c r="Y666" s="273"/>
      <c r="Z666" s="273"/>
      <c r="AA666" s="273"/>
      <c r="AB666" s="273"/>
      <c r="AC666" s="273"/>
      <c r="AD666" s="273"/>
      <c r="AE666" s="273"/>
      <c r="AF666" s="273"/>
      <c r="AG666" s="273"/>
      <c r="AH666" s="273"/>
      <c r="AI666" s="273"/>
      <c r="AJ666" s="273"/>
      <c r="AK666" s="273"/>
      <c r="AL666" s="273"/>
      <c r="AM666" s="273"/>
      <c r="AN666" s="273"/>
      <c r="AO666" s="273"/>
      <c r="AP666" s="273"/>
      <c r="AQ666" s="273"/>
      <c r="AR666" s="273"/>
      <c r="AS666" s="273"/>
      <c r="AT666" s="273"/>
      <c r="AU666" s="273"/>
      <c r="AV666" s="273"/>
    </row>
    <row r="667" spans="2:48" ht="12.75">
      <c r="B667" s="273"/>
      <c r="C667" s="273"/>
      <c r="D667" s="273"/>
      <c r="E667" s="273"/>
      <c r="F667" s="273"/>
      <c r="G667" s="273"/>
      <c r="H667" s="39"/>
      <c r="I667" s="273"/>
      <c r="J667" s="273"/>
      <c r="K667" s="273"/>
      <c r="L667" s="273"/>
      <c r="M667" s="273"/>
      <c r="N667" s="273"/>
      <c r="O667" s="273"/>
      <c r="P667" s="273"/>
      <c r="Q667" s="39"/>
      <c r="R667" s="273"/>
      <c r="S667" s="273"/>
      <c r="T667" s="273"/>
      <c r="U667" s="273"/>
      <c r="V667" s="273"/>
      <c r="W667" s="273"/>
      <c r="X667" s="39"/>
      <c r="Y667" s="273"/>
      <c r="Z667" s="273"/>
      <c r="AA667" s="273"/>
      <c r="AB667" s="273"/>
      <c r="AC667" s="273"/>
      <c r="AD667" s="273"/>
      <c r="AE667" s="273"/>
      <c r="AF667" s="273"/>
      <c r="AG667" s="273"/>
      <c r="AH667" s="273"/>
      <c r="AI667" s="273"/>
      <c r="AJ667" s="273"/>
      <c r="AK667" s="273"/>
      <c r="AL667" s="273"/>
      <c r="AM667" s="273"/>
      <c r="AN667" s="273"/>
      <c r="AO667" s="273"/>
      <c r="AP667" s="273"/>
      <c r="AQ667" s="273"/>
      <c r="AR667" s="273"/>
      <c r="AS667" s="273"/>
      <c r="AT667" s="273"/>
      <c r="AU667" s="273"/>
      <c r="AV667" s="273"/>
    </row>
    <row r="668" spans="2:48" ht="12.75">
      <c r="B668" s="273"/>
      <c r="C668" s="273"/>
      <c r="D668" s="273"/>
      <c r="E668" s="273"/>
      <c r="F668" s="273"/>
      <c r="G668" s="273"/>
      <c r="H668" s="39"/>
      <c r="I668" s="273"/>
      <c r="J668" s="273"/>
      <c r="K668" s="273"/>
      <c r="L668" s="273"/>
      <c r="M668" s="273"/>
      <c r="N668" s="273"/>
      <c r="O668" s="273"/>
      <c r="P668" s="273"/>
      <c r="Q668" s="39"/>
      <c r="R668" s="273"/>
      <c r="S668" s="273"/>
      <c r="T668" s="273"/>
      <c r="U668" s="273"/>
      <c r="V668" s="273"/>
      <c r="W668" s="273"/>
      <c r="X668" s="39"/>
      <c r="Y668" s="273"/>
      <c r="Z668" s="273"/>
      <c r="AA668" s="273"/>
      <c r="AB668" s="273"/>
      <c r="AC668" s="273"/>
      <c r="AD668" s="273"/>
      <c r="AE668" s="273"/>
      <c r="AF668" s="273"/>
      <c r="AG668" s="273"/>
      <c r="AH668" s="273"/>
      <c r="AI668" s="273"/>
      <c r="AJ668" s="273"/>
      <c r="AK668" s="273"/>
      <c r="AL668" s="273"/>
      <c r="AM668" s="273"/>
      <c r="AN668" s="273"/>
      <c r="AO668" s="273"/>
      <c r="AP668" s="273"/>
      <c r="AQ668" s="273"/>
      <c r="AR668" s="273"/>
      <c r="AS668" s="273"/>
      <c r="AT668" s="273"/>
      <c r="AU668" s="273"/>
      <c r="AV668" s="273"/>
    </row>
    <row r="669" spans="2:48" ht="12.75">
      <c r="B669" s="273"/>
      <c r="C669" s="273"/>
      <c r="D669" s="273"/>
      <c r="E669" s="273"/>
      <c r="F669" s="273"/>
      <c r="G669" s="273"/>
      <c r="H669" s="39"/>
      <c r="I669" s="273"/>
      <c r="J669" s="273"/>
      <c r="K669" s="273"/>
      <c r="L669" s="273"/>
      <c r="M669" s="273"/>
      <c r="N669" s="273"/>
      <c r="O669" s="273"/>
      <c r="P669" s="273"/>
      <c r="Q669" s="39"/>
      <c r="R669" s="273"/>
      <c r="S669" s="273"/>
      <c r="T669" s="273"/>
      <c r="U669" s="273"/>
      <c r="V669" s="273"/>
      <c r="W669" s="273"/>
      <c r="X669" s="39"/>
      <c r="Y669" s="273"/>
      <c r="Z669" s="273"/>
      <c r="AA669" s="273"/>
      <c r="AB669" s="273"/>
      <c r="AC669" s="273"/>
      <c r="AD669" s="273"/>
      <c r="AE669" s="273"/>
      <c r="AF669" s="273"/>
      <c r="AG669" s="273"/>
      <c r="AH669" s="273"/>
      <c r="AI669" s="273"/>
      <c r="AJ669" s="273"/>
      <c r="AK669" s="273"/>
      <c r="AL669" s="273"/>
      <c r="AM669" s="273"/>
      <c r="AN669" s="273"/>
      <c r="AO669" s="273"/>
      <c r="AP669" s="273"/>
      <c r="AQ669" s="273"/>
      <c r="AR669" s="273"/>
      <c r="AS669" s="273"/>
      <c r="AT669" s="273"/>
      <c r="AU669" s="273"/>
      <c r="AV669" s="273"/>
    </row>
    <row r="670" spans="2:48" ht="12.75">
      <c r="B670" s="273"/>
      <c r="C670" s="273"/>
      <c r="D670" s="273"/>
      <c r="E670" s="273"/>
      <c r="F670" s="273"/>
      <c r="G670" s="273"/>
      <c r="H670" s="39"/>
      <c r="I670" s="273"/>
      <c r="J670" s="273"/>
      <c r="K670" s="273"/>
      <c r="L670" s="273"/>
      <c r="M670" s="273"/>
      <c r="N670" s="273"/>
      <c r="O670" s="273"/>
      <c r="P670" s="273"/>
      <c r="Q670" s="39"/>
      <c r="R670" s="273"/>
      <c r="S670" s="273"/>
      <c r="T670" s="273"/>
      <c r="U670" s="273"/>
      <c r="V670" s="273"/>
      <c r="W670" s="273"/>
      <c r="X670" s="39"/>
      <c r="Y670" s="273"/>
      <c r="Z670" s="273"/>
      <c r="AA670" s="273"/>
      <c r="AB670" s="273"/>
      <c r="AC670" s="273"/>
      <c r="AD670" s="273"/>
      <c r="AE670" s="273"/>
      <c r="AF670" s="273"/>
      <c r="AG670" s="273"/>
      <c r="AH670" s="273"/>
      <c r="AI670" s="273"/>
      <c r="AJ670" s="273"/>
      <c r="AK670" s="273"/>
      <c r="AL670" s="273"/>
      <c r="AM670" s="273"/>
      <c r="AN670" s="273"/>
      <c r="AO670" s="273"/>
      <c r="AP670" s="273"/>
      <c r="AQ670" s="273"/>
      <c r="AR670" s="273"/>
      <c r="AS670" s="273"/>
      <c r="AT670" s="273"/>
      <c r="AU670" s="273"/>
      <c r="AV670" s="273"/>
    </row>
    <row r="671" spans="2:48" ht="12.75">
      <c r="B671" s="273"/>
      <c r="C671" s="273"/>
      <c r="D671" s="273"/>
      <c r="E671" s="273"/>
      <c r="F671" s="273"/>
      <c r="G671" s="273"/>
      <c r="H671" s="39"/>
      <c r="I671" s="273"/>
      <c r="J671" s="273"/>
      <c r="K671" s="273"/>
      <c r="L671" s="273"/>
      <c r="M671" s="273"/>
      <c r="N671" s="273"/>
      <c r="O671" s="273"/>
      <c r="P671" s="273"/>
      <c r="Q671" s="39"/>
      <c r="R671" s="273"/>
      <c r="S671" s="273"/>
      <c r="T671" s="273"/>
      <c r="U671" s="273"/>
      <c r="V671" s="273"/>
      <c r="W671" s="273"/>
      <c r="X671" s="39"/>
      <c r="Y671" s="273"/>
      <c r="Z671" s="273"/>
      <c r="AA671" s="273"/>
      <c r="AB671" s="273"/>
      <c r="AC671" s="273"/>
      <c r="AD671" s="273"/>
      <c r="AE671" s="273"/>
      <c r="AF671" s="273"/>
      <c r="AG671" s="273"/>
      <c r="AH671" s="273"/>
      <c r="AI671" s="273"/>
      <c r="AJ671" s="273"/>
      <c r="AK671" s="273"/>
      <c r="AL671" s="273"/>
      <c r="AM671" s="273"/>
      <c r="AN671" s="273"/>
      <c r="AO671" s="273"/>
      <c r="AP671" s="273"/>
      <c r="AQ671" s="273"/>
      <c r="AR671" s="273"/>
      <c r="AS671" s="273"/>
      <c r="AT671" s="273"/>
      <c r="AU671" s="273"/>
      <c r="AV671" s="273"/>
    </row>
    <row r="672" spans="2:48" ht="12.75">
      <c r="B672" s="273"/>
      <c r="C672" s="273"/>
      <c r="D672" s="273"/>
      <c r="E672" s="273"/>
      <c r="F672" s="273"/>
      <c r="G672" s="273"/>
      <c r="H672" s="39"/>
      <c r="I672" s="273"/>
      <c r="J672" s="273"/>
      <c r="K672" s="273"/>
      <c r="L672" s="273"/>
      <c r="M672" s="273"/>
      <c r="N672" s="273"/>
      <c r="O672" s="273"/>
      <c r="P672" s="273"/>
      <c r="Q672" s="39"/>
      <c r="R672" s="273"/>
      <c r="S672" s="273"/>
      <c r="T672" s="273"/>
      <c r="U672" s="273"/>
      <c r="V672" s="273"/>
      <c r="W672" s="273"/>
      <c r="X672" s="39"/>
      <c r="Y672" s="273"/>
      <c r="Z672" s="273"/>
      <c r="AA672" s="273"/>
      <c r="AB672" s="273"/>
      <c r="AC672" s="273"/>
      <c r="AD672" s="273"/>
      <c r="AE672" s="273"/>
      <c r="AF672" s="273"/>
      <c r="AG672" s="273"/>
      <c r="AH672" s="273"/>
      <c r="AI672" s="273"/>
      <c r="AJ672" s="273"/>
      <c r="AK672" s="273"/>
      <c r="AL672" s="273"/>
      <c r="AM672" s="273"/>
      <c r="AN672" s="273"/>
      <c r="AO672" s="273"/>
      <c r="AP672" s="273"/>
      <c r="AQ672" s="273"/>
      <c r="AR672" s="273"/>
      <c r="AS672" s="273"/>
      <c r="AT672" s="273"/>
      <c r="AU672" s="273"/>
      <c r="AV672" s="273"/>
    </row>
    <row r="673" spans="2:48" ht="12.75">
      <c r="B673" s="273"/>
      <c r="C673" s="273"/>
      <c r="D673" s="273"/>
      <c r="E673" s="273"/>
      <c r="F673" s="273"/>
      <c r="G673" s="273"/>
      <c r="H673" s="39"/>
      <c r="I673" s="273"/>
      <c r="J673" s="273"/>
      <c r="K673" s="273"/>
      <c r="L673" s="273"/>
      <c r="M673" s="273"/>
      <c r="N673" s="273"/>
      <c r="O673" s="273"/>
      <c r="P673" s="273"/>
      <c r="Q673" s="39"/>
      <c r="R673" s="273"/>
      <c r="S673" s="273"/>
      <c r="T673" s="273"/>
      <c r="U673" s="273"/>
      <c r="V673" s="273"/>
      <c r="W673" s="273"/>
      <c r="X673" s="39"/>
      <c r="Y673" s="273"/>
      <c r="Z673" s="273"/>
      <c r="AA673" s="273"/>
      <c r="AB673" s="273"/>
      <c r="AC673" s="273"/>
      <c r="AD673" s="273"/>
      <c r="AE673" s="273"/>
      <c r="AF673" s="273"/>
      <c r="AG673" s="273"/>
      <c r="AH673" s="273"/>
      <c r="AI673" s="273"/>
      <c r="AJ673" s="273"/>
      <c r="AK673" s="273"/>
      <c r="AL673" s="273"/>
      <c r="AM673" s="273"/>
      <c r="AN673" s="273"/>
      <c r="AO673" s="273"/>
      <c r="AP673" s="273"/>
      <c r="AQ673" s="273"/>
      <c r="AR673" s="273"/>
      <c r="AS673" s="273"/>
      <c r="AT673" s="273"/>
      <c r="AU673" s="273"/>
      <c r="AV673" s="273"/>
    </row>
    <row r="674" spans="2:48" ht="12.75">
      <c r="B674" s="273"/>
      <c r="C674" s="273"/>
      <c r="D674" s="273"/>
      <c r="E674" s="273"/>
      <c r="F674" s="273"/>
      <c r="G674" s="273"/>
      <c r="H674" s="39"/>
      <c r="I674" s="273"/>
      <c r="J674" s="273"/>
      <c r="K674" s="273"/>
      <c r="L674" s="273"/>
      <c r="M674" s="273"/>
      <c r="N674" s="273"/>
      <c r="O674" s="273"/>
      <c r="P674" s="273"/>
      <c r="Q674" s="39"/>
      <c r="R674" s="273"/>
      <c r="S674" s="273"/>
      <c r="T674" s="273"/>
      <c r="U674" s="273"/>
      <c r="V674" s="273"/>
      <c r="W674" s="273"/>
      <c r="X674" s="39"/>
      <c r="Y674" s="273"/>
      <c r="Z674" s="273"/>
      <c r="AA674" s="273"/>
      <c r="AB674" s="273"/>
      <c r="AC674" s="273"/>
      <c r="AD674" s="273"/>
      <c r="AE674" s="273"/>
      <c r="AF674" s="273"/>
      <c r="AG674" s="273"/>
      <c r="AH674" s="273"/>
      <c r="AI674" s="273"/>
      <c r="AJ674" s="273"/>
      <c r="AK674" s="273"/>
      <c r="AL674" s="273"/>
      <c r="AM674" s="273"/>
      <c r="AN674" s="273"/>
      <c r="AO674" s="273"/>
      <c r="AP674" s="273"/>
      <c r="AQ674" s="273"/>
      <c r="AR674" s="273"/>
      <c r="AS674" s="273"/>
      <c r="AT674" s="273"/>
      <c r="AU674" s="273"/>
      <c r="AV674" s="273"/>
    </row>
    <row r="675" spans="2:48" ht="12.75">
      <c r="B675" s="273"/>
      <c r="C675" s="273"/>
      <c r="D675" s="273"/>
      <c r="E675" s="273"/>
      <c r="F675" s="273"/>
      <c r="G675" s="273"/>
      <c r="H675" s="39"/>
      <c r="I675" s="273"/>
      <c r="J675" s="273"/>
      <c r="K675" s="273"/>
      <c r="L675" s="273"/>
      <c r="M675" s="273"/>
      <c r="N675" s="273"/>
      <c r="O675" s="273"/>
      <c r="P675" s="273"/>
      <c r="Q675" s="39"/>
      <c r="R675" s="273"/>
      <c r="S675" s="273"/>
      <c r="T675" s="273"/>
      <c r="U675" s="273"/>
      <c r="V675" s="273"/>
      <c r="W675" s="273"/>
      <c r="X675" s="39"/>
      <c r="Y675" s="273"/>
      <c r="Z675" s="273"/>
      <c r="AA675" s="273"/>
      <c r="AB675" s="273"/>
      <c r="AC675" s="273"/>
      <c r="AD675" s="273"/>
      <c r="AE675" s="273"/>
      <c r="AF675" s="273"/>
      <c r="AG675" s="273"/>
      <c r="AH675" s="273"/>
      <c r="AI675" s="273"/>
      <c r="AJ675" s="273"/>
      <c r="AK675" s="273"/>
      <c r="AL675" s="273"/>
      <c r="AM675" s="273"/>
      <c r="AN675" s="273"/>
      <c r="AO675" s="273"/>
      <c r="AP675" s="273"/>
      <c r="AQ675" s="273"/>
      <c r="AR675" s="273"/>
      <c r="AS675" s="273"/>
      <c r="AT675" s="273"/>
      <c r="AU675" s="273"/>
      <c r="AV675" s="273"/>
    </row>
    <row r="676" spans="2:48" ht="12.75">
      <c r="B676" s="273"/>
      <c r="C676" s="273"/>
      <c r="D676" s="273"/>
      <c r="E676" s="273"/>
      <c r="F676" s="273"/>
      <c r="G676" s="273"/>
      <c r="H676" s="39"/>
      <c r="I676" s="273"/>
      <c r="J676" s="273"/>
      <c r="K676" s="273"/>
      <c r="L676" s="273"/>
      <c r="M676" s="273"/>
      <c r="N676" s="273"/>
      <c r="O676" s="273"/>
      <c r="P676" s="273"/>
      <c r="Q676" s="39"/>
      <c r="R676" s="273"/>
      <c r="S676" s="273"/>
      <c r="T676" s="273"/>
      <c r="U676" s="273"/>
      <c r="V676" s="273"/>
      <c r="W676" s="273"/>
      <c r="X676" s="39"/>
      <c r="Y676" s="273"/>
      <c r="Z676" s="273"/>
      <c r="AA676" s="273"/>
      <c r="AB676" s="273"/>
      <c r="AC676" s="273"/>
      <c r="AD676" s="273"/>
      <c r="AE676" s="273"/>
      <c r="AF676" s="273"/>
      <c r="AG676" s="273"/>
      <c r="AH676" s="273"/>
      <c r="AI676" s="273"/>
      <c r="AJ676" s="273"/>
      <c r="AK676" s="273"/>
      <c r="AL676" s="273"/>
      <c r="AM676" s="273"/>
      <c r="AN676" s="273"/>
      <c r="AO676" s="273"/>
      <c r="AP676" s="273"/>
      <c r="AQ676" s="273"/>
      <c r="AR676" s="273"/>
      <c r="AS676" s="273"/>
      <c r="AT676" s="273"/>
      <c r="AU676" s="273"/>
      <c r="AV676" s="273"/>
    </row>
    <row r="677" spans="2:48" ht="12.75">
      <c r="B677" s="273"/>
      <c r="C677" s="273"/>
      <c r="D677" s="273"/>
      <c r="E677" s="273"/>
      <c r="F677" s="273"/>
      <c r="G677" s="273"/>
      <c r="H677" s="39"/>
      <c r="I677" s="273"/>
      <c r="J677" s="273"/>
      <c r="K677" s="273"/>
      <c r="L677" s="273"/>
      <c r="M677" s="273"/>
      <c r="N677" s="273"/>
      <c r="O677" s="273"/>
      <c r="P677" s="273"/>
      <c r="Q677" s="39"/>
      <c r="R677" s="273"/>
      <c r="S677" s="273"/>
      <c r="T677" s="273"/>
      <c r="U677" s="273"/>
      <c r="V677" s="273"/>
      <c r="W677" s="273"/>
      <c r="X677" s="39"/>
      <c r="Y677" s="273"/>
      <c r="Z677" s="273"/>
      <c r="AA677" s="273"/>
      <c r="AB677" s="273"/>
      <c r="AC677" s="273"/>
      <c r="AD677" s="273"/>
      <c r="AE677" s="273"/>
      <c r="AF677" s="273"/>
      <c r="AG677" s="273"/>
      <c r="AH677" s="273"/>
      <c r="AI677" s="273"/>
      <c r="AJ677" s="273"/>
      <c r="AK677" s="273"/>
      <c r="AL677" s="273"/>
      <c r="AM677" s="273"/>
      <c r="AN677" s="273"/>
      <c r="AO677" s="273"/>
      <c r="AP677" s="273"/>
      <c r="AQ677" s="273"/>
      <c r="AR677" s="273"/>
      <c r="AS677" s="273"/>
      <c r="AT677" s="273"/>
      <c r="AU677" s="273"/>
      <c r="AV677" s="273"/>
    </row>
    <row r="678" spans="2:48" ht="12.75">
      <c r="B678" s="273"/>
      <c r="C678" s="273"/>
      <c r="D678" s="273"/>
      <c r="E678" s="273"/>
      <c r="F678" s="273"/>
      <c r="G678" s="273"/>
      <c r="H678" s="39"/>
      <c r="I678" s="273"/>
      <c r="J678" s="273"/>
      <c r="K678" s="273"/>
      <c r="L678" s="273"/>
      <c r="M678" s="273"/>
      <c r="N678" s="273"/>
      <c r="O678" s="273"/>
      <c r="P678" s="273"/>
      <c r="Q678" s="39"/>
      <c r="R678" s="273"/>
      <c r="S678" s="273"/>
      <c r="T678" s="273"/>
      <c r="U678" s="273"/>
      <c r="V678" s="273"/>
      <c r="W678" s="273"/>
      <c r="X678" s="39"/>
      <c r="Y678" s="273"/>
      <c r="Z678" s="273"/>
      <c r="AA678" s="273"/>
      <c r="AB678" s="273"/>
      <c r="AC678" s="273"/>
      <c r="AD678" s="273"/>
      <c r="AE678" s="273"/>
      <c r="AF678" s="273"/>
      <c r="AG678" s="273"/>
      <c r="AH678" s="273"/>
      <c r="AI678" s="273"/>
      <c r="AJ678" s="273"/>
      <c r="AK678" s="273"/>
      <c r="AL678" s="273"/>
      <c r="AM678" s="273"/>
      <c r="AN678" s="273"/>
      <c r="AO678" s="273"/>
      <c r="AP678" s="273"/>
      <c r="AQ678" s="273"/>
      <c r="AR678" s="273"/>
      <c r="AS678" s="273"/>
      <c r="AT678" s="273"/>
      <c r="AU678" s="273"/>
      <c r="AV678" s="273"/>
    </row>
    <row r="679" spans="2:48" ht="12.75">
      <c r="B679" s="273"/>
      <c r="C679" s="273"/>
      <c r="D679" s="273"/>
      <c r="E679" s="273"/>
      <c r="F679" s="273"/>
      <c r="G679" s="273"/>
      <c r="H679" s="39"/>
      <c r="I679" s="273"/>
      <c r="J679" s="273"/>
      <c r="K679" s="273"/>
      <c r="L679" s="273"/>
      <c r="M679" s="273"/>
      <c r="N679" s="273"/>
      <c r="O679" s="273"/>
      <c r="P679" s="273"/>
      <c r="Q679" s="39"/>
      <c r="R679" s="273"/>
      <c r="S679" s="273"/>
      <c r="T679" s="273"/>
      <c r="U679" s="273"/>
      <c r="V679" s="273"/>
      <c r="W679" s="273"/>
      <c r="X679" s="39"/>
      <c r="Y679" s="273"/>
      <c r="Z679" s="273"/>
      <c r="AA679" s="273"/>
      <c r="AB679" s="273"/>
      <c r="AC679" s="273"/>
      <c r="AD679" s="273"/>
      <c r="AE679" s="273"/>
      <c r="AF679" s="273"/>
      <c r="AG679" s="273"/>
      <c r="AH679" s="273"/>
      <c r="AI679" s="273"/>
      <c r="AJ679" s="273"/>
      <c r="AK679" s="273"/>
      <c r="AL679" s="273"/>
      <c r="AM679" s="273"/>
      <c r="AN679" s="273"/>
      <c r="AO679" s="273"/>
      <c r="AP679" s="273"/>
      <c r="AQ679" s="273"/>
      <c r="AR679" s="273"/>
      <c r="AS679" s="273"/>
      <c r="AT679" s="273"/>
      <c r="AU679" s="273"/>
      <c r="AV679" s="273"/>
    </row>
    <row r="680" spans="2:48" ht="12.75">
      <c r="B680" s="273"/>
      <c r="C680" s="273"/>
      <c r="D680" s="273"/>
      <c r="E680" s="273"/>
      <c r="F680" s="273"/>
      <c r="G680" s="273"/>
      <c r="H680" s="39"/>
      <c r="I680" s="273"/>
      <c r="J680" s="273"/>
      <c r="K680" s="273"/>
      <c r="L680" s="273"/>
      <c r="M680" s="273"/>
      <c r="N680" s="273"/>
      <c r="O680" s="273"/>
      <c r="P680" s="273"/>
      <c r="Q680" s="39"/>
      <c r="R680" s="273"/>
      <c r="S680" s="273"/>
      <c r="T680" s="273"/>
      <c r="U680" s="273"/>
      <c r="V680" s="273"/>
      <c r="W680" s="273"/>
      <c r="X680" s="39"/>
      <c r="Y680" s="273"/>
      <c r="Z680" s="273"/>
      <c r="AA680" s="273"/>
      <c r="AB680" s="273"/>
      <c r="AC680" s="273"/>
      <c r="AD680" s="273"/>
      <c r="AE680" s="273"/>
      <c r="AF680" s="273"/>
      <c r="AG680" s="273"/>
      <c r="AH680" s="273"/>
      <c r="AI680" s="273"/>
      <c r="AJ680" s="273"/>
      <c r="AK680" s="273"/>
      <c r="AL680" s="273"/>
      <c r="AM680" s="273"/>
      <c r="AN680" s="273"/>
      <c r="AO680" s="273"/>
      <c r="AP680" s="273"/>
      <c r="AQ680" s="273"/>
      <c r="AR680" s="273"/>
      <c r="AS680" s="273"/>
      <c r="AT680" s="273"/>
      <c r="AU680" s="273"/>
      <c r="AV680" s="273"/>
    </row>
    <row r="681" spans="2:48" ht="12.75">
      <c r="B681" s="273"/>
      <c r="C681" s="273"/>
      <c r="D681" s="273"/>
      <c r="E681" s="273"/>
      <c r="F681" s="273"/>
      <c r="G681" s="273"/>
      <c r="H681" s="39"/>
      <c r="I681" s="273"/>
      <c r="J681" s="273"/>
      <c r="K681" s="273"/>
      <c r="L681" s="273"/>
      <c r="M681" s="273"/>
      <c r="N681" s="273"/>
      <c r="O681" s="273"/>
      <c r="P681" s="273"/>
      <c r="Q681" s="39"/>
      <c r="R681" s="273"/>
      <c r="S681" s="273"/>
      <c r="T681" s="273"/>
      <c r="U681" s="273"/>
      <c r="V681" s="273"/>
      <c r="W681" s="273"/>
      <c r="X681" s="39"/>
      <c r="Y681" s="273"/>
      <c r="Z681" s="273"/>
      <c r="AA681" s="273"/>
      <c r="AB681" s="273"/>
      <c r="AC681" s="273"/>
      <c r="AD681" s="273"/>
      <c r="AE681" s="273"/>
      <c r="AF681" s="273"/>
      <c r="AG681" s="273"/>
      <c r="AH681" s="273"/>
      <c r="AI681" s="273"/>
      <c r="AJ681" s="273"/>
      <c r="AK681" s="273"/>
      <c r="AL681" s="273"/>
      <c r="AM681" s="273"/>
      <c r="AN681" s="273"/>
      <c r="AO681" s="273"/>
      <c r="AP681" s="273"/>
      <c r="AQ681" s="273"/>
      <c r="AR681" s="273"/>
      <c r="AS681" s="273"/>
      <c r="AT681" s="273"/>
      <c r="AU681" s="273"/>
      <c r="AV681" s="273"/>
    </row>
    <row r="682" spans="2:48" ht="12.75">
      <c r="B682" s="273"/>
      <c r="C682" s="273"/>
      <c r="D682" s="273"/>
      <c r="E682" s="273"/>
      <c r="F682" s="273"/>
      <c r="G682" s="273"/>
      <c r="H682" s="39"/>
      <c r="I682" s="273"/>
      <c r="J682" s="273"/>
      <c r="K682" s="273"/>
      <c r="L682" s="273"/>
      <c r="M682" s="273"/>
      <c r="N682" s="273"/>
      <c r="O682" s="273"/>
      <c r="P682" s="273"/>
      <c r="Q682" s="39"/>
      <c r="R682" s="273"/>
      <c r="S682" s="273"/>
      <c r="T682" s="273"/>
      <c r="U682" s="273"/>
      <c r="V682" s="273"/>
      <c r="W682" s="273"/>
      <c r="X682" s="39"/>
      <c r="Y682" s="273"/>
      <c r="Z682" s="273"/>
      <c r="AA682" s="273"/>
      <c r="AB682" s="273"/>
      <c r="AC682" s="273"/>
      <c r="AD682" s="273"/>
      <c r="AE682" s="273"/>
      <c r="AF682" s="273"/>
      <c r="AG682" s="273"/>
      <c r="AH682" s="273"/>
      <c r="AI682" s="273"/>
      <c r="AJ682" s="273"/>
      <c r="AK682" s="273"/>
      <c r="AL682" s="273"/>
      <c r="AM682" s="273"/>
      <c r="AN682" s="273"/>
      <c r="AO682" s="273"/>
      <c r="AP682" s="273"/>
      <c r="AQ682" s="273"/>
      <c r="AR682" s="273"/>
      <c r="AS682" s="273"/>
      <c r="AT682" s="273"/>
      <c r="AU682" s="273"/>
      <c r="AV682" s="273"/>
    </row>
    <row r="683" spans="2:48" ht="12.75">
      <c r="B683" s="273"/>
      <c r="C683" s="273"/>
      <c r="D683" s="273"/>
      <c r="E683" s="273"/>
      <c r="F683" s="273"/>
      <c r="G683" s="273"/>
      <c r="H683" s="39"/>
      <c r="I683" s="273"/>
      <c r="J683" s="273"/>
      <c r="K683" s="273"/>
      <c r="L683" s="273"/>
      <c r="M683" s="273"/>
      <c r="N683" s="273"/>
      <c r="O683" s="273"/>
      <c r="P683" s="273"/>
      <c r="Q683" s="39"/>
      <c r="R683" s="273"/>
      <c r="S683" s="273"/>
      <c r="T683" s="273"/>
      <c r="U683" s="273"/>
      <c r="V683" s="273"/>
      <c r="W683" s="273"/>
      <c r="X683" s="39"/>
      <c r="Y683" s="273"/>
      <c r="Z683" s="273"/>
      <c r="AA683" s="273"/>
      <c r="AB683" s="273"/>
      <c r="AC683" s="273"/>
      <c r="AD683" s="273"/>
      <c r="AE683" s="273"/>
      <c r="AF683" s="273"/>
      <c r="AG683" s="273"/>
      <c r="AH683" s="273"/>
      <c r="AI683" s="273"/>
      <c r="AJ683" s="273"/>
      <c r="AK683" s="273"/>
      <c r="AL683" s="273"/>
      <c r="AM683" s="273"/>
      <c r="AN683" s="273"/>
      <c r="AO683" s="273"/>
      <c r="AP683" s="273"/>
      <c r="AQ683" s="273"/>
      <c r="AR683" s="273"/>
      <c r="AS683" s="273"/>
      <c r="AT683" s="273"/>
      <c r="AU683" s="273"/>
      <c r="AV683" s="273"/>
    </row>
    <row r="684" spans="2:48" ht="12.75">
      <c r="B684" s="273"/>
      <c r="C684" s="273"/>
      <c r="D684" s="273"/>
      <c r="E684" s="273"/>
      <c r="F684" s="273"/>
      <c r="G684" s="273"/>
      <c r="H684" s="39"/>
      <c r="I684" s="273"/>
      <c r="J684" s="273"/>
      <c r="K684" s="273"/>
      <c r="L684" s="273"/>
      <c r="M684" s="273"/>
      <c r="N684" s="273"/>
      <c r="O684" s="273"/>
      <c r="P684" s="273"/>
      <c r="Q684" s="39"/>
      <c r="R684" s="273"/>
      <c r="S684" s="273"/>
      <c r="T684" s="273"/>
      <c r="U684" s="273"/>
      <c r="V684" s="273"/>
      <c r="W684" s="273"/>
      <c r="X684" s="39"/>
      <c r="Y684" s="273"/>
      <c r="Z684" s="273"/>
      <c r="AA684" s="273"/>
      <c r="AB684" s="273"/>
      <c r="AC684" s="273"/>
      <c r="AD684" s="273"/>
      <c r="AE684" s="273"/>
      <c r="AF684" s="273"/>
      <c r="AG684" s="273"/>
      <c r="AH684" s="273"/>
      <c r="AI684" s="273"/>
      <c r="AJ684" s="273"/>
      <c r="AK684" s="273"/>
      <c r="AL684" s="273"/>
      <c r="AM684" s="273"/>
      <c r="AN684" s="273"/>
      <c r="AO684" s="273"/>
      <c r="AP684" s="273"/>
      <c r="AQ684" s="273"/>
      <c r="AR684" s="273"/>
      <c r="AS684" s="273"/>
      <c r="AT684" s="273"/>
      <c r="AU684" s="273"/>
      <c r="AV684" s="273"/>
    </row>
    <row r="685" spans="2:48" ht="12.75">
      <c r="B685" s="273"/>
      <c r="C685" s="273"/>
      <c r="D685" s="273"/>
      <c r="E685" s="273"/>
      <c r="F685" s="273"/>
      <c r="G685" s="273"/>
      <c r="H685" s="39"/>
      <c r="I685" s="273"/>
      <c r="J685" s="273"/>
      <c r="K685" s="273"/>
      <c r="L685" s="273"/>
      <c r="M685" s="273"/>
      <c r="N685" s="273"/>
      <c r="O685" s="273"/>
      <c r="P685" s="273"/>
      <c r="Q685" s="39"/>
      <c r="R685" s="273"/>
      <c r="S685" s="273"/>
      <c r="T685" s="273"/>
      <c r="U685" s="273"/>
      <c r="V685" s="273"/>
      <c r="W685" s="273"/>
      <c r="X685" s="39"/>
      <c r="Y685" s="273"/>
      <c r="Z685" s="273"/>
      <c r="AA685" s="273"/>
      <c r="AB685" s="273"/>
      <c r="AC685" s="273"/>
      <c r="AD685" s="273"/>
      <c r="AE685" s="273"/>
      <c r="AF685" s="273"/>
      <c r="AG685" s="273"/>
      <c r="AH685" s="273"/>
      <c r="AI685" s="273"/>
      <c r="AJ685" s="273"/>
      <c r="AK685" s="273"/>
      <c r="AL685" s="273"/>
      <c r="AM685" s="273"/>
      <c r="AN685" s="273"/>
      <c r="AO685" s="273"/>
      <c r="AP685" s="273"/>
      <c r="AQ685" s="273"/>
      <c r="AR685" s="273"/>
      <c r="AS685" s="273"/>
      <c r="AT685" s="273"/>
      <c r="AU685" s="273"/>
      <c r="AV685" s="273"/>
    </row>
    <row r="686" spans="2:48" ht="12.75">
      <c r="B686" s="273"/>
      <c r="C686" s="273"/>
      <c r="D686" s="273"/>
      <c r="E686" s="273"/>
      <c r="F686" s="273"/>
      <c r="G686" s="273"/>
      <c r="H686" s="39"/>
      <c r="I686" s="273"/>
      <c r="J686" s="273"/>
      <c r="K686" s="273"/>
      <c r="L686" s="273"/>
      <c r="M686" s="273"/>
      <c r="N686" s="273"/>
      <c r="O686" s="273"/>
      <c r="P686" s="273"/>
      <c r="Q686" s="39"/>
      <c r="R686" s="273"/>
      <c r="S686" s="273"/>
      <c r="T686" s="273"/>
      <c r="U686" s="273"/>
      <c r="V686" s="273"/>
      <c r="W686" s="273"/>
      <c r="X686" s="39"/>
      <c r="Y686" s="273"/>
      <c r="Z686" s="273"/>
      <c r="AA686" s="273"/>
      <c r="AB686" s="273"/>
      <c r="AC686" s="273"/>
      <c r="AD686" s="273"/>
      <c r="AE686" s="273"/>
      <c r="AF686" s="273"/>
      <c r="AG686" s="273"/>
      <c r="AH686" s="273"/>
      <c r="AI686" s="273"/>
      <c r="AJ686" s="273"/>
      <c r="AK686" s="273"/>
      <c r="AL686" s="273"/>
      <c r="AM686" s="273"/>
      <c r="AN686" s="273"/>
      <c r="AO686" s="273"/>
      <c r="AP686" s="273"/>
      <c r="AQ686" s="273"/>
      <c r="AR686" s="273"/>
      <c r="AS686" s="273"/>
      <c r="AT686" s="273"/>
      <c r="AU686" s="273"/>
      <c r="AV686" s="273"/>
    </row>
    <row r="687" spans="2:48" ht="12.75">
      <c r="B687" s="273"/>
      <c r="C687" s="273"/>
      <c r="D687" s="273"/>
      <c r="E687" s="273"/>
      <c r="F687" s="273"/>
      <c r="G687" s="273"/>
      <c r="H687" s="39"/>
      <c r="I687" s="273"/>
      <c r="J687" s="273"/>
      <c r="K687" s="273"/>
      <c r="L687" s="273"/>
      <c r="M687" s="273"/>
      <c r="N687" s="273"/>
      <c r="O687" s="273"/>
      <c r="P687" s="273"/>
      <c r="Q687" s="39"/>
      <c r="R687" s="273"/>
      <c r="S687" s="273"/>
      <c r="T687" s="273"/>
      <c r="U687" s="273"/>
      <c r="V687" s="273"/>
      <c r="W687" s="273"/>
      <c r="X687" s="39"/>
      <c r="Y687" s="273"/>
      <c r="Z687" s="273"/>
      <c r="AA687" s="273"/>
      <c r="AB687" s="273"/>
      <c r="AC687" s="273"/>
      <c r="AD687" s="273"/>
      <c r="AE687" s="273"/>
      <c r="AF687" s="273"/>
      <c r="AG687" s="273"/>
      <c r="AH687" s="273"/>
      <c r="AI687" s="273"/>
      <c r="AJ687" s="273"/>
      <c r="AK687" s="273"/>
      <c r="AL687" s="273"/>
      <c r="AM687" s="273"/>
      <c r="AN687" s="273"/>
      <c r="AO687" s="273"/>
      <c r="AP687" s="273"/>
      <c r="AQ687" s="273"/>
      <c r="AR687" s="273"/>
      <c r="AS687" s="273"/>
      <c r="AT687" s="273"/>
      <c r="AU687" s="273"/>
      <c r="AV687" s="273"/>
    </row>
    <row r="688" spans="2:48" ht="12.75">
      <c r="B688" s="273"/>
      <c r="C688" s="273"/>
      <c r="D688" s="273"/>
      <c r="E688" s="273"/>
      <c r="F688" s="273"/>
      <c r="G688" s="273"/>
      <c r="H688" s="39"/>
      <c r="I688" s="273"/>
      <c r="J688" s="273"/>
      <c r="K688" s="273"/>
      <c r="L688" s="273"/>
      <c r="M688" s="273"/>
      <c r="N688" s="273"/>
      <c r="O688" s="273"/>
      <c r="P688" s="273"/>
      <c r="Q688" s="39"/>
      <c r="R688" s="273"/>
      <c r="S688" s="273"/>
      <c r="T688" s="273"/>
      <c r="U688" s="273"/>
      <c r="V688" s="273"/>
      <c r="W688" s="273"/>
      <c r="X688" s="39"/>
      <c r="Y688" s="273"/>
      <c r="Z688" s="273"/>
      <c r="AA688" s="273"/>
      <c r="AB688" s="273"/>
      <c r="AC688" s="273"/>
      <c r="AD688" s="273"/>
      <c r="AE688" s="273"/>
      <c r="AF688" s="273"/>
      <c r="AG688" s="273"/>
      <c r="AH688" s="273"/>
      <c r="AI688" s="273"/>
      <c r="AJ688" s="273"/>
      <c r="AK688" s="273"/>
      <c r="AL688" s="273"/>
      <c r="AM688" s="273"/>
      <c r="AN688" s="273"/>
      <c r="AO688" s="273"/>
      <c r="AP688" s="273"/>
      <c r="AQ688" s="273"/>
      <c r="AR688" s="273"/>
      <c r="AS688" s="273"/>
      <c r="AT688" s="273"/>
      <c r="AU688" s="273"/>
      <c r="AV688" s="273"/>
    </row>
    <row r="689" spans="2:48" ht="12.75">
      <c r="B689" s="273"/>
      <c r="C689" s="273"/>
      <c r="D689" s="273"/>
      <c r="E689" s="273"/>
      <c r="F689" s="273"/>
      <c r="G689" s="273"/>
      <c r="H689" s="39"/>
      <c r="I689" s="273"/>
      <c r="J689" s="273"/>
      <c r="K689" s="273"/>
      <c r="L689" s="273"/>
      <c r="M689" s="273"/>
      <c r="N689" s="273"/>
      <c r="O689" s="273"/>
      <c r="P689" s="273"/>
      <c r="Q689" s="39"/>
      <c r="R689" s="273"/>
      <c r="S689" s="273"/>
      <c r="T689" s="273"/>
      <c r="U689" s="273"/>
      <c r="V689" s="273"/>
      <c r="W689" s="273"/>
      <c r="X689" s="39"/>
      <c r="Y689" s="273"/>
      <c r="Z689" s="273"/>
      <c r="AA689" s="273"/>
      <c r="AB689" s="273"/>
      <c r="AC689" s="273"/>
      <c r="AD689" s="273"/>
      <c r="AE689" s="273"/>
      <c r="AF689" s="273"/>
      <c r="AG689" s="273"/>
      <c r="AH689" s="273"/>
      <c r="AI689" s="273"/>
      <c r="AJ689" s="273"/>
      <c r="AK689" s="273"/>
      <c r="AL689" s="273"/>
      <c r="AM689" s="273"/>
      <c r="AN689" s="273"/>
      <c r="AO689" s="273"/>
      <c r="AP689" s="273"/>
      <c r="AQ689" s="273"/>
      <c r="AR689" s="273"/>
      <c r="AS689" s="273"/>
      <c r="AT689" s="273"/>
      <c r="AU689" s="273"/>
      <c r="AV689" s="273"/>
    </row>
    <row r="690" spans="2:48" ht="12.75">
      <c r="B690" s="273"/>
      <c r="C690" s="273"/>
      <c r="D690" s="273"/>
      <c r="E690" s="273"/>
      <c r="F690" s="273"/>
      <c r="G690" s="273"/>
      <c r="H690" s="39"/>
      <c r="I690" s="273"/>
      <c r="J690" s="273"/>
      <c r="K690" s="273"/>
      <c r="L690" s="273"/>
      <c r="M690" s="273"/>
      <c r="N690" s="273"/>
      <c r="O690" s="273"/>
      <c r="P690" s="273"/>
      <c r="Q690" s="39"/>
      <c r="R690" s="273"/>
      <c r="S690" s="273"/>
      <c r="T690" s="273"/>
      <c r="U690" s="273"/>
      <c r="V690" s="273"/>
      <c r="W690" s="273"/>
      <c r="X690" s="39"/>
      <c r="Y690" s="273"/>
      <c r="Z690" s="273"/>
      <c r="AA690" s="273"/>
      <c r="AB690" s="273"/>
      <c r="AC690" s="273"/>
      <c r="AD690" s="273"/>
      <c r="AE690" s="273"/>
      <c r="AF690" s="273"/>
      <c r="AG690" s="273"/>
      <c r="AH690" s="273"/>
      <c r="AI690" s="273"/>
      <c r="AJ690" s="273"/>
      <c r="AK690" s="273"/>
      <c r="AL690" s="273"/>
      <c r="AM690" s="273"/>
      <c r="AN690" s="273"/>
      <c r="AO690" s="273"/>
      <c r="AP690" s="273"/>
      <c r="AQ690" s="273"/>
      <c r="AR690" s="273"/>
      <c r="AS690" s="273"/>
      <c r="AT690" s="273"/>
      <c r="AU690" s="273"/>
      <c r="AV690" s="273"/>
    </row>
    <row r="691" spans="2:48" ht="12.75">
      <c r="B691" s="273"/>
      <c r="C691" s="273"/>
      <c r="D691" s="273"/>
      <c r="E691" s="273"/>
      <c r="F691" s="273"/>
      <c r="G691" s="273"/>
      <c r="H691" s="39"/>
      <c r="I691" s="273"/>
      <c r="J691" s="273"/>
      <c r="K691" s="273"/>
      <c r="L691" s="273"/>
      <c r="M691" s="273"/>
      <c r="N691" s="273"/>
      <c r="O691" s="273"/>
      <c r="P691" s="273"/>
      <c r="Q691" s="39"/>
      <c r="R691" s="273"/>
      <c r="S691" s="273"/>
      <c r="T691" s="273"/>
      <c r="U691" s="273"/>
      <c r="V691" s="273"/>
      <c r="W691" s="273"/>
      <c r="X691" s="39"/>
      <c r="Y691" s="273"/>
      <c r="Z691" s="273"/>
      <c r="AA691" s="273"/>
      <c r="AB691" s="273"/>
      <c r="AC691" s="273"/>
      <c r="AD691" s="273"/>
      <c r="AE691" s="273"/>
      <c r="AF691" s="273"/>
      <c r="AG691" s="273"/>
      <c r="AH691" s="273"/>
      <c r="AI691" s="273"/>
      <c r="AJ691" s="273"/>
      <c r="AK691" s="273"/>
      <c r="AL691" s="273"/>
      <c r="AM691" s="273"/>
      <c r="AN691" s="273"/>
      <c r="AO691" s="273"/>
      <c r="AP691" s="273"/>
      <c r="AQ691" s="273"/>
      <c r="AR691" s="273"/>
      <c r="AS691" s="273"/>
      <c r="AT691" s="273"/>
      <c r="AU691" s="273"/>
      <c r="AV691" s="273"/>
    </row>
    <row r="692" spans="2:48" ht="12.75">
      <c r="B692" s="273"/>
      <c r="C692" s="273"/>
      <c r="D692" s="273"/>
      <c r="E692" s="273"/>
      <c r="F692" s="273"/>
      <c r="G692" s="273"/>
      <c r="H692" s="39"/>
      <c r="I692" s="273"/>
      <c r="J692" s="273"/>
      <c r="K692" s="273"/>
      <c r="L692" s="273"/>
      <c r="M692" s="273"/>
      <c r="N692" s="273"/>
      <c r="O692" s="273"/>
      <c r="P692" s="273"/>
      <c r="Q692" s="39"/>
      <c r="R692" s="273"/>
      <c r="S692" s="273"/>
      <c r="T692" s="273"/>
      <c r="U692" s="273"/>
      <c r="V692" s="273"/>
      <c r="W692" s="273"/>
      <c r="X692" s="39"/>
      <c r="Y692" s="273"/>
      <c r="Z692" s="273"/>
      <c r="AA692" s="273"/>
      <c r="AB692" s="273"/>
      <c r="AC692" s="273"/>
      <c r="AD692" s="273"/>
      <c r="AE692" s="273"/>
      <c r="AF692" s="273"/>
      <c r="AG692" s="273"/>
      <c r="AH692" s="273"/>
      <c r="AI692" s="273"/>
      <c r="AJ692" s="273"/>
      <c r="AK692" s="273"/>
      <c r="AL692" s="273"/>
      <c r="AM692" s="273"/>
      <c r="AN692" s="273"/>
      <c r="AO692" s="273"/>
      <c r="AP692" s="273"/>
      <c r="AQ692" s="273"/>
      <c r="AR692" s="273"/>
      <c r="AS692" s="273"/>
      <c r="AT692" s="273"/>
      <c r="AU692" s="273"/>
      <c r="AV692" s="273"/>
    </row>
    <row r="693" spans="2:48" ht="12.75">
      <c r="B693" s="273"/>
      <c r="C693" s="273"/>
      <c r="D693" s="273"/>
      <c r="E693" s="273"/>
      <c r="F693" s="273"/>
      <c r="G693" s="273"/>
      <c r="H693" s="39"/>
      <c r="I693" s="273"/>
      <c r="J693" s="273"/>
      <c r="K693" s="273"/>
      <c r="L693" s="273"/>
      <c r="M693" s="273"/>
      <c r="N693" s="273"/>
      <c r="O693" s="273"/>
      <c r="P693" s="273"/>
      <c r="Q693" s="39"/>
      <c r="R693" s="273"/>
      <c r="S693" s="273"/>
      <c r="T693" s="273"/>
      <c r="U693" s="273"/>
      <c r="V693" s="273"/>
      <c r="W693" s="273"/>
      <c r="X693" s="39"/>
      <c r="Y693" s="273"/>
      <c r="Z693" s="273"/>
      <c r="AA693" s="273"/>
      <c r="AB693" s="273"/>
      <c r="AC693" s="273"/>
      <c r="AD693" s="273"/>
      <c r="AE693" s="273"/>
      <c r="AF693" s="273"/>
      <c r="AG693" s="273"/>
      <c r="AH693" s="273"/>
      <c r="AI693" s="273"/>
      <c r="AJ693" s="273"/>
      <c r="AK693" s="273"/>
      <c r="AL693" s="273"/>
      <c r="AM693" s="273"/>
      <c r="AN693" s="273"/>
      <c r="AO693" s="273"/>
      <c r="AP693" s="273"/>
      <c r="AQ693" s="273"/>
      <c r="AR693" s="273"/>
      <c r="AS693" s="273"/>
      <c r="AT693" s="273"/>
      <c r="AU693" s="273"/>
      <c r="AV693" s="273"/>
    </row>
    <row r="694" spans="2:48" ht="12.75">
      <c r="B694" s="273"/>
      <c r="C694" s="273"/>
      <c r="D694" s="273"/>
      <c r="E694" s="273"/>
      <c r="F694" s="273"/>
      <c r="G694" s="273"/>
      <c r="H694" s="39"/>
      <c r="I694" s="273"/>
      <c r="J694" s="273"/>
      <c r="K694" s="273"/>
      <c r="L694" s="273"/>
      <c r="M694" s="273"/>
      <c r="N694" s="273"/>
      <c r="O694" s="273"/>
      <c r="P694" s="273"/>
      <c r="Q694" s="39"/>
      <c r="R694" s="273"/>
      <c r="S694" s="273"/>
      <c r="T694" s="273"/>
      <c r="U694" s="273"/>
      <c r="V694" s="273"/>
      <c r="W694" s="273"/>
      <c r="X694" s="39"/>
      <c r="Y694" s="273"/>
      <c r="Z694" s="273"/>
      <c r="AA694" s="273"/>
      <c r="AB694" s="273"/>
      <c r="AC694" s="273"/>
      <c r="AD694" s="273"/>
      <c r="AE694" s="273"/>
      <c r="AF694" s="273"/>
      <c r="AG694" s="273"/>
      <c r="AH694" s="273"/>
      <c r="AI694" s="273"/>
      <c r="AJ694" s="273"/>
      <c r="AK694" s="273"/>
      <c r="AL694" s="273"/>
      <c r="AM694" s="273"/>
      <c r="AN694" s="273"/>
      <c r="AO694" s="273"/>
      <c r="AP694" s="273"/>
      <c r="AQ694" s="273"/>
      <c r="AR694" s="273"/>
      <c r="AS694" s="273"/>
      <c r="AT694" s="273"/>
      <c r="AU694" s="273"/>
      <c r="AV694" s="273"/>
    </row>
    <row r="695" spans="2:48" ht="12.75">
      <c r="B695" s="273"/>
      <c r="C695" s="273"/>
      <c r="D695" s="273"/>
      <c r="E695" s="273"/>
      <c r="F695" s="273"/>
      <c r="G695" s="273"/>
      <c r="H695" s="39"/>
      <c r="I695" s="273"/>
      <c r="J695" s="273"/>
      <c r="K695" s="273"/>
      <c r="L695" s="273"/>
      <c r="M695" s="273"/>
      <c r="N695" s="273"/>
      <c r="O695" s="273"/>
      <c r="P695" s="273"/>
      <c r="Q695" s="39"/>
      <c r="R695" s="273"/>
      <c r="S695" s="273"/>
      <c r="T695" s="273"/>
      <c r="U695" s="273"/>
      <c r="V695" s="273"/>
      <c r="W695" s="273"/>
      <c r="X695" s="39"/>
      <c r="Y695" s="273"/>
      <c r="Z695" s="273"/>
      <c r="AA695" s="273"/>
      <c r="AB695" s="273"/>
      <c r="AC695" s="273"/>
      <c r="AD695" s="273"/>
      <c r="AE695" s="273"/>
      <c r="AF695" s="273"/>
      <c r="AG695" s="273"/>
      <c r="AH695" s="273"/>
      <c r="AI695" s="273"/>
      <c r="AJ695" s="273"/>
      <c r="AK695" s="273"/>
      <c r="AL695" s="273"/>
      <c r="AM695" s="273"/>
      <c r="AN695" s="273"/>
      <c r="AO695" s="273"/>
      <c r="AP695" s="273"/>
      <c r="AQ695" s="273"/>
      <c r="AR695" s="273"/>
      <c r="AS695" s="273"/>
      <c r="AT695" s="273"/>
      <c r="AU695" s="273"/>
      <c r="AV695" s="273"/>
    </row>
    <row r="696" spans="2:48" ht="12.75">
      <c r="B696" s="273"/>
      <c r="C696" s="273"/>
      <c r="D696" s="273"/>
      <c r="E696" s="273"/>
      <c r="F696" s="273"/>
      <c r="G696" s="273"/>
      <c r="H696" s="39"/>
      <c r="I696" s="273"/>
      <c r="J696" s="273"/>
      <c r="K696" s="273"/>
      <c r="L696" s="273"/>
      <c r="M696" s="273"/>
      <c r="N696" s="273"/>
      <c r="O696" s="273"/>
      <c r="P696" s="273"/>
      <c r="Q696" s="39"/>
      <c r="R696" s="273"/>
      <c r="S696" s="273"/>
      <c r="T696" s="273"/>
      <c r="U696" s="273"/>
      <c r="V696" s="273"/>
      <c r="W696" s="273"/>
      <c r="X696" s="39"/>
      <c r="Y696" s="273"/>
      <c r="Z696" s="273"/>
      <c r="AA696" s="273"/>
      <c r="AB696" s="273"/>
      <c r="AC696" s="273"/>
      <c r="AD696" s="273"/>
      <c r="AE696" s="273"/>
      <c r="AF696" s="273"/>
      <c r="AG696" s="273"/>
      <c r="AH696" s="273"/>
      <c r="AI696" s="273"/>
      <c r="AJ696" s="273"/>
      <c r="AK696" s="273"/>
      <c r="AL696" s="273"/>
      <c r="AM696" s="273"/>
      <c r="AN696" s="273"/>
      <c r="AO696" s="273"/>
      <c r="AP696" s="273"/>
      <c r="AQ696" s="273"/>
      <c r="AR696" s="273"/>
      <c r="AS696" s="273"/>
      <c r="AT696" s="273"/>
      <c r="AU696" s="273"/>
      <c r="AV696" s="273"/>
    </row>
    <row r="697" spans="2:48" ht="12.75">
      <c r="B697" s="273"/>
      <c r="C697" s="273"/>
      <c r="D697" s="273"/>
      <c r="E697" s="273"/>
      <c r="F697" s="273"/>
      <c r="G697" s="273"/>
      <c r="H697" s="39"/>
      <c r="I697" s="273"/>
      <c r="J697" s="273"/>
      <c r="K697" s="273"/>
      <c r="L697" s="273"/>
      <c r="M697" s="273"/>
      <c r="N697" s="273"/>
      <c r="O697" s="273"/>
      <c r="P697" s="273"/>
      <c r="Q697" s="39"/>
      <c r="R697" s="273"/>
      <c r="S697" s="273"/>
      <c r="T697" s="273"/>
      <c r="U697" s="273"/>
      <c r="V697" s="273"/>
      <c r="W697" s="273"/>
      <c r="X697" s="39"/>
      <c r="Y697" s="273"/>
      <c r="Z697" s="273"/>
      <c r="AA697" s="273"/>
      <c r="AB697" s="273"/>
      <c r="AC697" s="273"/>
      <c r="AD697" s="273"/>
      <c r="AE697" s="273"/>
      <c r="AF697" s="273"/>
      <c r="AG697" s="273"/>
      <c r="AH697" s="273"/>
      <c r="AI697" s="273"/>
      <c r="AJ697" s="273"/>
      <c r="AK697" s="273"/>
      <c r="AL697" s="273"/>
      <c r="AM697" s="273"/>
      <c r="AN697" s="273"/>
      <c r="AO697" s="273"/>
      <c r="AP697" s="273"/>
      <c r="AQ697" s="273"/>
      <c r="AR697" s="273"/>
      <c r="AS697" s="273"/>
      <c r="AT697" s="273"/>
      <c r="AU697" s="273"/>
      <c r="AV697" s="273"/>
    </row>
    <row r="698" spans="2:48" ht="12.75">
      <c r="B698" s="273"/>
      <c r="C698" s="273"/>
      <c r="D698" s="273"/>
      <c r="E698" s="273"/>
      <c r="F698" s="273"/>
      <c r="G698" s="273"/>
      <c r="H698" s="39"/>
      <c r="I698" s="273"/>
      <c r="J698" s="273"/>
      <c r="K698" s="273"/>
      <c r="L698" s="273"/>
      <c r="M698" s="273"/>
      <c r="N698" s="273"/>
      <c r="O698" s="273"/>
      <c r="P698" s="273"/>
      <c r="Q698" s="39"/>
      <c r="R698" s="273"/>
      <c r="S698" s="273"/>
      <c r="T698" s="273"/>
      <c r="U698" s="273"/>
      <c r="V698" s="273"/>
      <c r="W698" s="273"/>
      <c r="X698" s="39"/>
      <c r="Y698" s="273"/>
      <c r="Z698" s="273"/>
      <c r="AA698" s="273"/>
      <c r="AB698" s="273"/>
      <c r="AC698" s="273"/>
      <c r="AD698" s="273"/>
      <c r="AE698" s="273"/>
      <c r="AF698" s="273"/>
      <c r="AG698" s="273"/>
      <c r="AH698" s="273"/>
      <c r="AI698" s="273"/>
      <c r="AJ698" s="273"/>
      <c r="AK698" s="273"/>
      <c r="AL698" s="273"/>
      <c r="AM698" s="273"/>
      <c r="AN698" s="273"/>
      <c r="AO698" s="273"/>
      <c r="AP698" s="273"/>
      <c r="AQ698" s="273"/>
      <c r="AR698" s="273"/>
      <c r="AS698" s="273"/>
      <c r="AT698" s="273"/>
      <c r="AU698" s="273"/>
      <c r="AV698" s="273"/>
    </row>
    <row r="699" spans="2:48" ht="12.75">
      <c r="B699" s="273"/>
      <c r="C699" s="273"/>
      <c r="D699" s="273"/>
      <c r="E699" s="273"/>
      <c r="F699" s="273"/>
      <c r="G699" s="273"/>
      <c r="H699" s="39"/>
      <c r="I699" s="273"/>
      <c r="J699" s="273"/>
      <c r="K699" s="273"/>
      <c r="L699" s="273"/>
      <c r="M699" s="273"/>
      <c r="N699" s="273"/>
      <c r="O699" s="273"/>
      <c r="P699" s="273"/>
      <c r="Q699" s="39"/>
      <c r="R699" s="273"/>
      <c r="S699" s="273"/>
      <c r="T699" s="273"/>
      <c r="U699" s="273"/>
      <c r="V699" s="273"/>
      <c r="W699" s="273"/>
      <c r="X699" s="39"/>
      <c r="Y699" s="273"/>
      <c r="Z699" s="273"/>
      <c r="AA699" s="273"/>
      <c r="AB699" s="273"/>
      <c r="AC699" s="273"/>
      <c r="AD699" s="273"/>
      <c r="AE699" s="273"/>
      <c r="AF699" s="273"/>
      <c r="AG699" s="273"/>
      <c r="AH699" s="273"/>
      <c r="AI699" s="273"/>
      <c r="AJ699" s="273"/>
      <c r="AK699" s="273"/>
      <c r="AL699" s="273"/>
      <c r="AM699" s="273"/>
      <c r="AN699" s="273"/>
      <c r="AO699" s="273"/>
      <c r="AP699" s="273"/>
      <c r="AQ699" s="273"/>
      <c r="AR699" s="273"/>
      <c r="AS699" s="273"/>
      <c r="AT699" s="273"/>
      <c r="AU699" s="273"/>
      <c r="AV699" s="273"/>
    </row>
    <row r="700" spans="2:48" ht="12.75">
      <c r="B700" s="273"/>
      <c r="C700" s="273"/>
      <c r="D700" s="273"/>
      <c r="E700" s="273"/>
      <c r="F700" s="273"/>
      <c r="G700" s="273"/>
      <c r="H700" s="39"/>
      <c r="I700" s="273"/>
      <c r="J700" s="273"/>
      <c r="K700" s="273"/>
      <c r="L700" s="273"/>
      <c r="M700" s="273"/>
      <c r="N700" s="273"/>
      <c r="O700" s="273"/>
      <c r="P700" s="273"/>
      <c r="Q700" s="39"/>
      <c r="R700" s="273"/>
      <c r="S700" s="273"/>
      <c r="T700" s="273"/>
      <c r="U700" s="273"/>
      <c r="V700" s="273"/>
      <c r="W700" s="273"/>
      <c r="X700" s="39"/>
      <c r="Y700" s="273"/>
      <c r="Z700" s="273"/>
      <c r="AA700" s="273"/>
      <c r="AB700" s="273"/>
      <c r="AC700" s="273"/>
      <c r="AD700" s="273"/>
      <c r="AE700" s="273"/>
      <c r="AF700" s="273"/>
      <c r="AG700" s="273"/>
      <c r="AH700" s="273"/>
      <c r="AI700" s="273"/>
      <c r="AJ700" s="273"/>
      <c r="AK700" s="273"/>
      <c r="AL700" s="273"/>
      <c r="AM700" s="273"/>
      <c r="AN700" s="273"/>
      <c r="AO700" s="273"/>
      <c r="AP700" s="273"/>
      <c r="AQ700" s="273"/>
      <c r="AR700" s="273"/>
      <c r="AS700" s="273"/>
      <c r="AT700" s="273"/>
      <c r="AU700" s="273"/>
      <c r="AV700" s="273"/>
    </row>
    <row r="701" spans="2:48" ht="12.75">
      <c r="B701" s="273"/>
      <c r="C701" s="273"/>
      <c r="D701" s="273"/>
      <c r="E701" s="273"/>
      <c r="F701" s="273"/>
      <c r="G701" s="273"/>
      <c r="H701" s="39"/>
      <c r="I701" s="273"/>
      <c r="J701" s="273"/>
      <c r="K701" s="273"/>
      <c r="L701" s="273"/>
      <c r="M701" s="273"/>
      <c r="N701" s="273"/>
      <c r="O701" s="273"/>
      <c r="P701" s="273"/>
      <c r="Q701" s="39"/>
      <c r="R701" s="273"/>
      <c r="S701" s="273"/>
      <c r="T701" s="273"/>
      <c r="U701" s="273"/>
      <c r="V701" s="273"/>
      <c r="W701" s="273"/>
      <c r="X701" s="39"/>
      <c r="Y701" s="273"/>
      <c r="Z701" s="273"/>
      <c r="AA701" s="273"/>
      <c r="AB701" s="273"/>
      <c r="AC701" s="273"/>
      <c r="AD701" s="273"/>
      <c r="AE701" s="273"/>
      <c r="AF701" s="273"/>
      <c r="AG701" s="273"/>
      <c r="AH701" s="273"/>
      <c r="AI701" s="273"/>
      <c r="AJ701" s="273"/>
      <c r="AK701" s="273"/>
      <c r="AL701" s="273"/>
      <c r="AM701" s="273"/>
      <c r="AN701" s="273"/>
      <c r="AO701" s="273"/>
      <c r="AP701" s="273"/>
      <c r="AQ701" s="273"/>
      <c r="AR701" s="273"/>
      <c r="AS701" s="273"/>
      <c r="AT701" s="273"/>
      <c r="AU701" s="273"/>
      <c r="AV701" s="273"/>
    </row>
    <row r="702" spans="2:48" ht="12.75">
      <c r="B702" s="273"/>
      <c r="C702" s="273"/>
      <c r="D702" s="273"/>
      <c r="E702" s="273"/>
      <c r="F702" s="273"/>
      <c r="G702" s="273"/>
      <c r="H702" s="39"/>
      <c r="I702" s="273"/>
      <c r="J702" s="273"/>
      <c r="K702" s="273"/>
      <c r="L702" s="273"/>
      <c r="M702" s="273"/>
      <c r="N702" s="273"/>
      <c r="O702" s="273"/>
      <c r="P702" s="273"/>
      <c r="Q702" s="39"/>
      <c r="R702" s="273"/>
      <c r="S702" s="273"/>
      <c r="T702" s="273"/>
      <c r="U702" s="273"/>
      <c r="V702" s="273"/>
      <c r="W702" s="273"/>
      <c r="X702" s="39"/>
      <c r="Y702" s="273"/>
      <c r="Z702" s="273"/>
      <c r="AA702" s="273"/>
      <c r="AB702" s="273"/>
      <c r="AC702" s="273"/>
      <c r="AD702" s="273"/>
      <c r="AE702" s="273"/>
      <c r="AF702" s="273"/>
      <c r="AG702" s="273"/>
      <c r="AH702" s="273"/>
      <c r="AI702" s="273"/>
      <c r="AJ702" s="273"/>
      <c r="AK702" s="273"/>
      <c r="AL702" s="273"/>
      <c r="AM702" s="273"/>
      <c r="AN702" s="273"/>
      <c r="AO702" s="273"/>
      <c r="AP702" s="273"/>
      <c r="AQ702" s="273"/>
      <c r="AR702" s="273"/>
      <c r="AS702" s="273"/>
      <c r="AT702" s="273"/>
      <c r="AU702" s="273"/>
      <c r="AV702" s="273"/>
    </row>
    <row r="703" spans="2:48" ht="12.75">
      <c r="B703" s="273"/>
      <c r="C703" s="273"/>
      <c r="D703" s="273"/>
      <c r="E703" s="273"/>
      <c r="F703" s="273"/>
      <c r="G703" s="273"/>
      <c r="H703" s="39"/>
      <c r="I703" s="273"/>
      <c r="J703" s="273"/>
      <c r="K703" s="273"/>
      <c r="L703" s="273"/>
      <c r="M703" s="273"/>
      <c r="N703" s="273"/>
      <c r="O703" s="273"/>
      <c r="P703" s="273"/>
      <c r="Q703" s="39"/>
      <c r="R703" s="273"/>
      <c r="S703" s="273"/>
      <c r="T703" s="273"/>
      <c r="U703" s="273"/>
      <c r="V703" s="273"/>
      <c r="W703" s="273"/>
      <c r="X703" s="39"/>
      <c r="Y703" s="273"/>
      <c r="Z703" s="273"/>
      <c r="AA703" s="273"/>
      <c r="AB703" s="273"/>
      <c r="AC703" s="273"/>
      <c r="AD703" s="273"/>
      <c r="AE703" s="273"/>
      <c r="AF703" s="273"/>
      <c r="AG703" s="273"/>
      <c r="AH703" s="273"/>
      <c r="AI703" s="273"/>
      <c r="AJ703" s="273"/>
      <c r="AK703" s="273"/>
      <c r="AL703" s="273"/>
      <c r="AM703" s="273"/>
      <c r="AN703" s="273"/>
      <c r="AO703" s="273"/>
      <c r="AP703" s="273"/>
      <c r="AQ703" s="273"/>
      <c r="AR703" s="273"/>
      <c r="AS703" s="273"/>
      <c r="AT703" s="273"/>
      <c r="AU703" s="273"/>
      <c r="AV703" s="273"/>
    </row>
    <row r="704" spans="2:48" ht="12.75">
      <c r="B704" s="273"/>
      <c r="C704" s="273"/>
      <c r="D704" s="273"/>
      <c r="E704" s="273"/>
      <c r="F704" s="273"/>
      <c r="G704" s="273"/>
      <c r="H704" s="39"/>
      <c r="I704" s="273"/>
      <c r="J704" s="273"/>
      <c r="K704" s="273"/>
      <c r="L704" s="273"/>
      <c r="M704" s="273"/>
      <c r="N704" s="273"/>
      <c r="O704" s="273"/>
      <c r="P704" s="273"/>
      <c r="Q704" s="39"/>
      <c r="R704" s="273"/>
      <c r="S704" s="273"/>
      <c r="T704" s="273"/>
      <c r="U704" s="273"/>
      <c r="V704" s="273"/>
      <c r="W704" s="273"/>
      <c r="X704" s="39"/>
      <c r="Y704" s="273"/>
      <c r="Z704" s="273"/>
      <c r="AA704" s="273"/>
      <c r="AB704" s="273"/>
      <c r="AC704" s="273"/>
      <c r="AD704" s="273"/>
      <c r="AE704" s="273"/>
      <c r="AF704" s="273"/>
      <c r="AG704" s="273"/>
      <c r="AH704" s="273"/>
      <c r="AI704" s="273"/>
      <c r="AJ704" s="273"/>
      <c r="AK704" s="273"/>
      <c r="AL704" s="273"/>
      <c r="AM704" s="273"/>
      <c r="AN704" s="273"/>
      <c r="AO704" s="273"/>
      <c r="AP704" s="273"/>
      <c r="AQ704" s="273"/>
      <c r="AR704" s="273"/>
      <c r="AS704" s="273"/>
      <c r="AT704" s="273"/>
      <c r="AU704" s="273"/>
      <c r="AV704" s="273"/>
    </row>
    <row r="705" spans="2:48" ht="12.75">
      <c r="B705" s="273"/>
      <c r="C705" s="273"/>
      <c r="D705" s="273"/>
      <c r="E705" s="273"/>
      <c r="F705" s="273"/>
      <c r="G705" s="273"/>
      <c r="H705" s="39"/>
      <c r="I705" s="273"/>
      <c r="J705" s="273"/>
      <c r="K705" s="273"/>
      <c r="L705" s="273"/>
      <c r="M705" s="273"/>
      <c r="N705" s="273"/>
      <c r="O705" s="273"/>
      <c r="P705" s="273"/>
      <c r="Q705" s="39"/>
      <c r="R705" s="273"/>
      <c r="S705" s="273"/>
      <c r="T705" s="273"/>
      <c r="U705" s="273"/>
      <c r="V705" s="273"/>
      <c r="W705" s="273"/>
      <c r="X705" s="39"/>
      <c r="Y705" s="273"/>
      <c r="Z705" s="273"/>
      <c r="AA705" s="273"/>
      <c r="AB705" s="273"/>
      <c r="AC705" s="273"/>
      <c r="AD705" s="273"/>
      <c r="AE705" s="273"/>
      <c r="AF705" s="273"/>
      <c r="AG705" s="273"/>
      <c r="AH705" s="273"/>
      <c r="AI705" s="273"/>
      <c r="AJ705" s="273"/>
      <c r="AK705" s="273"/>
      <c r="AL705" s="273"/>
      <c r="AM705" s="273"/>
      <c r="AN705" s="273"/>
      <c r="AO705" s="273"/>
      <c r="AP705" s="273"/>
      <c r="AQ705" s="273"/>
      <c r="AR705" s="273"/>
      <c r="AS705" s="273"/>
      <c r="AT705" s="273"/>
      <c r="AU705" s="273"/>
      <c r="AV705" s="273"/>
    </row>
    <row r="706" spans="2:48" ht="12.75">
      <c r="B706" s="273"/>
      <c r="C706" s="273"/>
      <c r="D706" s="273"/>
      <c r="E706" s="273"/>
      <c r="F706" s="273"/>
      <c r="G706" s="273"/>
      <c r="H706" s="39"/>
      <c r="I706" s="273"/>
      <c r="J706" s="273"/>
      <c r="K706" s="273"/>
      <c r="L706" s="273"/>
      <c r="M706" s="273"/>
      <c r="N706" s="273"/>
      <c r="O706" s="273"/>
      <c r="P706" s="273"/>
      <c r="Q706" s="39"/>
      <c r="R706" s="273"/>
      <c r="S706" s="273"/>
      <c r="T706" s="273"/>
      <c r="U706" s="273"/>
      <c r="V706" s="273"/>
      <c r="W706" s="273"/>
      <c r="X706" s="39"/>
      <c r="Y706" s="273"/>
      <c r="Z706" s="273"/>
      <c r="AA706" s="273"/>
      <c r="AB706" s="273"/>
      <c r="AC706" s="273"/>
      <c r="AD706" s="273"/>
      <c r="AE706" s="273"/>
      <c r="AF706" s="273"/>
      <c r="AG706" s="273"/>
      <c r="AH706" s="273"/>
      <c r="AI706" s="273"/>
      <c r="AJ706" s="273"/>
      <c r="AK706" s="273"/>
      <c r="AL706" s="273"/>
      <c r="AM706" s="273"/>
      <c r="AN706" s="273"/>
      <c r="AO706" s="273"/>
      <c r="AP706" s="273"/>
      <c r="AQ706" s="273"/>
      <c r="AR706" s="273"/>
      <c r="AS706" s="273"/>
      <c r="AT706" s="273"/>
      <c r="AU706" s="273"/>
      <c r="AV706" s="273"/>
    </row>
    <row r="707" spans="2:48" ht="12.75">
      <c r="B707" s="273"/>
      <c r="C707" s="273"/>
      <c r="D707" s="273"/>
      <c r="E707" s="273"/>
      <c r="F707" s="273"/>
      <c r="G707" s="273"/>
      <c r="H707" s="39"/>
      <c r="I707" s="273"/>
      <c r="J707" s="273"/>
      <c r="K707" s="273"/>
      <c r="L707" s="273"/>
      <c r="M707" s="273"/>
      <c r="N707" s="273"/>
      <c r="O707" s="273"/>
      <c r="P707" s="273"/>
      <c r="Q707" s="39"/>
      <c r="R707" s="273"/>
      <c r="S707" s="273"/>
      <c r="T707" s="273"/>
      <c r="U707" s="273"/>
      <c r="V707" s="273"/>
      <c r="W707" s="273"/>
      <c r="X707" s="39"/>
      <c r="Y707" s="273"/>
      <c r="Z707" s="273"/>
      <c r="AA707" s="273"/>
      <c r="AB707" s="273"/>
      <c r="AC707" s="273"/>
      <c r="AD707" s="273"/>
      <c r="AE707" s="273"/>
      <c r="AF707" s="273"/>
      <c r="AG707" s="273"/>
      <c r="AH707" s="273"/>
      <c r="AI707" s="273"/>
      <c r="AJ707" s="273"/>
      <c r="AK707" s="273"/>
      <c r="AL707" s="273"/>
      <c r="AM707" s="273"/>
      <c r="AN707" s="273"/>
      <c r="AO707" s="273"/>
      <c r="AP707" s="273"/>
      <c r="AQ707" s="273"/>
      <c r="AR707" s="273"/>
      <c r="AS707" s="273"/>
      <c r="AT707" s="273"/>
      <c r="AU707" s="273"/>
      <c r="AV707" s="273"/>
    </row>
    <row r="708" spans="2:48" ht="12.75">
      <c r="B708" s="273"/>
      <c r="C708" s="273"/>
      <c r="D708" s="273"/>
      <c r="E708" s="273"/>
      <c r="F708" s="273"/>
      <c r="G708" s="273"/>
      <c r="H708" s="39"/>
      <c r="I708" s="273"/>
      <c r="J708" s="273"/>
      <c r="K708" s="273"/>
      <c r="L708" s="273"/>
      <c r="M708" s="273"/>
      <c r="N708" s="273"/>
      <c r="O708" s="273"/>
      <c r="P708" s="273"/>
      <c r="Q708" s="39"/>
      <c r="R708" s="273"/>
      <c r="S708" s="273"/>
      <c r="T708" s="273"/>
      <c r="U708" s="273"/>
      <c r="V708" s="273"/>
      <c r="W708" s="273"/>
      <c r="X708" s="39"/>
      <c r="Y708" s="273"/>
      <c r="Z708" s="273"/>
      <c r="AA708" s="273"/>
      <c r="AB708" s="273"/>
      <c r="AC708" s="273"/>
      <c r="AD708" s="273"/>
      <c r="AE708" s="273"/>
      <c r="AF708" s="273"/>
      <c r="AG708" s="273"/>
      <c r="AH708" s="273"/>
      <c r="AI708" s="273"/>
      <c r="AJ708" s="273"/>
      <c r="AK708" s="273"/>
      <c r="AL708" s="273"/>
      <c r="AM708" s="273"/>
      <c r="AN708" s="273"/>
      <c r="AO708" s="273"/>
      <c r="AP708" s="273"/>
      <c r="AQ708" s="273"/>
      <c r="AR708" s="273"/>
      <c r="AS708" s="273"/>
      <c r="AT708" s="273"/>
      <c r="AU708" s="273"/>
      <c r="AV708" s="273"/>
    </row>
    <row r="709" spans="2:48" ht="12.75">
      <c r="B709" s="273"/>
      <c r="C709" s="273"/>
      <c r="D709" s="273"/>
      <c r="E709" s="273"/>
      <c r="F709" s="273"/>
      <c r="G709" s="273"/>
      <c r="H709" s="39"/>
      <c r="I709" s="273"/>
      <c r="J709" s="273"/>
      <c r="K709" s="273"/>
      <c r="L709" s="273"/>
      <c r="M709" s="273"/>
      <c r="N709" s="273"/>
      <c r="O709" s="273"/>
      <c r="P709" s="273"/>
      <c r="Q709" s="39"/>
      <c r="R709" s="273"/>
      <c r="S709" s="273"/>
      <c r="T709" s="273"/>
      <c r="U709" s="273"/>
      <c r="V709" s="273"/>
      <c r="W709" s="273"/>
      <c r="X709" s="39"/>
      <c r="Y709" s="273"/>
      <c r="Z709" s="273"/>
      <c r="AA709" s="273"/>
      <c r="AB709" s="273"/>
      <c r="AC709" s="273"/>
      <c r="AD709" s="273"/>
      <c r="AE709" s="273"/>
      <c r="AF709" s="273"/>
      <c r="AG709" s="273"/>
      <c r="AH709" s="273"/>
      <c r="AI709" s="273"/>
      <c r="AJ709" s="273"/>
      <c r="AK709" s="273"/>
      <c r="AL709" s="273"/>
      <c r="AM709" s="273"/>
      <c r="AN709" s="273"/>
      <c r="AO709" s="273"/>
      <c r="AP709" s="273"/>
      <c r="AQ709" s="273"/>
      <c r="AR709" s="273"/>
      <c r="AS709" s="273"/>
      <c r="AT709" s="273"/>
      <c r="AU709" s="273"/>
      <c r="AV709" s="273"/>
    </row>
    <row r="710" spans="2:48" ht="12.75">
      <c r="B710" s="273"/>
      <c r="C710" s="273"/>
      <c r="D710" s="273"/>
      <c r="E710" s="273"/>
      <c r="F710" s="273"/>
      <c r="G710" s="273"/>
      <c r="H710" s="39"/>
      <c r="I710" s="273"/>
      <c r="J710" s="273"/>
      <c r="K710" s="273"/>
      <c r="L710" s="273"/>
      <c r="M710" s="273"/>
      <c r="N710" s="273"/>
      <c r="O710" s="273"/>
      <c r="P710" s="273"/>
      <c r="Q710" s="39"/>
      <c r="R710" s="273"/>
      <c r="S710" s="273"/>
      <c r="T710" s="273"/>
      <c r="U710" s="273"/>
      <c r="V710" s="273"/>
      <c r="W710" s="273"/>
      <c r="X710" s="39"/>
      <c r="Y710" s="273"/>
      <c r="Z710" s="273"/>
      <c r="AA710" s="273"/>
      <c r="AB710" s="273"/>
      <c r="AC710" s="273"/>
      <c r="AD710" s="273"/>
      <c r="AE710" s="273"/>
      <c r="AF710" s="273"/>
      <c r="AG710" s="273"/>
      <c r="AH710" s="273"/>
      <c r="AI710" s="273"/>
      <c r="AJ710" s="273"/>
      <c r="AK710" s="273"/>
      <c r="AL710" s="273"/>
      <c r="AM710" s="273"/>
      <c r="AN710" s="273"/>
      <c r="AO710" s="273"/>
      <c r="AP710" s="273"/>
      <c r="AQ710" s="273"/>
      <c r="AR710" s="273"/>
      <c r="AS710" s="273"/>
      <c r="AT710" s="273"/>
      <c r="AU710" s="273"/>
      <c r="AV710" s="273"/>
    </row>
    <row r="711" spans="2:48" ht="12.75">
      <c r="B711" s="273"/>
      <c r="C711" s="273"/>
      <c r="D711" s="273"/>
      <c r="E711" s="273"/>
      <c r="F711" s="273"/>
      <c r="G711" s="273"/>
      <c r="H711" s="39"/>
      <c r="I711" s="273"/>
      <c r="J711" s="273"/>
      <c r="K711" s="273"/>
      <c r="L711" s="273"/>
      <c r="M711" s="273"/>
      <c r="N711" s="273"/>
      <c r="O711" s="273"/>
      <c r="P711" s="273"/>
      <c r="Q711" s="39"/>
      <c r="R711" s="273"/>
      <c r="S711" s="273"/>
      <c r="T711" s="273"/>
      <c r="U711" s="273"/>
      <c r="V711" s="273"/>
      <c r="W711" s="273"/>
      <c r="X711" s="39"/>
      <c r="Y711" s="273"/>
      <c r="Z711" s="273"/>
      <c r="AA711" s="273"/>
      <c r="AB711" s="273"/>
      <c r="AC711" s="273"/>
      <c r="AD711" s="273"/>
      <c r="AE711" s="273"/>
      <c r="AF711" s="273"/>
      <c r="AG711" s="273"/>
      <c r="AH711" s="273"/>
      <c r="AI711" s="273"/>
      <c r="AJ711" s="273"/>
      <c r="AK711" s="273"/>
      <c r="AL711" s="273"/>
      <c r="AM711" s="273"/>
      <c r="AN711" s="273"/>
      <c r="AO711" s="273"/>
      <c r="AP711" s="273"/>
      <c r="AQ711" s="273"/>
      <c r="AR711" s="273"/>
      <c r="AS711" s="273"/>
      <c r="AT711" s="273"/>
      <c r="AU711" s="273"/>
      <c r="AV711" s="273"/>
    </row>
    <row r="712" spans="2:48" ht="12.75">
      <c r="B712" s="273"/>
      <c r="C712" s="273"/>
      <c r="D712" s="273"/>
      <c r="E712" s="273"/>
      <c r="F712" s="273"/>
      <c r="G712" s="273"/>
      <c r="H712" s="39"/>
      <c r="I712" s="273"/>
      <c r="J712" s="273"/>
      <c r="K712" s="273"/>
      <c r="L712" s="273"/>
      <c r="M712" s="273"/>
      <c r="N712" s="273"/>
      <c r="O712" s="273"/>
      <c r="P712" s="273"/>
      <c r="Q712" s="39"/>
      <c r="R712" s="273"/>
      <c r="S712" s="273"/>
      <c r="T712" s="273"/>
      <c r="U712" s="273"/>
      <c r="V712" s="273"/>
      <c r="W712" s="273"/>
      <c r="X712" s="39"/>
      <c r="Y712" s="273"/>
      <c r="Z712" s="273"/>
      <c r="AA712" s="273"/>
      <c r="AB712" s="273"/>
      <c r="AC712" s="273"/>
      <c r="AD712" s="273"/>
      <c r="AE712" s="273"/>
      <c r="AF712" s="273"/>
      <c r="AG712" s="273"/>
      <c r="AH712" s="273"/>
      <c r="AI712" s="273"/>
      <c r="AJ712" s="273"/>
      <c r="AK712" s="273"/>
      <c r="AL712" s="273"/>
      <c r="AM712" s="273"/>
      <c r="AN712" s="273"/>
      <c r="AO712" s="273"/>
      <c r="AP712" s="273"/>
      <c r="AQ712" s="273"/>
      <c r="AR712" s="273"/>
      <c r="AS712" s="273"/>
      <c r="AT712" s="273"/>
      <c r="AU712" s="273"/>
      <c r="AV712" s="273"/>
    </row>
    <row r="713" spans="2:48" ht="12.75">
      <c r="B713" s="273"/>
      <c r="C713" s="273"/>
      <c r="D713" s="273"/>
      <c r="E713" s="273"/>
      <c r="F713" s="273"/>
      <c r="G713" s="273"/>
      <c r="H713" s="39"/>
      <c r="I713" s="273"/>
      <c r="J713" s="273"/>
      <c r="K713" s="273"/>
      <c r="L713" s="273"/>
      <c r="M713" s="273"/>
      <c r="N713" s="273"/>
      <c r="O713" s="273"/>
      <c r="P713" s="273"/>
      <c r="Q713" s="39"/>
      <c r="R713" s="273"/>
      <c r="S713" s="273"/>
      <c r="T713" s="273"/>
      <c r="U713" s="273"/>
      <c r="V713" s="273"/>
      <c r="W713" s="273"/>
      <c r="X713" s="39"/>
      <c r="Y713" s="273"/>
      <c r="Z713" s="273"/>
      <c r="AA713" s="273"/>
      <c r="AB713" s="273"/>
      <c r="AC713" s="273"/>
      <c r="AD713" s="273"/>
      <c r="AE713" s="273"/>
      <c r="AF713" s="273"/>
      <c r="AG713" s="273"/>
      <c r="AH713" s="273"/>
      <c r="AI713" s="273"/>
      <c r="AJ713" s="273"/>
      <c r="AK713" s="273"/>
      <c r="AL713" s="273"/>
      <c r="AM713" s="273"/>
      <c r="AN713" s="273"/>
      <c r="AO713" s="273"/>
      <c r="AP713" s="273"/>
      <c r="AQ713" s="273"/>
      <c r="AR713" s="273"/>
      <c r="AS713" s="273"/>
      <c r="AT713" s="273"/>
      <c r="AU713" s="273"/>
      <c r="AV713" s="273"/>
    </row>
    <row r="714" spans="2:48" ht="12.75">
      <c r="B714" s="273"/>
      <c r="C714" s="273"/>
      <c r="D714" s="273"/>
      <c r="E714" s="273"/>
      <c r="F714" s="273"/>
      <c r="G714" s="273"/>
      <c r="H714" s="39"/>
      <c r="I714" s="273"/>
      <c r="J714" s="273"/>
      <c r="K714" s="273"/>
      <c r="L714" s="273"/>
      <c r="M714" s="273"/>
      <c r="N714" s="273"/>
      <c r="O714" s="273"/>
      <c r="P714" s="273"/>
      <c r="Q714" s="39"/>
      <c r="R714" s="273"/>
      <c r="S714" s="273"/>
      <c r="T714" s="273"/>
      <c r="U714" s="273"/>
      <c r="V714" s="273"/>
      <c r="W714" s="273"/>
      <c r="X714" s="39"/>
      <c r="Y714" s="273"/>
      <c r="Z714" s="273"/>
      <c r="AA714" s="273"/>
      <c r="AB714" s="273"/>
      <c r="AC714" s="273"/>
      <c r="AD714" s="273"/>
      <c r="AE714" s="273"/>
      <c r="AF714" s="273"/>
      <c r="AG714" s="273"/>
      <c r="AH714" s="273"/>
      <c r="AI714" s="273"/>
      <c r="AJ714" s="273"/>
      <c r="AK714" s="273"/>
      <c r="AL714" s="273"/>
      <c r="AM714" s="273"/>
      <c r="AN714" s="273"/>
      <c r="AO714" s="273"/>
      <c r="AP714" s="273"/>
      <c r="AQ714" s="273"/>
      <c r="AR714" s="273"/>
      <c r="AS714" s="273"/>
      <c r="AT714" s="273"/>
      <c r="AU714" s="273"/>
      <c r="AV714" s="273"/>
    </row>
    <row r="715" spans="2:48" ht="12.75">
      <c r="B715" s="273"/>
      <c r="C715" s="273"/>
      <c r="D715" s="273"/>
      <c r="E715" s="273"/>
      <c r="F715" s="273"/>
      <c r="G715" s="273"/>
      <c r="H715" s="39"/>
      <c r="I715" s="273"/>
      <c r="J715" s="273"/>
      <c r="K715" s="273"/>
      <c r="L715" s="273"/>
      <c r="M715" s="273"/>
      <c r="N715" s="273"/>
      <c r="O715" s="273"/>
      <c r="P715" s="273"/>
      <c r="Q715" s="39"/>
      <c r="R715" s="273"/>
      <c r="S715" s="273"/>
      <c r="T715" s="273"/>
      <c r="U715" s="273"/>
      <c r="V715" s="273"/>
      <c r="W715" s="273"/>
      <c r="X715" s="39"/>
      <c r="Y715" s="273"/>
      <c r="Z715" s="273"/>
      <c r="AA715" s="273"/>
      <c r="AB715" s="273"/>
      <c r="AC715" s="273"/>
      <c r="AD715" s="273"/>
      <c r="AE715" s="273"/>
      <c r="AF715" s="273"/>
      <c r="AG715" s="273"/>
      <c r="AH715" s="273"/>
      <c r="AI715" s="273"/>
      <c r="AJ715" s="273"/>
      <c r="AK715" s="273"/>
      <c r="AL715" s="273"/>
      <c r="AM715" s="273"/>
      <c r="AN715" s="273"/>
      <c r="AO715" s="273"/>
      <c r="AP715" s="273"/>
      <c r="AQ715" s="273"/>
      <c r="AR715" s="273"/>
      <c r="AS715" s="273"/>
      <c r="AT715" s="273"/>
      <c r="AU715" s="273"/>
      <c r="AV715" s="273"/>
    </row>
    <row r="716" spans="2:48" ht="12.75">
      <c r="B716" s="273"/>
      <c r="C716" s="273"/>
      <c r="D716" s="273"/>
      <c r="E716" s="273"/>
      <c r="F716" s="273"/>
      <c r="G716" s="273"/>
      <c r="H716" s="39"/>
      <c r="I716" s="273"/>
      <c r="J716" s="273"/>
      <c r="K716" s="273"/>
      <c r="L716" s="273"/>
      <c r="M716" s="273"/>
      <c r="N716" s="273"/>
      <c r="O716" s="273"/>
      <c r="P716" s="273"/>
      <c r="Q716" s="39"/>
      <c r="R716" s="273"/>
      <c r="S716" s="273"/>
      <c r="T716" s="273"/>
      <c r="U716" s="273"/>
      <c r="V716" s="273"/>
      <c r="W716" s="273"/>
      <c r="X716" s="39"/>
      <c r="Y716" s="273"/>
      <c r="Z716" s="273"/>
      <c r="AA716" s="273"/>
      <c r="AB716" s="273"/>
      <c r="AC716" s="273"/>
      <c r="AD716" s="273"/>
      <c r="AE716" s="273"/>
      <c r="AF716" s="273"/>
      <c r="AG716" s="273"/>
      <c r="AH716" s="273"/>
      <c r="AI716" s="273"/>
      <c r="AJ716" s="273"/>
      <c r="AK716" s="273"/>
      <c r="AL716" s="273"/>
      <c r="AM716" s="273"/>
      <c r="AN716" s="273"/>
      <c r="AO716" s="273"/>
      <c r="AP716" s="273"/>
      <c r="AQ716" s="273"/>
      <c r="AR716" s="273"/>
      <c r="AS716" s="273"/>
      <c r="AT716" s="273"/>
      <c r="AU716" s="273"/>
      <c r="AV716" s="273"/>
    </row>
    <row r="717" spans="2:48" ht="12.75">
      <c r="B717" s="273"/>
      <c r="C717" s="273"/>
      <c r="D717" s="273"/>
      <c r="E717" s="273"/>
      <c r="F717" s="273"/>
      <c r="G717" s="273"/>
      <c r="H717" s="39"/>
      <c r="I717" s="273"/>
      <c r="J717" s="273"/>
      <c r="K717" s="273"/>
      <c r="L717" s="273"/>
      <c r="M717" s="273"/>
      <c r="N717" s="273"/>
      <c r="O717" s="273"/>
      <c r="P717" s="273"/>
      <c r="Q717" s="39"/>
      <c r="R717" s="273"/>
      <c r="S717" s="273"/>
      <c r="T717" s="273"/>
      <c r="U717" s="273"/>
      <c r="V717" s="273"/>
      <c r="W717" s="273"/>
      <c r="X717" s="39"/>
      <c r="Y717" s="273"/>
      <c r="Z717" s="273"/>
      <c r="AA717" s="273"/>
      <c r="AB717" s="273"/>
      <c r="AC717" s="273"/>
      <c r="AD717" s="273"/>
      <c r="AE717" s="273"/>
      <c r="AF717" s="273"/>
      <c r="AG717" s="273"/>
      <c r="AH717" s="273"/>
      <c r="AI717" s="273"/>
      <c r="AJ717" s="273"/>
      <c r="AK717" s="273"/>
      <c r="AL717" s="273"/>
      <c r="AM717" s="273"/>
      <c r="AN717" s="273"/>
      <c r="AO717" s="273"/>
      <c r="AP717" s="273"/>
      <c r="AQ717" s="273"/>
      <c r="AR717" s="273"/>
      <c r="AS717" s="273"/>
      <c r="AT717" s="273"/>
      <c r="AU717" s="273"/>
      <c r="AV717" s="273"/>
    </row>
    <row r="718" spans="2:48" ht="12.75">
      <c r="B718" s="273"/>
      <c r="C718" s="273"/>
      <c r="D718" s="273"/>
      <c r="E718" s="273"/>
      <c r="F718" s="273"/>
      <c r="G718" s="273"/>
      <c r="H718" s="39"/>
      <c r="I718" s="273"/>
      <c r="J718" s="273"/>
      <c r="K718" s="273"/>
      <c r="L718" s="273"/>
      <c r="M718" s="273"/>
      <c r="N718" s="273"/>
      <c r="O718" s="273"/>
      <c r="P718" s="273"/>
      <c r="Q718" s="39"/>
      <c r="R718" s="273"/>
      <c r="S718" s="273"/>
      <c r="T718" s="273"/>
      <c r="U718" s="273"/>
      <c r="V718" s="273"/>
      <c r="W718" s="273"/>
      <c r="X718" s="39"/>
      <c r="Y718" s="273"/>
      <c r="Z718" s="273"/>
      <c r="AA718" s="273"/>
      <c r="AB718" s="273"/>
      <c r="AC718" s="273"/>
      <c r="AD718" s="273"/>
      <c r="AE718" s="273"/>
      <c r="AF718" s="273"/>
      <c r="AG718" s="273"/>
      <c r="AH718" s="273"/>
      <c r="AI718" s="273"/>
      <c r="AJ718" s="273"/>
      <c r="AK718" s="273"/>
      <c r="AL718" s="273"/>
      <c r="AM718" s="273"/>
      <c r="AN718" s="273"/>
      <c r="AO718" s="273"/>
      <c r="AP718" s="273"/>
      <c r="AQ718" s="273"/>
      <c r="AR718" s="273"/>
      <c r="AS718" s="273"/>
      <c r="AT718" s="273"/>
      <c r="AU718" s="273"/>
      <c r="AV718" s="273"/>
    </row>
    <row r="719" spans="2:48" ht="12.75">
      <c r="B719" s="273"/>
      <c r="C719" s="273"/>
      <c r="D719" s="273"/>
      <c r="E719" s="273"/>
      <c r="F719" s="273"/>
      <c r="G719" s="273"/>
      <c r="H719" s="39"/>
      <c r="I719" s="273"/>
      <c r="J719" s="273"/>
      <c r="K719" s="273"/>
      <c r="L719" s="273"/>
      <c r="M719" s="273"/>
      <c r="N719" s="273"/>
      <c r="O719" s="273"/>
      <c r="P719" s="273"/>
      <c r="Q719" s="39"/>
      <c r="R719" s="273"/>
      <c r="S719" s="273"/>
      <c r="T719" s="273"/>
      <c r="U719" s="273"/>
      <c r="V719" s="273"/>
      <c r="W719" s="273"/>
      <c r="X719" s="39"/>
      <c r="Y719" s="273"/>
      <c r="Z719" s="273"/>
      <c r="AA719" s="273"/>
      <c r="AB719" s="273"/>
      <c r="AC719" s="273"/>
      <c r="AD719" s="273"/>
      <c r="AE719" s="273"/>
      <c r="AF719" s="273"/>
      <c r="AG719" s="273"/>
      <c r="AH719" s="273"/>
      <c r="AI719" s="273"/>
      <c r="AJ719" s="273"/>
      <c r="AK719" s="273"/>
      <c r="AL719" s="273"/>
      <c r="AM719" s="273"/>
      <c r="AN719" s="273"/>
      <c r="AO719" s="273"/>
      <c r="AP719" s="273"/>
      <c r="AQ719" s="273"/>
      <c r="AR719" s="273"/>
      <c r="AS719" s="273"/>
      <c r="AT719" s="273"/>
      <c r="AU719" s="273"/>
      <c r="AV719" s="273"/>
    </row>
    <row r="720" spans="2:48" ht="12.75">
      <c r="B720" s="273"/>
      <c r="C720" s="273"/>
      <c r="D720" s="273"/>
      <c r="E720" s="273"/>
      <c r="F720" s="273"/>
      <c r="G720" s="273"/>
      <c r="H720" s="39"/>
      <c r="I720" s="273"/>
      <c r="J720" s="273"/>
      <c r="K720" s="273"/>
      <c r="L720" s="273"/>
      <c r="M720" s="273"/>
      <c r="N720" s="273"/>
      <c r="O720" s="273"/>
      <c r="P720" s="273"/>
      <c r="Q720" s="39"/>
      <c r="R720" s="273"/>
      <c r="S720" s="273"/>
      <c r="T720" s="273"/>
      <c r="U720" s="273"/>
      <c r="V720" s="273"/>
      <c r="W720" s="273"/>
      <c r="X720" s="39"/>
      <c r="Y720" s="273"/>
      <c r="Z720" s="273"/>
      <c r="AA720" s="273"/>
      <c r="AB720" s="273"/>
      <c r="AC720" s="273"/>
      <c r="AD720" s="273"/>
      <c r="AE720" s="273"/>
      <c r="AF720" s="273"/>
      <c r="AG720" s="273"/>
      <c r="AH720" s="273"/>
      <c r="AI720" s="273"/>
      <c r="AJ720" s="273"/>
      <c r="AK720" s="273"/>
      <c r="AL720" s="273"/>
      <c r="AM720" s="273"/>
      <c r="AN720" s="273"/>
      <c r="AO720" s="273"/>
      <c r="AP720" s="273"/>
      <c r="AQ720" s="273"/>
      <c r="AR720" s="273"/>
      <c r="AS720" s="273"/>
      <c r="AT720" s="273"/>
      <c r="AU720" s="273"/>
      <c r="AV720" s="273"/>
    </row>
    <row r="721" spans="2:48" ht="12.75">
      <c r="B721" s="273"/>
      <c r="C721" s="273"/>
      <c r="D721" s="273"/>
      <c r="E721" s="273"/>
      <c r="F721" s="273"/>
      <c r="G721" s="273"/>
      <c r="H721" s="39"/>
      <c r="I721" s="273"/>
      <c r="J721" s="273"/>
      <c r="K721" s="273"/>
      <c r="L721" s="273"/>
      <c r="M721" s="273"/>
      <c r="N721" s="273"/>
      <c r="O721" s="273"/>
      <c r="P721" s="273"/>
      <c r="Q721" s="39"/>
      <c r="R721" s="273"/>
      <c r="S721" s="273"/>
      <c r="T721" s="273"/>
      <c r="U721" s="273"/>
      <c r="V721" s="273"/>
      <c r="W721" s="273"/>
      <c r="X721" s="39"/>
      <c r="Y721" s="273"/>
      <c r="Z721" s="273"/>
      <c r="AA721" s="273"/>
      <c r="AB721" s="273"/>
      <c r="AC721" s="273"/>
      <c r="AD721" s="273"/>
      <c r="AE721" s="273"/>
      <c r="AF721" s="273"/>
      <c r="AG721" s="273"/>
      <c r="AH721" s="273"/>
      <c r="AI721" s="273"/>
      <c r="AJ721" s="273"/>
      <c r="AK721" s="273"/>
      <c r="AL721" s="273"/>
      <c r="AM721" s="273"/>
      <c r="AN721" s="273"/>
      <c r="AO721" s="273"/>
      <c r="AP721" s="273"/>
      <c r="AQ721" s="273"/>
      <c r="AR721" s="273"/>
      <c r="AS721" s="273"/>
      <c r="AT721" s="273"/>
      <c r="AU721" s="273"/>
      <c r="AV721" s="273"/>
    </row>
    <row r="722" spans="2:48" ht="12.75">
      <c r="B722" s="273"/>
      <c r="C722" s="273"/>
      <c r="D722" s="273"/>
      <c r="E722" s="273"/>
      <c r="F722" s="273"/>
      <c r="G722" s="273"/>
      <c r="H722" s="39"/>
      <c r="I722" s="273"/>
      <c r="J722" s="273"/>
      <c r="K722" s="273"/>
      <c r="L722" s="273"/>
      <c r="M722" s="273"/>
      <c r="N722" s="273"/>
      <c r="O722" s="273"/>
      <c r="P722" s="273"/>
      <c r="Q722" s="39"/>
      <c r="R722" s="273"/>
      <c r="S722" s="273"/>
      <c r="T722" s="273"/>
      <c r="U722" s="273"/>
      <c r="V722" s="273"/>
      <c r="W722" s="273"/>
      <c r="X722" s="39"/>
      <c r="Y722" s="273"/>
      <c r="Z722" s="273"/>
      <c r="AA722" s="273"/>
      <c r="AB722" s="273"/>
      <c r="AC722" s="273"/>
      <c r="AD722" s="273"/>
      <c r="AE722" s="273"/>
      <c r="AF722" s="273"/>
      <c r="AG722" s="273"/>
      <c r="AH722" s="273"/>
      <c r="AI722" s="273"/>
      <c r="AJ722" s="273"/>
      <c r="AK722" s="273"/>
      <c r="AL722" s="273"/>
      <c r="AM722" s="273"/>
      <c r="AN722" s="273"/>
      <c r="AO722" s="273"/>
      <c r="AP722" s="273"/>
      <c r="AQ722" s="273"/>
      <c r="AR722" s="273"/>
      <c r="AS722" s="273"/>
      <c r="AT722" s="273"/>
      <c r="AU722" s="273"/>
      <c r="AV722" s="273"/>
    </row>
    <row r="723" spans="2:48" ht="12.75">
      <c r="B723" s="273"/>
      <c r="C723" s="273"/>
      <c r="D723" s="273"/>
      <c r="E723" s="273"/>
      <c r="F723" s="273"/>
      <c r="G723" s="273"/>
      <c r="H723" s="39"/>
      <c r="I723" s="273"/>
      <c r="J723" s="273"/>
      <c r="K723" s="273"/>
      <c r="L723" s="273"/>
      <c r="M723" s="273"/>
      <c r="N723" s="273"/>
      <c r="O723" s="273"/>
      <c r="P723" s="273"/>
      <c r="Q723" s="39"/>
      <c r="R723" s="273"/>
      <c r="S723" s="273"/>
      <c r="T723" s="273"/>
      <c r="U723" s="273"/>
      <c r="V723" s="273"/>
      <c r="W723" s="273"/>
      <c r="X723" s="39"/>
      <c r="Y723" s="273"/>
      <c r="Z723" s="273"/>
      <c r="AA723" s="273"/>
      <c r="AB723" s="273"/>
      <c r="AC723" s="273"/>
      <c r="AD723" s="273"/>
      <c r="AE723" s="273"/>
      <c r="AF723" s="273"/>
      <c r="AG723" s="273"/>
      <c r="AH723" s="273"/>
      <c r="AI723" s="273"/>
      <c r="AJ723" s="273"/>
      <c r="AK723" s="273"/>
      <c r="AL723" s="273"/>
      <c r="AM723" s="273"/>
      <c r="AN723" s="273"/>
      <c r="AO723" s="273"/>
      <c r="AP723" s="273"/>
      <c r="AQ723" s="273"/>
      <c r="AR723" s="273"/>
      <c r="AS723" s="273"/>
      <c r="AT723" s="273"/>
      <c r="AU723" s="273"/>
      <c r="AV723" s="273"/>
    </row>
    <row r="724" spans="2:48" ht="12.75">
      <c r="B724" s="273"/>
      <c r="C724" s="273"/>
      <c r="D724" s="273"/>
      <c r="E724" s="273"/>
      <c r="F724" s="273"/>
      <c r="G724" s="273"/>
      <c r="H724" s="39"/>
      <c r="I724" s="273"/>
      <c r="J724" s="273"/>
      <c r="K724" s="273"/>
      <c r="L724" s="273"/>
      <c r="M724" s="273"/>
      <c r="N724" s="273"/>
      <c r="O724" s="273"/>
      <c r="P724" s="273"/>
      <c r="Q724" s="39"/>
      <c r="R724" s="273"/>
      <c r="S724" s="273"/>
      <c r="T724" s="273"/>
      <c r="U724" s="273"/>
      <c r="V724" s="273"/>
      <c r="W724" s="273"/>
      <c r="X724" s="39"/>
      <c r="Y724" s="273"/>
      <c r="Z724" s="273"/>
      <c r="AA724" s="273"/>
      <c r="AB724" s="273"/>
      <c r="AC724" s="273"/>
      <c r="AD724" s="273"/>
      <c r="AE724" s="273"/>
      <c r="AF724" s="273"/>
      <c r="AG724" s="273"/>
      <c r="AH724" s="273"/>
      <c r="AI724" s="273"/>
      <c r="AJ724" s="273"/>
      <c r="AK724" s="273"/>
      <c r="AL724" s="273"/>
      <c r="AM724" s="273"/>
      <c r="AN724" s="273"/>
      <c r="AO724" s="273"/>
      <c r="AP724" s="273"/>
      <c r="AQ724" s="273"/>
      <c r="AR724" s="273"/>
      <c r="AS724" s="273"/>
      <c r="AT724" s="273"/>
      <c r="AU724" s="273"/>
      <c r="AV724" s="273"/>
    </row>
    <row r="725" spans="2:48" ht="12.75">
      <c r="B725" s="273"/>
      <c r="C725" s="273"/>
      <c r="D725" s="273"/>
      <c r="E725" s="273"/>
      <c r="F725" s="273"/>
      <c r="G725" s="273"/>
      <c r="H725" s="39"/>
      <c r="I725" s="273"/>
      <c r="J725" s="273"/>
      <c r="K725" s="273"/>
      <c r="L725" s="273"/>
      <c r="M725" s="273"/>
      <c r="N725" s="273"/>
      <c r="O725" s="273"/>
      <c r="P725" s="273"/>
      <c r="Q725" s="39"/>
      <c r="R725" s="273"/>
      <c r="S725" s="273"/>
      <c r="T725" s="273"/>
      <c r="U725" s="273"/>
      <c r="V725" s="273"/>
      <c r="W725" s="273"/>
      <c r="X725" s="39"/>
      <c r="Y725" s="273"/>
      <c r="Z725" s="273"/>
      <c r="AA725" s="273"/>
      <c r="AB725" s="273"/>
      <c r="AC725" s="273"/>
      <c r="AD725" s="273"/>
      <c r="AE725" s="273"/>
      <c r="AF725" s="273"/>
      <c r="AG725" s="273"/>
      <c r="AH725" s="273"/>
      <c r="AI725" s="273"/>
      <c r="AJ725" s="273"/>
      <c r="AK725" s="273"/>
      <c r="AL725" s="273"/>
      <c r="AM725" s="273"/>
      <c r="AN725" s="273"/>
      <c r="AO725" s="273"/>
      <c r="AP725" s="273"/>
      <c r="AQ725" s="273"/>
      <c r="AR725" s="273"/>
      <c r="AS725" s="273"/>
      <c r="AT725" s="273"/>
      <c r="AU725" s="273"/>
      <c r="AV725" s="273"/>
    </row>
    <row r="726" spans="2:48" ht="12.75">
      <c r="B726" s="273"/>
      <c r="C726" s="273"/>
      <c r="D726" s="273"/>
      <c r="E726" s="273"/>
      <c r="F726" s="273"/>
      <c r="G726" s="273"/>
      <c r="H726" s="39"/>
      <c r="I726" s="273"/>
      <c r="J726" s="273"/>
      <c r="K726" s="273"/>
      <c r="L726" s="273"/>
      <c r="M726" s="273"/>
      <c r="N726" s="273"/>
      <c r="O726" s="273"/>
      <c r="P726" s="273"/>
      <c r="Q726" s="39"/>
      <c r="R726" s="273"/>
      <c r="S726" s="273"/>
      <c r="T726" s="273"/>
      <c r="U726" s="273"/>
      <c r="V726" s="273"/>
      <c r="W726" s="273"/>
      <c r="X726" s="39"/>
      <c r="Y726" s="273"/>
      <c r="Z726" s="273"/>
      <c r="AA726" s="273"/>
      <c r="AB726" s="273"/>
      <c r="AC726" s="273"/>
      <c r="AD726" s="273"/>
      <c r="AE726" s="273"/>
      <c r="AF726" s="273"/>
      <c r="AG726" s="273"/>
      <c r="AH726" s="273"/>
      <c r="AI726" s="273"/>
      <c r="AJ726" s="273"/>
      <c r="AK726" s="273"/>
      <c r="AL726" s="273"/>
      <c r="AM726" s="273"/>
      <c r="AN726" s="273"/>
      <c r="AO726" s="273"/>
      <c r="AP726" s="273"/>
      <c r="AQ726" s="273"/>
      <c r="AR726" s="273"/>
      <c r="AS726" s="273"/>
      <c r="AT726" s="273"/>
      <c r="AU726" s="273"/>
      <c r="AV726" s="273"/>
    </row>
    <row r="727" spans="2:48" ht="12.75">
      <c r="B727" s="273"/>
      <c r="C727" s="273"/>
      <c r="D727" s="273"/>
      <c r="E727" s="273"/>
      <c r="F727" s="273"/>
      <c r="G727" s="273"/>
      <c r="H727" s="39"/>
      <c r="I727" s="273"/>
      <c r="J727" s="273"/>
      <c r="K727" s="273"/>
      <c r="L727" s="273"/>
      <c r="M727" s="273"/>
      <c r="N727" s="273"/>
      <c r="O727" s="273"/>
      <c r="P727" s="273"/>
      <c r="Q727" s="39"/>
      <c r="R727" s="273"/>
      <c r="S727" s="273"/>
      <c r="T727" s="273"/>
      <c r="U727" s="273"/>
      <c r="V727" s="273"/>
      <c r="W727" s="273"/>
      <c r="X727" s="39"/>
      <c r="Y727" s="273"/>
      <c r="Z727" s="273"/>
      <c r="AA727" s="273"/>
      <c r="AB727" s="273"/>
      <c r="AC727" s="273"/>
      <c r="AD727" s="273"/>
      <c r="AE727" s="273"/>
      <c r="AF727" s="273"/>
      <c r="AG727" s="273"/>
      <c r="AH727" s="273"/>
      <c r="AI727" s="273"/>
      <c r="AJ727" s="273"/>
      <c r="AK727" s="273"/>
      <c r="AL727" s="273"/>
      <c r="AM727" s="273"/>
      <c r="AN727" s="273"/>
      <c r="AO727" s="273"/>
      <c r="AP727" s="273"/>
      <c r="AQ727" s="273"/>
      <c r="AR727" s="273"/>
      <c r="AS727" s="273"/>
      <c r="AT727" s="273"/>
      <c r="AU727" s="273"/>
      <c r="AV727" s="273"/>
    </row>
    <row r="728" spans="2:48" ht="12.75">
      <c r="B728" s="273"/>
      <c r="C728" s="273"/>
      <c r="D728" s="273"/>
      <c r="E728" s="273"/>
      <c r="F728" s="273"/>
      <c r="G728" s="273"/>
      <c r="H728" s="39"/>
      <c r="I728" s="273"/>
      <c r="J728" s="273"/>
      <c r="K728" s="273"/>
      <c r="L728" s="273"/>
      <c r="M728" s="273"/>
      <c r="N728" s="273"/>
      <c r="O728" s="273"/>
      <c r="P728" s="273"/>
      <c r="Q728" s="39"/>
      <c r="R728" s="273"/>
      <c r="S728" s="273"/>
      <c r="T728" s="273"/>
      <c r="U728" s="273"/>
      <c r="V728" s="273"/>
      <c r="W728" s="273"/>
      <c r="X728" s="39"/>
      <c r="Y728" s="273"/>
      <c r="Z728" s="273"/>
      <c r="AA728" s="273"/>
      <c r="AB728" s="273"/>
      <c r="AC728" s="273"/>
      <c r="AD728" s="273"/>
      <c r="AE728" s="273"/>
      <c r="AF728" s="273"/>
      <c r="AG728" s="273"/>
      <c r="AH728" s="273"/>
      <c r="AI728" s="273"/>
      <c r="AJ728" s="273"/>
      <c r="AK728" s="273"/>
      <c r="AL728" s="273"/>
      <c r="AM728" s="273"/>
      <c r="AN728" s="273"/>
      <c r="AO728" s="273"/>
      <c r="AP728" s="273"/>
      <c r="AQ728" s="273"/>
      <c r="AR728" s="273"/>
      <c r="AS728" s="273"/>
      <c r="AT728" s="273"/>
      <c r="AU728" s="273"/>
      <c r="AV728" s="273"/>
    </row>
    <row r="729" spans="2:48" ht="12.75">
      <c r="B729" s="273"/>
      <c r="C729" s="273"/>
      <c r="D729" s="273"/>
      <c r="E729" s="273"/>
      <c r="F729" s="273"/>
      <c r="G729" s="273"/>
      <c r="H729" s="39"/>
      <c r="I729" s="273"/>
      <c r="J729" s="273"/>
      <c r="K729" s="273"/>
      <c r="L729" s="273"/>
      <c r="M729" s="273"/>
      <c r="N729" s="273"/>
      <c r="O729" s="273"/>
      <c r="P729" s="273"/>
      <c r="Q729" s="39"/>
      <c r="R729" s="273"/>
      <c r="S729" s="273"/>
      <c r="T729" s="273"/>
      <c r="U729" s="273"/>
      <c r="V729" s="273"/>
      <c r="W729" s="273"/>
      <c r="X729" s="39"/>
      <c r="Y729" s="273"/>
      <c r="Z729" s="273"/>
      <c r="AA729" s="273"/>
      <c r="AB729" s="273"/>
      <c r="AC729" s="273"/>
      <c r="AD729" s="273"/>
      <c r="AE729" s="273"/>
      <c r="AF729" s="273"/>
      <c r="AG729" s="273"/>
      <c r="AH729" s="273"/>
      <c r="AI729" s="273"/>
      <c r="AJ729" s="273"/>
      <c r="AK729" s="273"/>
      <c r="AL729" s="273"/>
      <c r="AM729" s="273"/>
      <c r="AN729" s="273"/>
      <c r="AO729" s="273"/>
      <c r="AP729" s="273"/>
      <c r="AQ729" s="273"/>
      <c r="AR729" s="273"/>
      <c r="AS729" s="273"/>
      <c r="AT729" s="273"/>
      <c r="AU729" s="273"/>
      <c r="AV729" s="273"/>
    </row>
    <row r="730" spans="2:48" ht="12.75">
      <c r="B730" s="273"/>
      <c r="C730" s="273"/>
      <c r="D730" s="273"/>
      <c r="E730" s="273"/>
      <c r="F730" s="273"/>
      <c r="G730" s="273"/>
      <c r="H730" s="39"/>
      <c r="I730" s="273"/>
      <c r="J730" s="273"/>
      <c r="K730" s="273"/>
      <c r="L730" s="273"/>
      <c r="M730" s="273"/>
      <c r="N730" s="273"/>
      <c r="O730" s="273"/>
      <c r="P730" s="273"/>
      <c r="Q730" s="39"/>
      <c r="R730" s="273"/>
      <c r="S730" s="273"/>
      <c r="T730" s="273"/>
      <c r="U730" s="273"/>
      <c r="V730" s="273"/>
      <c r="W730" s="273"/>
      <c r="X730" s="39"/>
      <c r="Y730" s="273"/>
      <c r="Z730" s="273"/>
      <c r="AA730" s="273"/>
      <c r="AB730" s="273"/>
      <c r="AC730" s="273"/>
      <c r="AD730" s="273"/>
      <c r="AE730" s="273"/>
      <c r="AF730" s="273"/>
      <c r="AG730" s="273"/>
      <c r="AH730" s="273"/>
      <c r="AI730" s="273"/>
      <c r="AJ730" s="273"/>
      <c r="AK730" s="273"/>
      <c r="AL730" s="273"/>
      <c r="AM730" s="273"/>
      <c r="AN730" s="273"/>
      <c r="AO730" s="273"/>
      <c r="AP730" s="273"/>
      <c r="AQ730" s="273"/>
      <c r="AR730" s="273"/>
      <c r="AS730" s="273"/>
      <c r="AT730" s="273"/>
      <c r="AU730" s="273"/>
      <c r="AV730" s="273"/>
    </row>
    <row r="731" spans="2:48" ht="12.75">
      <c r="B731" s="273"/>
      <c r="C731" s="273"/>
      <c r="D731" s="273"/>
      <c r="E731" s="273"/>
      <c r="F731" s="273"/>
      <c r="G731" s="273"/>
      <c r="H731" s="39"/>
      <c r="I731" s="273"/>
      <c r="J731" s="273"/>
      <c r="K731" s="273"/>
      <c r="L731" s="273"/>
      <c r="M731" s="273"/>
      <c r="N731" s="273"/>
      <c r="O731" s="273"/>
      <c r="P731" s="273"/>
      <c r="Q731" s="39"/>
      <c r="R731" s="273"/>
      <c r="S731" s="273"/>
      <c r="T731" s="273"/>
      <c r="U731" s="273"/>
      <c r="V731" s="273"/>
      <c r="W731" s="273"/>
      <c r="X731" s="39"/>
      <c r="Y731" s="273"/>
      <c r="Z731" s="273"/>
      <c r="AA731" s="273"/>
      <c r="AB731" s="273"/>
      <c r="AC731" s="273"/>
      <c r="AD731" s="273"/>
      <c r="AE731" s="273"/>
      <c r="AF731" s="273"/>
      <c r="AG731" s="273"/>
      <c r="AH731" s="273"/>
      <c r="AI731" s="273"/>
      <c r="AJ731" s="273"/>
      <c r="AK731" s="273"/>
      <c r="AL731" s="273"/>
      <c r="AM731" s="273"/>
      <c r="AN731" s="273"/>
      <c r="AO731" s="273"/>
      <c r="AP731" s="273"/>
      <c r="AQ731" s="273"/>
      <c r="AR731" s="273"/>
      <c r="AS731" s="273"/>
      <c r="AT731" s="273"/>
      <c r="AU731" s="273"/>
      <c r="AV731" s="273"/>
    </row>
    <row r="732" spans="2:48" ht="12.75">
      <c r="B732" s="273"/>
      <c r="C732" s="273"/>
      <c r="D732" s="273"/>
      <c r="E732" s="273"/>
      <c r="F732" s="273"/>
      <c r="G732" s="273"/>
      <c r="H732" s="39"/>
      <c r="I732" s="273"/>
      <c r="J732" s="273"/>
      <c r="K732" s="273"/>
      <c r="L732" s="273"/>
      <c r="M732" s="273"/>
      <c r="N732" s="273"/>
      <c r="O732" s="273"/>
      <c r="P732" s="273"/>
      <c r="Q732" s="39"/>
      <c r="R732" s="273"/>
      <c r="S732" s="273"/>
      <c r="T732" s="273"/>
      <c r="U732" s="273"/>
      <c r="V732" s="273"/>
      <c r="W732" s="273"/>
      <c r="X732" s="39"/>
      <c r="Y732" s="273"/>
      <c r="Z732" s="273"/>
      <c r="AA732" s="273"/>
      <c r="AB732" s="273"/>
      <c r="AC732" s="273"/>
      <c r="AD732" s="273"/>
      <c r="AE732" s="273"/>
      <c r="AF732" s="273"/>
      <c r="AG732" s="273"/>
      <c r="AH732" s="273"/>
      <c r="AI732" s="273"/>
      <c r="AJ732" s="273"/>
      <c r="AK732" s="273"/>
      <c r="AL732" s="273"/>
      <c r="AM732" s="273"/>
      <c r="AN732" s="273"/>
      <c r="AO732" s="273"/>
      <c r="AP732" s="273"/>
      <c r="AQ732" s="273"/>
      <c r="AR732" s="273"/>
      <c r="AS732" s="273"/>
      <c r="AT732" s="273"/>
      <c r="AU732" s="273"/>
      <c r="AV732" s="273"/>
    </row>
    <row r="733" spans="2:48" ht="12.75">
      <c r="B733" s="273"/>
      <c r="C733" s="273"/>
      <c r="D733" s="273"/>
      <c r="E733" s="273"/>
      <c r="F733" s="273"/>
      <c r="G733" s="273"/>
      <c r="H733" s="39"/>
      <c r="I733" s="273"/>
      <c r="J733" s="273"/>
      <c r="K733" s="273"/>
      <c r="L733" s="273"/>
      <c r="M733" s="273"/>
      <c r="N733" s="273"/>
      <c r="O733" s="273"/>
      <c r="P733" s="273"/>
      <c r="Q733" s="39"/>
      <c r="R733" s="273"/>
      <c r="S733" s="273"/>
      <c r="T733" s="273"/>
      <c r="U733" s="273"/>
      <c r="V733" s="273"/>
      <c r="W733" s="273"/>
      <c r="X733" s="39"/>
      <c r="Y733" s="273"/>
      <c r="Z733" s="273"/>
      <c r="AA733" s="273"/>
      <c r="AB733" s="273"/>
      <c r="AC733" s="273"/>
      <c r="AD733" s="273"/>
      <c r="AE733" s="273"/>
      <c r="AF733" s="273"/>
      <c r="AG733" s="273"/>
      <c r="AH733" s="273"/>
      <c r="AI733" s="273"/>
      <c r="AJ733" s="273"/>
      <c r="AK733" s="273"/>
      <c r="AL733" s="273"/>
      <c r="AM733" s="273"/>
      <c r="AN733" s="273"/>
      <c r="AO733" s="273"/>
      <c r="AP733" s="273"/>
      <c r="AQ733" s="273"/>
      <c r="AR733" s="273"/>
      <c r="AS733" s="273"/>
      <c r="AT733" s="273"/>
      <c r="AU733" s="273"/>
      <c r="AV733" s="273"/>
    </row>
    <row r="734" spans="2:48" ht="12.75">
      <c r="B734" s="273"/>
      <c r="C734" s="273"/>
      <c r="D734" s="273"/>
      <c r="E734" s="273"/>
      <c r="F734" s="273"/>
      <c r="G734" s="273"/>
      <c r="H734" s="39"/>
      <c r="I734" s="273"/>
      <c r="J734" s="273"/>
      <c r="K734" s="273"/>
      <c r="L734" s="273"/>
      <c r="M734" s="273"/>
      <c r="N734" s="273"/>
      <c r="O734" s="273"/>
      <c r="P734" s="273"/>
      <c r="Q734" s="39"/>
      <c r="R734" s="273"/>
      <c r="S734" s="273"/>
      <c r="T734" s="273"/>
      <c r="U734" s="273"/>
      <c r="V734" s="273"/>
      <c r="W734" s="273"/>
      <c r="X734" s="39"/>
      <c r="Y734" s="273"/>
      <c r="Z734" s="273"/>
      <c r="AA734" s="273"/>
      <c r="AB734" s="273"/>
      <c r="AC734" s="273"/>
      <c r="AD734" s="273"/>
      <c r="AE734" s="273"/>
      <c r="AF734" s="273"/>
      <c r="AG734" s="273"/>
      <c r="AH734" s="273"/>
      <c r="AI734" s="273"/>
      <c r="AJ734" s="273"/>
      <c r="AK734" s="273"/>
      <c r="AL734" s="273"/>
      <c r="AM734" s="273"/>
      <c r="AN734" s="273"/>
      <c r="AO734" s="273"/>
      <c r="AP734" s="273"/>
      <c r="AQ734" s="273"/>
      <c r="AR734" s="273"/>
      <c r="AS734" s="273"/>
      <c r="AT734" s="273"/>
      <c r="AU734" s="273"/>
      <c r="AV734" s="273"/>
    </row>
    <row r="735" spans="2:48" ht="12.75">
      <c r="B735" s="273"/>
      <c r="C735" s="273"/>
      <c r="D735" s="273"/>
      <c r="E735" s="273"/>
      <c r="F735" s="273"/>
      <c r="G735" s="273"/>
      <c r="H735" s="39"/>
      <c r="I735" s="273"/>
      <c r="J735" s="273"/>
      <c r="K735" s="273"/>
      <c r="L735" s="273"/>
      <c r="M735" s="273"/>
      <c r="N735" s="273"/>
      <c r="O735" s="273"/>
      <c r="P735" s="273"/>
      <c r="Q735" s="39"/>
      <c r="R735" s="273"/>
      <c r="S735" s="273"/>
      <c r="T735" s="273"/>
      <c r="U735" s="273"/>
      <c r="V735" s="273"/>
      <c r="W735" s="273"/>
      <c r="X735" s="39"/>
      <c r="Y735" s="273"/>
      <c r="Z735" s="273"/>
      <c r="AA735" s="273"/>
      <c r="AB735" s="273"/>
      <c r="AC735" s="273"/>
      <c r="AD735" s="273"/>
      <c r="AE735" s="273"/>
      <c r="AF735" s="273"/>
      <c r="AG735" s="273"/>
      <c r="AH735" s="273"/>
      <c r="AI735" s="273"/>
      <c r="AJ735" s="273"/>
      <c r="AK735" s="273"/>
      <c r="AL735" s="273"/>
      <c r="AM735" s="273"/>
      <c r="AN735" s="273"/>
      <c r="AO735" s="273"/>
      <c r="AP735" s="273"/>
      <c r="AQ735" s="273"/>
      <c r="AR735" s="273"/>
      <c r="AS735" s="273"/>
      <c r="AT735" s="273"/>
      <c r="AU735" s="273"/>
      <c r="AV735" s="273"/>
    </row>
    <row r="736" spans="2:48" ht="12.75">
      <c r="B736" s="273"/>
      <c r="C736" s="273"/>
      <c r="D736" s="273"/>
      <c r="E736" s="273"/>
      <c r="F736" s="273"/>
      <c r="G736" s="273"/>
      <c r="H736" s="39"/>
      <c r="I736" s="273"/>
      <c r="J736" s="273"/>
      <c r="K736" s="273"/>
      <c r="L736" s="273"/>
      <c r="M736" s="273"/>
      <c r="N736" s="273"/>
      <c r="O736" s="273"/>
      <c r="P736" s="273"/>
      <c r="Q736" s="39"/>
      <c r="R736" s="273"/>
      <c r="S736" s="273"/>
      <c r="T736" s="273"/>
      <c r="U736" s="273"/>
      <c r="V736" s="273"/>
      <c r="W736" s="273"/>
      <c r="X736" s="39"/>
      <c r="Y736" s="273"/>
      <c r="Z736" s="273"/>
      <c r="AA736" s="273"/>
      <c r="AB736" s="273"/>
      <c r="AC736" s="273"/>
      <c r="AD736" s="273"/>
      <c r="AE736" s="273"/>
      <c r="AF736" s="273"/>
      <c r="AG736" s="273"/>
      <c r="AH736" s="273"/>
      <c r="AI736" s="273"/>
      <c r="AJ736" s="273"/>
      <c r="AK736" s="273"/>
      <c r="AL736" s="273"/>
      <c r="AM736" s="273"/>
      <c r="AN736" s="273"/>
      <c r="AO736" s="273"/>
      <c r="AP736" s="273"/>
      <c r="AQ736" s="273"/>
      <c r="AR736" s="273"/>
      <c r="AS736" s="273"/>
      <c r="AT736" s="273"/>
      <c r="AU736" s="273"/>
      <c r="AV736" s="273"/>
    </row>
    <row r="737" spans="2:48" ht="12.75">
      <c r="B737" s="273"/>
      <c r="C737" s="273"/>
      <c r="D737" s="273"/>
      <c r="E737" s="273"/>
      <c r="F737" s="273"/>
      <c r="G737" s="273"/>
      <c r="H737" s="39"/>
      <c r="I737" s="273"/>
      <c r="J737" s="273"/>
      <c r="K737" s="273"/>
      <c r="L737" s="273"/>
      <c r="M737" s="273"/>
      <c r="N737" s="273"/>
      <c r="O737" s="273"/>
      <c r="P737" s="273"/>
      <c r="Q737" s="39"/>
      <c r="R737" s="273"/>
      <c r="S737" s="273"/>
      <c r="T737" s="273"/>
      <c r="U737" s="273"/>
      <c r="V737" s="273"/>
      <c r="W737" s="273"/>
      <c r="X737" s="39"/>
      <c r="Y737" s="273"/>
      <c r="Z737" s="273"/>
      <c r="AA737" s="273"/>
      <c r="AB737" s="273"/>
      <c r="AC737" s="273"/>
      <c r="AD737" s="273"/>
      <c r="AE737" s="273"/>
      <c r="AF737" s="273"/>
      <c r="AG737" s="273"/>
      <c r="AH737" s="273"/>
      <c r="AI737" s="273"/>
      <c r="AJ737" s="273"/>
      <c r="AK737" s="273"/>
      <c r="AL737" s="273"/>
      <c r="AM737" s="273"/>
      <c r="AN737" s="273"/>
      <c r="AO737" s="273"/>
      <c r="AP737" s="273"/>
      <c r="AQ737" s="273"/>
      <c r="AR737" s="273"/>
      <c r="AS737" s="273"/>
      <c r="AT737" s="273"/>
      <c r="AU737" s="273"/>
      <c r="AV737" s="273"/>
    </row>
    <row r="738" spans="2:48" ht="12.75">
      <c r="B738" s="273"/>
      <c r="C738" s="273"/>
      <c r="D738" s="273"/>
      <c r="E738" s="273"/>
      <c r="F738" s="273"/>
      <c r="G738" s="273"/>
      <c r="H738" s="39"/>
      <c r="I738" s="273"/>
      <c r="J738" s="273"/>
      <c r="K738" s="273"/>
      <c r="L738" s="273"/>
      <c r="M738" s="273"/>
      <c r="N738" s="273"/>
      <c r="O738" s="273"/>
      <c r="P738" s="273"/>
      <c r="Q738" s="39"/>
      <c r="R738" s="273"/>
      <c r="S738" s="273"/>
      <c r="T738" s="273"/>
      <c r="U738" s="273"/>
      <c r="V738" s="273"/>
      <c r="W738" s="273"/>
      <c r="X738" s="39"/>
      <c r="Y738" s="273"/>
      <c r="Z738" s="273"/>
      <c r="AA738" s="273"/>
      <c r="AB738" s="273"/>
      <c r="AC738" s="273"/>
      <c r="AD738" s="273"/>
      <c r="AE738" s="273"/>
      <c r="AF738" s="273"/>
      <c r="AG738" s="273"/>
      <c r="AH738" s="273"/>
      <c r="AI738" s="273"/>
      <c r="AJ738" s="273"/>
      <c r="AK738" s="273"/>
      <c r="AL738" s="273"/>
      <c r="AM738" s="273"/>
      <c r="AN738" s="273"/>
      <c r="AO738" s="273"/>
      <c r="AP738" s="273"/>
      <c r="AQ738" s="273"/>
      <c r="AR738" s="273"/>
      <c r="AS738" s="273"/>
      <c r="AT738" s="273"/>
      <c r="AU738" s="273"/>
      <c r="AV738" s="273"/>
    </row>
    <row r="739" spans="2:48" ht="12.75">
      <c r="B739" s="273"/>
      <c r="C739" s="273"/>
      <c r="D739" s="273"/>
      <c r="E739" s="273"/>
      <c r="F739" s="273"/>
      <c r="G739" s="273"/>
      <c r="H739" s="39"/>
      <c r="I739" s="273"/>
      <c r="J739" s="273"/>
      <c r="K739" s="273"/>
      <c r="L739" s="273"/>
      <c r="M739" s="273"/>
      <c r="N739" s="273"/>
      <c r="O739" s="273"/>
      <c r="P739" s="273"/>
      <c r="Q739" s="39"/>
      <c r="R739" s="273"/>
      <c r="S739" s="273"/>
      <c r="T739" s="273"/>
      <c r="U739" s="273"/>
      <c r="V739" s="273"/>
      <c r="W739" s="273"/>
      <c r="X739" s="39"/>
      <c r="Y739" s="273"/>
      <c r="Z739" s="273"/>
      <c r="AA739" s="273"/>
      <c r="AB739" s="273"/>
      <c r="AC739" s="273"/>
      <c r="AD739" s="273"/>
      <c r="AE739" s="273"/>
      <c r="AF739" s="273"/>
      <c r="AG739" s="273"/>
      <c r="AH739" s="273"/>
      <c r="AI739" s="273"/>
      <c r="AJ739" s="273"/>
      <c r="AK739" s="273"/>
      <c r="AL739" s="273"/>
      <c r="AM739" s="273"/>
      <c r="AN739" s="273"/>
      <c r="AO739" s="273"/>
      <c r="AP739" s="273"/>
      <c r="AQ739" s="273"/>
      <c r="AR739" s="273"/>
      <c r="AS739" s="273"/>
      <c r="AT739" s="273"/>
      <c r="AU739" s="273"/>
      <c r="AV739" s="273"/>
    </row>
    <row r="740" spans="2:48" ht="12.75">
      <c r="B740" s="273"/>
      <c r="C740" s="273"/>
      <c r="D740" s="273"/>
      <c r="E740" s="273"/>
      <c r="F740" s="273"/>
      <c r="G740" s="273"/>
      <c r="H740" s="39"/>
      <c r="I740" s="273"/>
      <c r="J740" s="273"/>
      <c r="K740" s="273"/>
      <c r="L740" s="273"/>
      <c r="M740" s="273"/>
      <c r="N740" s="273"/>
      <c r="O740" s="273"/>
      <c r="P740" s="273"/>
      <c r="Q740" s="39"/>
      <c r="R740" s="273"/>
      <c r="S740" s="273"/>
      <c r="T740" s="273"/>
      <c r="U740" s="273"/>
      <c r="V740" s="273"/>
      <c r="W740" s="273"/>
      <c r="X740" s="39"/>
      <c r="Y740" s="273"/>
      <c r="Z740" s="273"/>
      <c r="AA740" s="273"/>
      <c r="AB740" s="273"/>
      <c r="AC740" s="273"/>
      <c r="AD740" s="273"/>
      <c r="AE740" s="273"/>
      <c r="AF740" s="273"/>
      <c r="AG740" s="273"/>
      <c r="AH740" s="273"/>
      <c r="AI740" s="273"/>
      <c r="AJ740" s="273"/>
      <c r="AK740" s="273"/>
      <c r="AL740" s="273"/>
      <c r="AM740" s="273"/>
      <c r="AN740" s="273"/>
      <c r="AO740" s="273"/>
      <c r="AP740" s="273"/>
      <c r="AQ740" s="273"/>
      <c r="AR740" s="273"/>
      <c r="AS740" s="273"/>
      <c r="AT740" s="273"/>
      <c r="AU740" s="273"/>
      <c r="AV740" s="273"/>
    </row>
    <row r="741" spans="2:48" ht="12.75">
      <c r="B741" s="273"/>
      <c r="C741" s="273"/>
      <c r="D741" s="273"/>
      <c r="E741" s="273"/>
      <c r="F741" s="273"/>
      <c r="G741" s="273"/>
      <c r="H741" s="39"/>
      <c r="I741" s="273"/>
      <c r="J741" s="273"/>
      <c r="K741" s="273"/>
      <c r="L741" s="273"/>
      <c r="M741" s="273"/>
      <c r="N741" s="273"/>
      <c r="O741" s="273"/>
      <c r="P741" s="273"/>
      <c r="Q741" s="39"/>
      <c r="R741" s="273"/>
      <c r="S741" s="273"/>
      <c r="T741" s="273"/>
      <c r="U741" s="273"/>
      <c r="V741" s="273"/>
      <c r="W741" s="273"/>
      <c r="X741" s="39"/>
      <c r="Y741" s="273"/>
      <c r="Z741" s="273"/>
      <c r="AA741" s="273"/>
      <c r="AB741" s="273"/>
      <c r="AC741" s="273"/>
      <c r="AD741" s="273"/>
      <c r="AE741" s="273"/>
      <c r="AF741" s="273"/>
      <c r="AG741" s="273"/>
      <c r="AH741" s="273"/>
      <c r="AI741" s="273"/>
      <c r="AJ741" s="273"/>
      <c r="AK741" s="273"/>
      <c r="AL741" s="273"/>
      <c r="AM741" s="273"/>
      <c r="AN741" s="273"/>
      <c r="AO741" s="273"/>
      <c r="AP741" s="273"/>
      <c r="AQ741" s="273"/>
      <c r="AR741" s="273"/>
      <c r="AS741" s="273"/>
      <c r="AT741" s="273"/>
      <c r="AU741" s="273"/>
      <c r="AV741" s="273"/>
    </row>
    <row r="742" spans="2:48" ht="12.75">
      <c r="B742" s="273"/>
      <c r="C742" s="273"/>
      <c r="D742" s="273"/>
      <c r="E742" s="273"/>
      <c r="F742" s="273"/>
      <c r="G742" s="273"/>
      <c r="H742" s="39"/>
      <c r="I742" s="273"/>
      <c r="J742" s="273"/>
      <c r="K742" s="273"/>
      <c r="L742" s="273"/>
      <c r="M742" s="273"/>
      <c r="N742" s="273"/>
      <c r="O742" s="273"/>
      <c r="P742" s="273"/>
      <c r="Q742" s="39"/>
      <c r="R742" s="273"/>
      <c r="S742" s="273"/>
      <c r="T742" s="273"/>
      <c r="U742" s="273"/>
      <c r="V742" s="273"/>
      <c r="W742" s="273"/>
      <c r="X742" s="39"/>
      <c r="Y742" s="273"/>
      <c r="Z742" s="273"/>
      <c r="AA742" s="273"/>
      <c r="AB742" s="273"/>
      <c r="AC742" s="273"/>
      <c r="AD742" s="273"/>
      <c r="AE742" s="273"/>
      <c r="AF742" s="273"/>
      <c r="AG742" s="273"/>
      <c r="AH742" s="273"/>
      <c r="AI742" s="273"/>
      <c r="AJ742" s="273"/>
      <c r="AK742" s="273"/>
      <c r="AL742" s="273"/>
      <c r="AM742" s="273"/>
      <c r="AN742" s="273"/>
      <c r="AO742" s="273"/>
      <c r="AP742" s="273"/>
      <c r="AQ742" s="273"/>
      <c r="AR742" s="273"/>
      <c r="AS742" s="273"/>
      <c r="AT742" s="273"/>
      <c r="AU742" s="273"/>
      <c r="AV742" s="273"/>
    </row>
    <row r="743" spans="2:48" ht="12.75">
      <c r="B743" s="273"/>
      <c r="C743" s="273"/>
      <c r="D743" s="273"/>
      <c r="E743" s="273"/>
      <c r="F743" s="273"/>
      <c r="G743" s="273"/>
      <c r="H743" s="39"/>
      <c r="I743" s="273"/>
      <c r="J743" s="273"/>
      <c r="K743" s="273"/>
      <c r="L743" s="273"/>
      <c r="M743" s="273"/>
      <c r="N743" s="273"/>
      <c r="O743" s="273"/>
      <c r="P743" s="273"/>
      <c r="Q743" s="39"/>
      <c r="R743" s="273"/>
      <c r="S743" s="273"/>
      <c r="T743" s="273"/>
      <c r="U743" s="273"/>
      <c r="V743" s="273"/>
      <c r="W743" s="273"/>
      <c r="X743" s="39"/>
      <c r="Y743" s="273"/>
      <c r="Z743" s="273"/>
      <c r="AA743" s="273"/>
      <c r="AB743" s="273"/>
      <c r="AC743" s="273"/>
      <c r="AD743" s="273"/>
      <c r="AE743" s="273"/>
      <c r="AF743" s="273"/>
      <c r="AG743" s="273"/>
      <c r="AH743" s="273"/>
      <c r="AI743" s="273"/>
      <c r="AJ743" s="273"/>
      <c r="AK743" s="273"/>
      <c r="AL743" s="273"/>
      <c r="AM743" s="273"/>
      <c r="AN743" s="273"/>
      <c r="AO743" s="273"/>
      <c r="AP743" s="273"/>
      <c r="AQ743" s="273"/>
      <c r="AR743" s="273"/>
      <c r="AS743" s="273"/>
      <c r="AT743" s="273"/>
      <c r="AU743" s="273"/>
      <c r="AV743" s="273"/>
    </row>
    <row r="744" spans="2:48" ht="12.75">
      <c r="B744" s="273"/>
      <c r="C744" s="273"/>
      <c r="D744" s="273"/>
      <c r="E744" s="273"/>
      <c r="F744" s="273"/>
      <c r="G744" s="273"/>
      <c r="H744" s="39"/>
      <c r="I744" s="273"/>
      <c r="J744" s="273"/>
      <c r="K744" s="273"/>
      <c r="L744" s="273"/>
      <c r="M744" s="273"/>
      <c r="N744" s="273"/>
      <c r="O744" s="273"/>
      <c r="P744" s="273"/>
      <c r="Q744" s="39"/>
      <c r="R744" s="273"/>
      <c r="S744" s="273"/>
      <c r="T744" s="273"/>
      <c r="U744" s="273"/>
      <c r="V744" s="273"/>
      <c r="W744" s="273"/>
      <c r="X744" s="39"/>
      <c r="Y744" s="273"/>
      <c r="Z744" s="273"/>
      <c r="AA744" s="273"/>
      <c r="AB744" s="273"/>
      <c r="AC744" s="273"/>
      <c r="AD744" s="273"/>
      <c r="AE744" s="273"/>
      <c r="AF744" s="273"/>
      <c r="AG744" s="273"/>
      <c r="AH744" s="273"/>
      <c r="AI744" s="273"/>
      <c r="AJ744" s="273"/>
      <c r="AK744" s="273"/>
      <c r="AL744" s="273"/>
      <c r="AM744" s="273"/>
      <c r="AN744" s="273"/>
      <c r="AO744" s="273"/>
      <c r="AP744" s="273"/>
      <c r="AQ744" s="273"/>
      <c r="AR744" s="273"/>
      <c r="AS744" s="273"/>
      <c r="AT744" s="273"/>
      <c r="AU744" s="273"/>
      <c r="AV744" s="273"/>
    </row>
    <row r="745" spans="2:48" ht="12.75">
      <c r="B745" s="273"/>
      <c r="C745" s="273"/>
      <c r="D745" s="273"/>
      <c r="E745" s="273"/>
      <c r="F745" s="273"/>
      <c r="G745" s="273"/>
      <c r="H745" s="39"/>
      <c r="I745" s="273"/>
      <c r="J745" s="273"/>
      <c r="K745" s="273"/>
      <c r="L745" s="273"/>
      <c r="M745" s="273"/>
      <c r="N745" s="273"/>
      <c r="O745" s="273"/>
      <c r="P745" s="273"/>
      <c r="Q745" s="39"/>
      <c r="R745" s="273"/>
      <c r="S745" s="273"/>
      <c r="T745" s="273"/>
      <c r="U745" s="273"/>
      <c r="V745" s="273"/>
      <c r="W745" s="273"/>
      <c r="X745" s="39"/>
      <c r="Y745" s="273"/>
      <c r="Z745" s="273"/>
      <c r="AA745" s="273"/>
      <c r="AB745" s="273"/>
      <c r="AC745" s="273"/>
      <c r="AD745" s="273"/>
      <c r="AE745" s="273"/>
      <c r="AF745" s="273"/>
      <c r="AG745" s="273"/>
      <c r="AH745" s="273"/>
      <c r="AI745" s="273"/>
      <c r="AJ745" s="273"/>
      <c r="AK745" s="273"/>
      <c r="AL745" s="273"/>
      <c r="AM745" s="273"/>
      <c r="AN745" s="273"/>
      <c r="AO745" s="273"/>
      <c r="AP745" s="273"/>
      <c r="AQ745" s="273"/>
      <c r="AR745" s="273"/>
      <c r="AS745" s="273"/>
      <c r="AT745" s="273"/>
      <c r="AU745" s="273"/>
      <c r="AV745" s="273"/>
    </row>
    <row r="746" spans="2:48" ht="12.75">
      <c r="B746" s="273"/>
      <c r="C746" s="273"/>
      <c r="D746" s="273"/>
      <c r="E746" s="273"/>
      <c r="F746" s="273"/>
      <c r="G746" s="273"/>
      <c r="H746" s="39"/>
      <c r="I746" s="273"/>
      <c r="J746" s="273"/>
      <c r="K746" s="273"/>
      <c r="L746" s="273"/>
      <c r="M746" s="273"/>
      <c r="N746" s="273"/>
      <c r="O746" s="273"/>
      <c r="P746" s="273"/>
      <c r="Q746" s="39"/>
      <c r="R746" s="273"/>
      <c r="S746" s="273"/>
      <c r="T746" s="273"/>
      <c r="U746" s="273"/>
      <c r="V746" s="273"/>
      <c r="W746" s="273"/>
      <c r="X746" s="39"/>
      <c r="Y746" s="273"/>
      <c r="Z746" s="273"/>
      <c r="AA746" s="273"/>
      <c r="AB746" s="273"/>
      <c r="AC746" s="273"/>
      <c r="AD746" s="273"/>
      <c r="AE746" s="273"/>
      <c r="AF746" s="273"/>
      <c r="AG746" s="273"/>
      <c r="AH746" s="273"/>
      <c r="AI746" s="273"/>
      <c r="AJ746" s="273"/>
      <c r="AK746" s="273"/>
      <c r="AL746" s="273"/>
      <c r="AM746" s="273"/>
      <c r="AN746" s="273"/>
      <c r="AO746" s="273"/>
      <c r="AP746" s="273"/>
      <c r="AQ746" s="273"/>
      <c r="AR746" s="273"/>
      <c r="AS746" s="273"/>
      <c r="AT746" s="273"/>
      <c r="AU746" s="273"/>
      <c r="AV746" s="273"/>
    </row>
    <row r="747" spans="2:48" ht="12.75">
      <c r="B747" s="273"/>
      <c r="C747" s="273"/>
      <c r="D747" s="273"/>
      <c r="E747" s="273"/>
      <c r="F747" s="273"/>
      <c r="G747" s="273"/>
      <c r="H747" s="39"/>
      <c r="I747" s="273"/>
      <c r="J747" s="273"/>
      <c r="K747" s="273"/>
      <c r="L747" s="273"/>
      <c r="M747" s="273"/>
      <c r="N747" s="273"/>
      <c r="O747" s="273"/>
      <c r="P747" s="273"/>
      <c r="Q747" s="39"/>
      <c r="R747" s="273"/>
      <c r="S747" s="273"/>
      <c r="T747" s="273"/>
      <c r="U747" s="273"/>
      <c r="V747" s="273"/>
      <c r="W747" s="273"/>
      <c r="X747" s="39"/>
      <c r="Y747" s="273"/>
      <c r="Z747" s="273"/>
      <c r="AA747" s="273"/>
      <c r="AB747" s="273"/>
      <c r="AC747" s="273"/>
      <c r="AD747" s="273"/>
      <c r="AE747" s="273"/>
      <c r="AF747" s="273"/>
      <c r="AG747" s="273"/>
      <c r="AH747" s="273"/>
      <c r="AI747" s="273"/>
      <c r="AJ747" s="273"/>
      <c r="AK747" s="273"/>
      <c r="AL747" s="273"/>
      <c r="AM747" s="273"/>
      <c r="AN747" s="273"/>
      <c r="AO747" s="273"/>
      <c r="AP747" s="273"/>
      <c r="AQ747" s="273"/>
      <c r="AR747" s="273"/>
      <c r="AS747" s="273"/>
      <c r="AT747" s="273"/>
      <c r="AU747" s="273"/>
      <c r="AV747" s="273"/>
    </row>
    <row r="748" spans="2:48" ht="12.75">
      <c r="B748" s="273"/>
      <c r="C748" s="273"/>
      <c r="D748" s="273"/>
      <c r="E748" s="273"/>
      <c r="F748" s="273"/>
      <c r="G748" s="273"/>
      <c r="H748" s="39"/>
      <c r="I748" s="273"/>
      <c r="J748" s="273"/>
      <c r="K748" s="273"/>
      <c r="L748" s="273"/>
      <c r="M748" s="273"/>
      <c r="N748" s="273"/>
      <c r="O748" s="273"/>
      <c r="P748" s="273"/>
      <c r="Q748" s="39"/>
      <c r="R748" s="273"/>
      <c r="S748" s="273"/>
      <c r="T748" s="273"/>
      <c r="U748" s="273"/>
      <c r="V748" s="273"/>
      <c r="W748" s="273"/>
      <c r="X748" s="39"/>
      <c r="Y748" s="273"/>
      <c r="Z748" s="273"/>
      <c r="AA748" s="273"/>
      <c r="AB748" s="273"/>
      <c r="AC748" s="273"/>
      <c r="AD748" s="273"/>
      <c r="AE748" s="273"/>
      <c r="AF748" s="273"/>
      <c r="AG748" s="273"/>
      <c r="AH748" s="273"/>
      <c r="AI748" s="273"/>
      <c r="AJ748" s="273"/>
      <c r="AK748" s="273"/>
      <c r="AL748" s="273"/>
      <c r="AM748" s="273"/>
      <c r="AN748" s="273"/>
      <c r="AO748" s="273"/>
      <c r="AP748" s="273"/>
      <c r="AQ748" s="273"/>
      <c r="AR748" s="273"/>
      <c r="AS748" s="273"/>
      <c r="AT748" s="273"/>
      <c r="AU748" s="273"/>
      <c r="AV748" s="273"/>
    </row>
    <row r="749" spans="2:48" ht="12.75">
      <c r="B749" s="273"/>
      <c r="C749" s="273"/>
      <c r="D749" s="273"/>
      <c r="E749" s="273"/>
      <c r="F749" s="273"/>
      <c r="G749" s="273"/>
      <c r="H749" s="39"/>
      <c r="I749" s="273"/>
      <c r="J749" s="273"/>
      <c r="K749" s="273"/>
      <c r="L749" s="273"/>
      <c r="M749" s="273"/>
      <c r="N749" s="273"/>
      <c r="O749" s="273"/>
      <c r="P749" s="273"/>
      <c r="Q749" s="39"/>
      <c r="R749" s="273"/>
      <c r="S749" s="273"/>
      <c r="T749" s="273"/>
      <c r="U749" s="273"/>
      <c r="V749" s="273"/>
      <c r="W749" s="273"/>
      <c r="X749" s="39"/>
      <c r="Y749" s="273"/>
      <c r="Z749" s="273"/>
      <c r="AA749" s="273"/>
      <c r="AB749" s="273"/>
      <c r="AC749" s="273"/>
      <c r="AD749" s="273"/>
      <c r="AE749" s="273"/>
      <c r="AF749" s="273"/>
      <c r="AG749" s="273"/>
      <c r="AH749" s="273"/>
      <c r="AI749" s="273"/>
      <c r="AJ749" s="273"/>
      <c r="AK749" s="273"/>
      <c r="AL749" s="273"/>
      <c r="AM749" s="273"/>
      <c r="AN749" s="273"/>
      <c r="AO749" s="273"/>
      <c r="AP749" s="273"/>
      <c r="AQ749" s="273"/>
      <c r="AR749" s="273"/>
      <c r="AS749" s="273"/>
      <c r="AT749" s="273"/>
      <c r="AU749" s="273"/>
      <c r="AV749" s="273"/>
    </row>
    <row r="750" spans="2:48" ht="12.75">
      <c r="B750" s="273"/>
      <c r="C750" s="273"/>
      <c r="D750" s="273"/>
      <c r="E750" s="273"/>
      <c r="F750" s="273"/>
      <c r="G750" s="273"/>
      <c r="H750" s="39"/>
      <c r="I750" s="273"/>
      <c r="J750" s="273"/>
      <c r="K750" s="273"/>
      <c r="L750" s="273"/>
      <c r="M750" s="273"/>
      <c r="N750" s="273"/>
      <c r="O750" s="273"/>
      <c r="P750" s="273"/>
      <c r="Q750" s="39"/>
      <c r="R750" s="273"/>
      <c r="S750" s="273"/>
      <c r="T750" s="273"/>
      <c r="U750" s="273"/>
      <c r="V750" s="273"/>
      <c r="W750" s="273"/>
      <c r="X750" s="39"/>
      <c r="Y750" s="273"/>
      <c r="Z750" s="273"/>
      <c r="AA750" s="273"/>
      <c r="AB750" s="273"/>
      <c r="AC750" s="273"/>
      <c r="AD750" s="273"/>
      <c r="AE750" s="273"/>
      <c r="AF750" s="273"/>
      <c r="AG750" s="273"/>
      <c r="AH750" s="273"/>
      <c r="AI750" s="273"/>
      <c r="AJ750" s="273"/>
      <c r="AK750" s="273"/>
      <c r="AL750" s="273"/>
      <c r="AM750" s="273"/>
      <c r="AN750" s="273"/>
      <c r="AO750" s="273"/>
      <c r="AP750" s="273"/>
      <c r="AQ750" s="273"/>
      <c r="AR750" s="273"/>
      <c r="AS750" s="273"/>
      <c r="AT750" s="273"/>
      <c r="AU750" s="273"/>
      <c r="AV750" s="273"/>
    </row>
    <row r="751" spans="2:48" ht="12.75">
      <c r="B751" s="273"/>
      <c r="C751" s="273"/>
      <c r="D751" s="273"/>
      <c r="E751" s="273"/>
      <c r="F751" s="273"/>
      <c r="G751" s="273"/>
      <c r="H751" s="39"/>
      <c r="I751" s="273"/>
      <c r="J751" s="273"/>
      <c r="K751" s="273"/>
      <c r="L751" s="273"/>
      <c r="M751" s="273"/>
      <c r="N751" s="273"/>
      <c r="O751" s="273"/>
      <c r="P751" s="273"/>
      <c r="Q751" s="39"/>
      <c r="R751" s="273"/>
      <c r="S751" s="273"/>
      <c r="T751" s="273"/>
      <c r="U751" s="273"/>
      <c r="V751" s="273"/>
      <c r="W751" s="273"/>
      <c r="X751" s="39"/>
      <c r="Y751" s="273"/>
      <c r="Z751" s="273"/>
      <c r="AA751" s="273"/>
      <c r="AB751" s="273"/>
      <c r="AC751" s="273"/>
      <c r="AD751" s="273"/>
      <c r="AE751" s="273"/>
      <c r="AF751" s="273"/>
      <c r="AG751" s="273"/>
      <c r="AH751" s="273"/>
      <c r="AI751" s="273"/>
      <c r="AJ751" s="273"/>
      <c r="AK751" s="273"/>
      <c r="AL751" s="273"/>
      <c r="AM751" s="273"/>
      <c r="AN751" s="273"/>
      <c r="AO751" s="273"/>
      <c r="AP751" s="273"/>
      <c r="AQ751" s="273"/>
      <c r="AR751" s="273"/>
      <c r="AS751" s="273"/>
      <c r="AT751" s="273"/>
      <c r="AU751" s="273"/>
      <c r="AV751" s="273"/>
    </row>
    <row r="752" spans="2:48" ht="12.75">
      <c r="B752" s="273"/>
      <c r="C752" s="273"/>
      <c r="D752" s="273"/>
      <c r="E752" s="273"/>
      <c r="F752" s="273"/>
      <c r="G752" s="273"/>
      <c r="H752" s="39"/>
      <c r="I752" s="273"/>
      <c r="J752" s="273"/>
      <c r="K752" s="273"/>
      <c r="L752" s="273"/>
      <c r="M752" s="273"/>
      <c r="N752" s="273"/>
      <c r="O752" s="273"/>
      <c r="P752" s="273"/>
      <c r="Q752" s="39"/>
      <c r="R752" s="273"/>
      <c r="S752" s="273"/>
      <c r="T752" s="273"/>
      <c r="U752" s="273"/>
      <c r="V752" s="273"/>
      <c r="W752" s="273"/>
      <c r="X752" s="39"/>
      <c r="Y752" s="273"/>
      <c r="Z752" s="273"/>
      <c r="AA752" s="273"/>
      <c r="AB752" s="273"/>
      <c r="AC752" s="273"/>
      <c r="AD752" s="273"/>
      <c r="AE752" s="273"/>
      <c r="AF752" s="273"/>
      <c r="AG752" s="273"/>
      <c r="AH752" s="273"/>
      <c r="AI752" s="273"/>
      <c r="AJ752" s="273"/>
      <c r="AK752" s="273"/>
      <c r="AL752" s="273"/>
      <c r="AM752" s="273"/>
      <c r="AN752" s="273"/>
      <c r="AO752" s="273"/>
      <c r="AP752" s="273"/>
      <c r="AQ752" s="273"/>
      <c r="AR752" s="273"/>
      <c r="AS752" s="273"/>
      <c r="AT752" s="273"/>
      <c r="AU752" s="273"/>
      <c r="AV752" s="273"/>
    </row>
    <row r="753" spans="2:48" ht="12.75">
      <c r="B753" s="273"/>
      <c r="C753" s="273"/>
      <c r="D753" s="273"/>
      <c r="E753" s="273"/>
      <c r="F753" s="273"/>
      <c r="G753" s="273"/>
      <c r="H753" s="39"/>
      <c r="I753" s="273"/>
      <c r="J753" s="273"/>
      <c r="K753" s="273"/>
      <c r="L753" s="273"/>
      <c r="M753" s="273"/>
      <c r="N753" s="273"/>
      <c r="O753" s="273"/>
      <c r="P753" s="273"/>
      <c r="Q753" s="39"/>
      <c r="R753" s="273"/>
      <c r="S753" s="273"/>
      <c r="T753" s="273"/>
      <c r="U753" s="273"/>
      <c r="V753" s="273"/>
      <c r="W753" s="273"/>
      <c r="X753" s="39"/>
      <c r="Y753" s="273"/>
      <c r="Z753" s="273"/>
      <c r="AA753" s="273"/>
      <c r="AB753" s="273"/>
      <c r="AC753" s="273"/>
      <c r="AD753" s="273"/>
      <c r="AE753" s="273"/>
      <c r="AF753" s="273"/>
      <c r="AG753" s="273"/>
      <c r="AH753" s="273"/>
      <c r="AI753" s="273"/>
      <c r="AJ753" s="273"/>
      <c r="AK753" s="273"/>
      <c r="AL753" s="273"/>
      <c r="AM753" s="273"/>
      <c r="AN753" s="273"/>
      <c r="AO753" s="273"/>
      <c r="AP753" s="273"/>
      <c r="AQ753" s="273"/>
      <c r="AR753" s="273"/>
      <c r="AS753" s="273"/>
      <c r="AT753" s="273"/>
      <c r="AU753" s="273"/>
      <c r="AV753" s="273"/>
    </row>
    <row r="754" spans="2:48" ht="12.75">
      <c r="B754" s="273"/>
      <c r="C754" s="273"/>
      <c r="D754" s="273"/>
      <c r="E754" s="273"/>
      <c r="F754" s="273"/>
      <c r="G754" s="273"/>
      <c r="H754" s="39"/>
      <c r="I754" s="273"/>
      <c r="J754" s="273"/>
      <c r="K754" s="273"/>
      <c r="L754" s="273"/>
      <c r="M754" s="273"/>
      <c r="N754" s="273"/>
      <c r="O754" s="273"/>
      <c r="P754" s="273"/>
      <c r="Q754" s="39"/>
      <c r="R754" s="273"/>
      <c r="S754" s="273"/>
      <c r="T754" s="273"/>
      <c r="U754" s="273"/>
      <c r="V754" s="273"/>
      <c r="W754" s="273"/>
      <c r="X754" s="39"/>
      <c r="Y754" s="273"/>
      <c r="Z754" s="273"/>
      <c r="AA754" s="273"/>
      <c r="AB754" s="273"/>
      <c r="AC754" s="273"/>
      <c r="AD754" s="273"/>
      <c r="AE754" s="273"/>
      <c r="AF754" s="273"/>
      <c r="AG754" s="273"/>
      <c r="AH754" s="273"/>
      <c r="AI754" s="273"/>
      <c r="AJ754" s="273"/>
      <c r="AK754" s="273"/>
      <c r="AL754" s="273"/>
      <c r="AM754" s="273"/>
      <c r="AN754" s="273"/>
      <c r="AO754" s="273"/>
      <c r="AP754" s="273"/>
      <c r="AQ754" s="273"/>
      <c r="AR754" s="273"/>
      <c r="AS754" s="273"/>
      <c r="AT754" s="273"/>
      <c r="AU754" s="273"/>
      <c r="AV754" s="273"/>
    </row>
    <row r="755" spans="2:48" ht="12.75">
      <c r="B755" s="273"/>
      <c r="C755" s="273"/>
      <c r="D755" s="273"/>
      <c r="E755" s="273"/>
      <c r="F755" s="273"/>
      <c r="G755" s="273"/>
      <c r="H755" s="39"/>
      <c r="I755" s="273"/>
      <c r="J755" s="273"/>
      <c r="K755" s="273"/>
      <c r="L755" s="273"/>
      <c r="M755" s="273"/>
      <c r="N755" s="273"/>
      <c r="O755" s="273"/>
      <c r="P755" s="273"/>
      <c r="Q755" s="39"/>
      <c r="R755" s="273"/>
      <c r="S755" s="273"/>
      <c r="T755" s="273"/>
      <c r="U755" s="273"/>
      <c r="V755" s="273"/>
      <c r="W755" s="273"/>
      <c r="X755" s="39"/>
      <c r="Y755" s="273"/>
      <c r="Z755" s="273"/>
      <c r="AA755" s="273"/>
      <c r="AB755" s="273"/>
      <c r="AC755" s="273"/>
      <c r="AD755" s="273"/>
      <c r="AE755" s="273"/>
      <c r="AF755" s="273"/>
      <c r="AG755" s="273"/>
      <c r="AH755" s="273"/>
      <c r="AI755" s="273"/>
      <c r="AJ755" s="273"/>
      <c r="AK755" s="273"/>
      <c r="AL755" s="273"/>
      <c r="AM755" s="273"/>
      <c r="AN755" s="273"/>
      <c r="AO755" s="273"/>
      <c r="AP755" s="273"/>
      <c r="AQ755" s="273"/>
      <c r="AR755" s="273"/>
      <c r="AS755" s="273"/>
      <c r="AT755" s="273"/>
      <c r="AU755" s="273"/>
      <c r="AV755" s="273"/>
    </row>
    <row r="756" spans="2:48" ht="12.75">
      <c r="B756" s="273"/>
      <c r="C756" s="273"/>
      <c r="D756" s="273"/>
      <c r="E756" s="273"/>
      <c r="F756" s="273"/>
      <c r="G756" s="273"/>
      <c r="H756" s="39"/>
      <c r="I756" s="273"/>
      <c r="J756" s="273"/>
      <c r="K756" s="273"/>
      <c r="L756" s="273"/>
      <c r="M756" s="273"/>
      <c r="N756" s="273"/>
      <c r="O756" s="273"/>
      <c r="P756" s="273"/>
      <c r="Q756" s="39"/>
      <c r="R756" s="273"/>
      <c r="S756" s="273"/>
      <c r="T756" s="273"/>
      <c r="U756" s="273"/>
      <c r="V756" s="273"/>
      <c r="W756" s="273"/>
      <c r="X756" s="39"/>
      <c r="Y756" s="273"/>
      <c r="Z756" s="273"/>
      <c r="AA756" s="273"/>
      <c r="AB756" s="273"/>
      <c r="AC756" s="273"/>
      <c r="AD756" s="273"/>
      <c r="AE756" s="273"/>
      <c r="AF756" s="273"/>
      <c r="AG756" s="273"/>
      <c r="AH756" s="273"/>
      <c r="AI756" s="273"/>
      <c r="AJ756" s="273"/>
      <c r="AK756" s="273"/>
      <c r="AL756" s="273"/>
      <c r="AM756" s="273"/>
      <c r="AN756" s="273"/>
      <c r="AO756" s="273"/>
      <c r="AP756" s="273"/>
      <c r="AQ756" s="273"/>
      <c r="AR756" s="273"/>
      <c r="AS756" s="273"/>
      <c r="AT756" s="273"/>
      <c r="AU756" s="273"/>
      <c r="AV756" s="273"/>
    </row>
    <row r="757" spans="2:48" ht="12.75">
      <c r="B757" s="273"/>
      <c r="C757" s="273"/>
      <c r="D757" s="273"/>
      <c r="E757" s="273"/>
      <c r="F757" s="273"/>
      <c r="G757" s="273"/>
      <c r="H757" s="39"/>
      <c r="I757" s="273"/>
      <c r="J757" s="273"/>
      <c r="K757" s="273"/>
      <c r="L757" s="273"/>
      <c r="M757" s="273"/>
      <c r="N757" s="273"/>
      <c r="O757" s="273"/>
      <c r="P757" s="273"/>
      <c r="Q757" s="39"/>
      <c r="R757" s="273"/>
      <c r="S757" s="273"/>
      <c r="T757" s="273"/>
      <c r="U757" s="273"/>
      <c r="V757" s="273"/>
      <c r="W757" s="273"/>
      <c r="X757" s="39"/>
      <c r="Y757" s="273"/>
      <c r="Z757" s="273"/>
      <c r="AA757" s="273"/>
      <c r="AB757" s="273"/>
      <c r="AC757" s="273"/>
      <c r="AD757" s="273"/>
      <c r="AE757" s="273"/>
      <c r="AF757" s="273"/>
      <c r="AG757" s="273"/>
      <c r="AH757" s="273"/>
      <c r="AI757" s="273"/>
      <c r="AJ757" s="273"/>
      <c r="AK757" s="273"/>
      <c r="AL757" s="273"/>
      <c r="AM757" s="273"/>
      <c r="AN757" s="273"/>
      <c r="AO757" s="273"/>
      <c r="AP757" s="273"/>
      <c r="AQ757" s="273"/>
      <c r="AR757" s="273"/>
      <c r="AS757" s="273"/>
      <c r="AT757" s="273"/>
      <c r="AU757" s="273"/>
      <c r="AV757" s="273"/>
    </row>
    <row r="758" spans="2:48" ht="12.75">
      <c r="B758" s="273"/>
      <c r="C758" s="273"/>
      <c r="D758" s="273"/>
      <c r="E758" s="273"/>
      <c r="F758" s="273"/>
      <c r="G758" s="273"/>
      <c r="H758" s="39"/>
      <c r="I758" s="273"/>
      <c r="J758" s="273"/>
      <c r="K758" s="273"/>
      <c r="L758" s="273"/>
      <c r="M758" s="273"/>
      <c r="N758" s="273"/>
      <c r="O758" s="273"/>
      <c r="P758" s="273"/>
      <c r="Q758" s="39"/>
      <c r="R758" s="273"/>
      <c r="S758" s="273"/>
      <c r="T758" s="273"/>
      <c r="U758" s="273"/>
      <c r="V758" s="273"/>
      <c r="W758" s="273"/>
      <c r="X758" s="39"/>
      <c r="Y758" s="273"/>
      <c r="Z758" s="273"/>
      <c r="AA758" s="273"/>
      <c r="AB758" s="273"/>
      <c r="AC758" s="273"/>
      <c r="AD758" s="273"/>
      <c r="AE758" s="273"/>
      <c r="AF758" s="273"/>
      <c r="AG758" s="273"/>
      <c r="AH758" s="273"/>
      <c r="AI758" s="273"/>
      <c r="AJ758" s="273"/>
      <c r="AK758" s="273"/>
      <c r="AL758" s="273"/>
      <c r="AM758" s="273"/>
      <c r="AN758" s="273"/>
      <c r="AO758" s="273"/>
      <c r="AP758" s="273"/>
      <c r="AQ758" s="273"/>
      <c r="AR758" s="273"/>
      <c r="AS758" s="273"/>
      <c r="AT758" s="273"/>
      <c r="AU758" s="273"/>
      <c r="AV758" s="273"/>
    </row>
    <row r="759" spans="2:48" ht="12.75">
      <c r="B759" s="273"/>
      <c r="C759" s="273"/>
      <c r="D759" s="273"/>
      <c r="E759" s="273"/>
      <c r="F759" s="273"/>
      <c r="G759" s="273"/>
      <c r="H759" s="39"/>
      <c r="I759" s="273"/>
      <c r="J759" s="273"/>
      <c r="K759" s="273"/>
      <c r="L759" s="273"/>
      <c r="M759" s="273"/>
      <c r="N759" s="273"/>
      <c r="O759" s="273"/>
      <c r="P759" s="273"/>
      <c r="Q759" s="39"/>
      <c r="R759" s="273"/>
      <c r="S759" s="273"/>
      <c r="T759" s="273"/>
      <c r="U759" s="273"/>
      <c r="V759" s="273"/>
      <c r="W759" s="273"/>
      <c r="X759" s="39"/>
      <c r="Y759" s="273"/>
      <c r="Z759" s="273"/>
      <c r="AA759" s="273"/>
      <c r="AB759" s="273"/>
      <c r="AC759" s="273"/>
      <c r="AD759" s="273"/>
      <c r="AE759" s="273"/>
      <c r="AF759" s="273"/>
      <c r="AG759" s="273"/>
      <c r="AH759" s="273"/>
      <c r="AI759" s="273"/>
      <c r="AJ759" s="273"/>
      <c r="AK759" s="273"/>
      <c r="AL759" s="273"/>
      <c r="AM759" s="273"/>
      <c r="AN759" s="273"/>
      <c r="AO759" s="273"/>
      <c r="AP759" s="273"/>
      <c r="AQ759" s="273"/>
      <c r="AR759" s="273"/>
      <c r="AS759" s="273"/>
      <c r="AT759" s="273"/>
      <c r="AU759" s="273"/>
      <c r="AV759" s="273"/>
    </row>
    <row r="760" spans="2:48" ht="12.75">
      <c r="B760" s="273"/>
      <c r="C760" s="273"/>
      <c r="D760" s="273"/>
      <c r="E760" s="273"/>
      <c r="F760" s="273"/>
      <c r="G760" s="273"/>
      <c r="H760" s="39"/>
      <c r="I760" s="273"/>
      <c r="J760" s="273"/>
      <c r="K760" s="273"/>
      <c r="L760" s="273"/>
      <c r="M760" s="273"/>
      <c r="N760" s="273"/>
      <c r="O760" s="273"/>
      <c r="P760" s="273"/>
      <c r="Q760" s="39"/>
      <c r="R760" s="273"/>
      <c r="S760" s="273"/>
      <c r="T760" s="273"/>
      <c r="U760" s="273"/>
      <c r="V760" s="273"/>
      <c r="W760" s="273"/>
      <c r="X760" s="39"/>
      <c r="Y760" s="273"/>
      <c r="Z760" s="273"/>
      <c r="AA760" s="273"/>
      <c r="AB760" s="273"/>
      <c r="AC760" s="273"/>
      <c r="AD760" s="273"/>
      <c r="AE760" s="273"/>
      <c r="AF760" s="273"/>
      <c r="AG760" s="273"/>
      <c r="AH760" s="273"/>
      <c r="AI760" s="273"/>
      <c r="AJ760" s="273"/>
      <c r="AK760" s="273"/>
      <c r="AL760" s="273"/>
      <c r="AM760" s="273"/>
      <c r="AN760" s="273"/>
      <c r="AO760" s="273"/>
      <c r="AP760" s="273"/>
      <c r="AQ760" s="273"/>
      <c r="AR760" s="273"/>
      <c r="AS760" s="273"/>
      <c r="AT760" s="273"/>
      <c r="AU760" s="273"/>
      <c r="AV760" s="273"/>
    </row>
    <row r="761" spans="2:48" ht="12.75">
      <c r="B761" s="273"/>
      <c r="C761" s="273"/>
      <c r="D761" s="273"/>
      <c r="E761" s="273"/>
      <c r="F761" s="273"/>
      <c r="G761" s="273"/>
      <c r="H761" s="39"/>
      <c r="I761" s="273"/>
      <c r="J761" s="273"/>
      <c r="K761" s="273"/>
      <c r="L761" s="273"/>
      <c r="M761" s="273"/>
      <c r="N761" s="273"/>
      <c r="O761" s="273"/>
      <c r="P761" s="273"/>
      <c r="Q761" s="39"/>
      <c r="R761" s="273"/>
      <c r="S761" s="273"/>
      <c r="T761" s="273"/>
      <c r="U761" s="273"/>
      <c r="V761" s="273"/>
      <c r="W761" s="273"/>
      <c r="X761" s="39"/>
      <c r="Y761" s="273"/>
      <c r="Z761" s="273"/>
      <c r="AA761" s="273"/>
      <c r="AB761" s="273"/>
      <c r="AC761" s="273"/>
      <c r="AD761" s="273"/>
      <c r="AE761" s="273"/>
      <c r="AF761" s="273"/>
      <c r="AG761" s="273"/>
      <c r="AH761" s="273"/>
      <c r="AI761" s="273"/>
      <c r="AJ761" s="273"/>
      <c r="AK761" s="273"/>
      <c r="AL761" s="273"/>
      <c r="AM761" s="273"/>
      <c r="AN761" s="273"/>
      <c r="AO761" s="273"/>
      <c r="AP761" s="273"/>
      <c r="AQ761" s="273"/>
      <c r="AR761" s="273"/>
      <c r="AS761" s="273"/>
      <c r="AT761" s="273"/>
      <c r="AU761" s="273"/>
      <c r="AV761" s="273"/>
    </row>
    <row r="762" spans="2:48" ht="12.75">
      <c r="B762" s="273"/>
      <c r="C762" s="273"/>
      <c r="D762" s="273"/>
      <c r="E762" s="273"/>
      <c r="F762" s="273"/>
      <c r="G762" s="273"/>
      <c r="H762" s="39"/>
      <c r="I762" s="273"/>
      <c r="J762" s="273"/>
      <c r="K762" s="273"/>
      <c r="L762" s="273"/>
      <c r="M762" s="273"/>
      <c r="N762" s="273"/>
      <c r="O762" s="273"/>
      <c r="P762" s="273"/>
      <c r="Q762" s="39"/>
      <c r="R762" s="273"/>
      <c r="S762" s="273"/>
      <c r="T762" s="273"/>
      <c r="U762" s="273"/>
      <c r="V762" s="273"/>
      <c r="W762" s="273"/>
      <c r="X762" s="39"/>
      <c r="Y762" s="273"/>
      <c r="Z762" s="273"/>
      <c r="AA762" s="273"/>
      <c r="AB762" s="273"/>
      <c r="AC762" s="273"/>
      <c r="AD762" s="273"/>
      <c r="AE762" s="273"/>
      <c r="AF762" s="273"/>
      <c r="AG762" s="273"/>
      <c r="AH762" s="273"/>
      <c r="AI762" s="273"/>
      <c r="AJ762" s="273"/>
      <c r="AK762" s="273"/>
      <c r="AL762" s="273"/>
      <c r="AM762" s="273"/>
      <c r="AN762" s="273"/>
      <c r="AO762" s="273"/>
      <c r="AP762" s="273"/>
      <c r="AQ762" s="273"/>
      <c r="AR762" s="273"/>
      <c r="AS762" s="273"/>
      <c r="AT762" s="273"/>
      <c r="AU762" s="273"/>
      <c r="AV762" s="273"/>
    </row>
    <row r="763" spans="2:48" ht="12.75">
      <c r="B763" s="273"/>
      <c r="C763" s="273"/>
      <c r="D763" s="273"/>
      <c r="E763" s="273"/>
      <c r="F763" s="273"/>
      <c r="G763" s="273"/>
      <c r="H763" s="39"/>
      <c r="I763" s="273"/>
      <c r="J763" s="273"/>
      <c r="K763" s="273"/>
      <c r="L763" s="273"/>
      <c r="M763" s="273"/>
      <c r="N763" s="273"/>
      <c r="O763" s="273"/>
      <c r="P763" s="273"/>
      <c r="Q763" s="39"/>
      <c r="R763" s="273"/>
      <c r="S763" s="273"/>
      <c r="T763" s="273"/>
      <c r="U763" s="273"/>
      <c r="V763" s="273"/>
      <c r="W763" s="273"/>
      <c r="X763" s="39"/>
      <c r="Y763" s="273"/>
      <c r="Z763" s="273"/>
      <c r="AA763" s="273"/>
      <c r="AB763" s="273"/>
      <c r="AC763" s="273"/>
      <c r="AD763" s="273"/>
      <c r="AE763" s="273"/>
      <c r="AF763" s="273"/>
      <c r="AG763" s="273"/>
      <c r="AH763" s="273"/>
      <c r="AI763" s="273"/>
      <c r="AJ763" s="273"/>
      <c r="AK763" s="273"/>
      <c r="AL763" s="273"/>
      <c r="AM763" s="273"/>
      <c r="AN763" s="273"/>
      <c r="AO763" s="273"/>
      <c r="AP763" s="273"/>
      <c r="AQ763" s="273"/>
      <c r="AR763" s="273"/>
      <c r="AS763" s="273"/>
      <c r="AT763" s="273"/>
      <c r="AU763" s="273"/>
      <c r="AV763" s="273"/>
    </row>
    <row r="764" spans="2:48" ht="12.75">
      <c r="B764" s="273"/>
      <c r="C764" s="273"/>
      <c r="D764" s="273"/>
      <c r="E764" s="273"/>
      <c r="F764" s="273"/>
      <c r="G764" s="273"/>
      <c r="H764" s="39"/>
      <c r="I764" s="273"/>
      <c r="J764" s="273"/>
      <c r="K764" s="273"/>
      <c r="L764" s="273"/>
      <c r="M764" s="273"/>
      <c r="N764" s="273"/>
      <c r="O764" s="273"/>
      <c r="P764" s="273"/>
      <c r="Q764" s="39"/>
      <c r="R764" s="273"/>
      <c r="S764" s="273"/>
      <c r="T764" s="273"/>
      <c r="U764" s="273"/>
      <c r="V764" s="273"/>
      <c r="W764" s="273"/>
      <c r="X764" s="39"/>
      <c r="Y764" s="273"/>
      <c r="Z764" s="273"/>
      <c r="AA764" s="273"/>
      <c r="AB764" s="273"/>
      <c r="AC764" s="273"/>
      <c r="AD764" s="273"/>
      <c r="AE764" s="273"/>
      <c r="AF764" s="273"/>
      <c r="AG764" s="273"/>
      <c r="AH764" s="273"/>
      <c r="AI764" s="273"/>
      <c r="AJ764" s="273"/>
      <c r="AK764" s="273"/>
      <c r="AL764" s="273"/>
      <c r="AM764" s="273"/>
      <c r="AN764" s="273"/>
      <c r="AO764" s="273"/>
      <c r="AP764" s="273"/>
      <c r="AQ764" s="273"/>
      <c r="AR764" s="273"/>
      <c r="AS764" s="273"/>
      <c r="AT764" s="273"/>
      <c r="AU764" s="273"/>
      <c r="AV764" s="273"/>
    </row>
    <row r="765" spans="2:48" ht="12.75">
      <c r="B765" s="273"/>
      <c r="C765" s="273"/>
      <c r="D765" s="273"/>
      <c r="E765" s="273"/>
      <c r="F765" s="273"/>
      <c r="G765" s="273"/>
      <c r="H765" s="39"/>
      <c r="I765" s="273"/>
      <c r="J765" s="273"/>
      <c r="K765" s="273"/>
      <c r="L765" s="273"/>
      <c r="M765" s="273"/>
      <c r="N765" s="273"/>
      <c r="O765" s="273"/>
      <c r="P765" s="273"/>
      <c r="Q765" s="39"/>
      <c r="R765" s="273"/>
      <c r="S765" s="273"/>
      <c r="T765" s="273"/>
      <c r="U765" s="273"/>
      <c r="V765" s="273"/>
      <c r="W765" s="273"/>
      <c r="X765" s="39"/>
      <c r="Y765" s="273"/>
      <c r="Z765" s="273"/>
      <c r="AA765" s="273"/>
      <c r="AB765" s="273"/>
      <c r="AC765" s="273"/>
      <c r="AD765" s="273"/>
      <c r="AE765" s="273"/>
      <c r="AF765" s="273"/>
      <c r="AG765" s="273"/>
      <c r="AH765" s="273"/>
      <c r="AI765" s="273"/>
      <c r="AJ765" s="273"/>
      <c r="AK765" s="273"/>
      <c r="AL765" s="273"/>
      <c r="AM765" s="273"/>
      <c r="AN765" s="273"/>
      <c r="AO765" s="273"/>
      <c r="AP765" s="273"/>
      <c r="AQ765" s="273"/>
      <c r="AR765" s="273"/>
      <c r="AS765" s="273"/>
      <c r="AT765" s="273"/>
      <c r="AU765" s="273"/>
      <c r="AV765" s="273"/>
    </row>
    <row r="766" spans="2:48" ht="12.75">
      <c r="B766" s="273"/>
      <c r="C766" s="273"/>
      <c r="D766" s="273"/>
      <c r="E766" s="273"/>
      <c r="F766" s="273"/>
      <c r="G766" s="273"/>
      <c r="H766" s="39"/>
      <c r="I766" s="273"/>
      <c r="J766" s="273"/>
      <c r="K766" s="273"/>
      <c r="L766" s="273"/>
      <c r="M766" s="273"/>
      <c r="N766" s="273"/>
      <c r="O766" s="273"/>
      <c r="P766" s="273"/>
      <c r="Q766" s="39"/>
      <c r="R766" s="273"/>
      <c r="S766" s="273"/>
      <c r="T766" s="273"/>
      <c r="U766" s="273"/>
      <c r="V766" s="273"/>
      <c r="W766" s="273"/>
      <c r="X766" s="39"/>
      <c r="Y766" s="273"/>
      <c r="Z766" s="273"/>
      <c r="AA766" s="273"/>
      <c r="AB766" s="273"/>
      <c r="AC766" s="273"/>
      <c r="AD766" s="273"/>
      <c r="AE766" s="273"/>
      <c r="AF766" s="273"/>
      <c r="AG766" s="273"/>
      <c r="AH766" s="273"/>
      <c r="AI766" s="273"/>
      <c r="AJ766" s="273"/>
      <c r="AK766" s="273"/>
      <c r="AL766" s="273"/>
      <c r="AM766" s="273"/>
      <c r="AN766" s="273"/>
      <c r="AO766" s="273"/>
      <c r="AP766" s="273"/>
      <c r="AQ766" s="273"/>
      <c r="AR766" s="273"/>
      <c r="AS766" s="273"/>
      <c r="AT766" s="273"/>
      <c r="AU766" s="273"/>
      <c r="AV766" s="273"/>
    </row>
    <row r="767" spans="2:48" ht="12.75">
      <c r="B767" s="273"/>
      <c r="C767" s="273"/>
      <c r="D767" s="273"/>
      <c r="E767" s="273"/>
      <c r="F767" s="273"/>
      <c r="G767" s="273"/>
      <c r="H767" s="39"/>
      <c r="I767" s="273"/>
      <c r="J767" s="273"/>
      <c r="K767" s="273"/>
      <c r="L767" s="273"/>
      <c r="M767" s="273"/>
      <c r="N767" s="273"/>
      <c r="O767" s="273"/>
      <c r="P767" s="273"/>
      <c r="Q767" s="39"/>
      <c r="R767" s="273"/>
      <c r="S767" s="273"/>
      <c r="T767" s="273"/>
      <c r="U767" s="273"/>
      <c r="V767" s="273"/>
      <c r="W767" s="273"/>
      <c r="X767" s="39"/>
      <c r="Y767" s="273"/>
      <c r="Z767" s="273"/>
      <c r="AA767" s="273"/>
      <c r="AB767" s="273"/>
      <c r="AC767" s="273"/>
      <c r="AD767" s="273"/>
      <c r="AE767" s="273"/>
      <c r="AF767" s="273"/>
      <c r="AG767" s="273"/>
      <c r="AH767" s="273"/>
      <c r="AI767" s="273"/>
      <c r="AJ767" s="273"/>
      <c r="AK767" s="273"/>
      <c r="AL767" s="273"/>
      <c r="AM767" s="273"/>
      <c r="AN767" s="273"/>
      <c r="AO767" s="273"/>
      <c r="AP767" s="273"/>
      <c r="AQ767" s="273"/>
      <c r="AR767" s="273"/>
      <c r="AS767" s="273"/>
      <c r="AT767" s="273"/>
      <c r="AU767" s="273"/>
      <c r="AV767" s="273"/>
    </row>
    <row r="768" spans="2:48" ht="12.75">
      <c r="B768" s="273"/>
      <c r="C768" s="273"/>
      <c r="D768" s="273"/>
      <c r="E768" s="273"/>
      <c r="F768" s="273"/>
      <c r="G768" s="273"/>
      <c r="H768" s="39"/>
      <c r="I768" s="273"/>
      <c r="J768" s="273"/>
      <c r="K768" s="273"/>
      <c r="L768" s="273"/>
      <c r="M768" s="273"/>
      <c r="N768" s="273"/>
      <c r="O768" s="273"/>
      <c r="P768" s="273"/>
      <c r="Q768" s="39"/>
      <c r="R768" s="273"/>
      <c r="S768" s="273"/>
      <c r="T768" s="273"/>
      <c r="U768" s="273"/>
      <c r="V768" s="273"/>
      <c r="W768" s="273"/>
      <c r="X768" s="39"/>
      <c r="Y768" s="273"/>
      <c r="Z768" s="273"/>
      <c r="AA768" s="273"/>
      <c r="AB768" s="273"/>
      <c r="AC768" s="273"/>
      <c r="AD768" s="273"/>
      <c r="AE768" s="273"/>
      <c r="AF768" s="273"/>
      <c r="AG768" s="273"/>
      <c r="AH768" s="273"/>
      <c r="AI768" s="273"/>
      <c r="AJ768" s="273"/>
      <c r="AK768" s="273"/>
      <c r="AL768" s="273"/>
      <c r="AM768" s="273"/>
      <c r="AN768" s="273"/>
      <c r="AO768" s="273"/>
      <c r="AP768" s="273"/>
      <c r="AQ768" s="273"/>
      <c r="AR768" s="273"/>
      <c r="AS768" s="273"/>
      <c r="AT768" s="273"/>
      <c r="AU768" s="273"/>
      <c r="AV768" s="273"/>
    </row>
    <row r="769" spans="2:48" ht="12.75">
      <c r="B769" s="273"/>
      <c r="C769" s="273"/>
      <c r="D769" s="273"/>
      <c r="E769" s="273"/>
      <c r="F769" s="273"/>
      <c r="G769" s="273"/>
      <c r="H769" s="39"/>
      <c r="I769" s="273"/>
      <c r="J769" s="273"/>
      <c r="K769" s="273"/>
      <c r="L769" s="273"/>
      <c r="M769" s="273"/>
      <c r="N769" s="273"/>
      <c r="O769" s="273"/>
      <c r="P769" s="273"/>
      <c r="Q769" s="39"/>
      <c r="R769" s="273"/>
      <c r="S769" s="273"/>
      <c r="T769" s="273"/>
      <c r="U769" s="273"/>
      <c r="V769" s="273"/>
      <c r="W769" s="273"/>
      <c r="X769" s="39"/>
      <c r="Y769" s="273"/>
      <c r="Z769" s="273"/>
      <c r="AA769" s="273"/>
      <c r="AB769" s="273"/>
      <c r="AC769" s="273"/>
      <c r="AD769" s="273"/>
      <c r="AE769" s="273"/>
      <c r="AF769" s="273"/>
      <c r="AG769" s="273"/>
      <c r="AH769" s="273"/>
      <c r="AI769" s="273"/>
      <c r="AJ769" s="273"/>
      <c r="AK769" s="273"/>
      <c r="AL769" s="273"/>
      <c r="AM769" s="273"/>
      <c r="AN769" s="273"/>
      <c r="AO769" s="273"/>
      <c r="AP769" s="273"/>
      <c r="AQ769" s="273"/>
      <c r="AR769" s="273"/>
      <c r="AS769" s="273"/>
      <c r="AT769" s="273"/>
      <c r="AU769" s="273"/>
      <c r="AV769" s="273"/>
    </row>
    <row r="770" spans="2:48" ht="12.75">
      <c r="B770" s="273"/>
      <c r="C770" s="273"/>
      <c r="D770" s="273"/>
      <c r="E770" s="273"/>
      <c r="F770" s="273"/>
      <c r="G770" s="273"/>
      <c r="H770" s="39"/>
      <c r="I770" s="273"/>
      <c r="J770" s="273"/>
      <c r="K770" s="273"/>
      <c r="L770" s="273"/>
      <c r="M770" s="273"/>
      <c r="N770" s="273"/>
      <c r="O770" s="273"/>
      <c r="P770" s="273"/>
      <c r="Q770" s="39"/>
      <c r="R770" s="273"/>
      <c r="S770" s="273"/>
      <c r="T770" s="273"/>
      <c r="U770" s="273"/>
      <c r="V770" s="273"/>
      <c r="W770" s="273"/>
      <c r="X770" s="39"/>
      <c r="Y770" s="273"/>
      <c r="Z770" s="273"/>
      <c r="AA770" s="273"/>
      <c r="AB770" s="273"/>
      <c r="AC770" s="273"/>
      <c r="AD770" s="273"/>
      <c r="AE770" s="273"/>
      <c r="AF770" s="273"/>
      <c r="AG770" s="273"/>
      <c r="AH770" s="273"/>
      <c r="AI770" s="273"/>
      <c r="AJ770" s="273"/>
      <c r="AK770" s="273"/>
      <c r="AL770" s="273"/>
      <c r="AM770" s="273"/>
      <c r="AN770" s="273"/>
      <c r="AO770" s="273"/>
      <c r="AP770" s="273"/>
      <c r="AQ770" s="273"/>
      <c r="AR770" s="273"/>
      <c r="AS770" s="273"/>
      <c r="AT770" s="273"/>
      <c r="AU770" s="273"/>
      <c r="AV770" s="273"/>
    </row>
    <row r="771" spans="2:48" ht="12.75">
      <c r="B771" s="273"/>
      <c r="C771" s="273"/>
      <c r="D771" s="273"/>
      <c r="E771" s="273"/>
      <c r="F771" s="273"/>
      <c r="G771" s="273"/>
      <c r="H771" s="39"/>
      <c r="I771" s="273"/>
      <c r="J771" s="273"/>
      <c r="K771" s="273"/>
      <c r="L771" s="273"/>
      <c r="M771" s="273"/>
      <c r="N771" s="273"/>
      <c r="O771" s="273"/>
      <c r="P771" s="273"/>
      <c r="Q771" s="39"/>
      <c r="R771" s="273"/>
      <c r="S771" s="273"/>
      <c r="T771" s="273"/>
      <c r="U771" s="273"/>
      <c r="V771" s="273"/>
      <c r="W771" s="273"/>
      <c r="X771" s="39"/>
      <c r="Y771" s="273"/>
      <c r="Z771" s="273"/>
      <c r="AA771" s="273"/>
      <c r="AB771" s="273"/>
      <c r="AC771" s="273"/>
      <c r="AD771" s="273"/>
      <c r="AE771" s="273"/>
      <c r="AF771" s="273"/>
      <c r="AG771" s="273"/>
      <c r="AH771" s="273"/>
      <c r="AI771" s="273"/>
      <c r="AJ771" s="273"/>
      <c r="AK771" s="273"/>
      <c r="AL771" s="273"/>
      <c r="AM771" s="273"/>
      <c r="AN771" s="273"/>
      <c r="AO771" s="273"/>
      <c r="AP771" s="273"/>
      <c r="AQ771" s="273"/>
      <c r="AR771" s="273"/>
      <c r="AS771" s="273"/>
      <c r="AT771" s="273"/>
      <c r="AU771" s="273"/>
      <c r="AV771" s="273"/>
    </row>
    <row r="772" spans="2:48" ht="12.75">
      <c r="B772" s="273"/>
      <c r="C772" s="273"/>
      <c r="D772" s="273"/>
      <c r="E772" s="273"/>
      <c r="F772" s="273"/>
      <c r="G772" s="273"/>
      <c r="H772" s="39"/>
      <c r="I772" s="273"/>
      <c r="J772" s="273"/>
      <c r="K772" s="273"/>
      <c r="L772" s="273"/>
      <c r="M772" s="273"/>
      <c r="N772" s="273"/>
      <c r="O772" s="273"/>
      <c r="P772" s="273"/>
      <c r="Q772" s="39"/>
      <c r="R772" s="273"/>
      <c r="S772" s="273"/>
      <c r="T772" s="273"/>
      <c r="U772" s="273"/>
      <c r="V772" s="273"/>
      <c r="W772" s="273"/>
      <c r="X772" s="39"/>
      <c r="Y772" s="273"/>
      <c r="Z772" s="273"/>
      <c r="AA772" s="273"/>
      <c r="AB772" s="273"/>
      <c r="AC772" s="273"/>
      <c r="AD772" s="273"/>
      <c r="AE772" s="273"/>
      <c r="AF772" s="273"/>
      <c r="AG772" s="273"/>
      <c r="AH772" s="273"/>
      <c r="AI772" s="273"/>
      <c r="AJ772" s="273"/>
      <c r="AK772" s="273"/>
      <c r="AL772" s="273"/>
      <c r="AM772" s="273"/>
      <c r="AN772" s="273"/>
      <c r="AO772" s="273"/>
      <c r="AP772" s="273"/>
      <c r="AQ772" s="273"/>
      <c r="AR772" s="273"/>
      <c r="AS772" s="273"/>
      <c r="AT772" s="273"/>
      <c r="AU772" s="273"/>
      <c r="AV772" s="273"/>
    </row>
    <row r="773" spans="2:48" ht="12.75">
      <c r="B773" s="273"/>
      <c r="C773" s="273"/>
      <c r="D773" s="273"/>
      <c r="E773" s="273"/>
      <c r="F773" s="273"/>
      <c r="G773" s="273"/>
      <c r="H773" s="39"/>
      <c r="I773" s="273"/>
      <c r="J773" s="273"/>
      <c r="K773" s="273"/>
      <c r="L773" s="273"/>
      <c r="M773" s="273"/>
      <c r="N773" s="273"/>
      <c r="O773" s="273"/>
      <c r="P773" s="273"/>
      <c r="Q773" s="39"/>
      <c r="R773" s="273"/>
      <c r="S773" s="273"/>
      <c r="T773" s="273"/>
      <c r="U773" s="273"/>
      <c r="V773" s="273"/>
      <c r="W773" s="273"/>
      <c r="X773" s="39"/>
      <c r="Y773" s="273"/>
      <c r="Z773" s="273"/>
      <c r="AA773" s="273"/>
      <c r="AB773" s="273"/>
      <c r="AC773" s="273"/>
      <c r="AD773" s="273"/>
      <c r="AE773" s="273"/>
      <c r="AF773" s="273"/>
      <c r="AG773" s="273"/>
      <c r="AH773" s="273"/>
      <c r="AI773" s="273"/>
      <c r="AJ773" s="273"/>
      <c r="AK773" s="273"/>
      <c r="AL773" s="273"/>
      <c r="AM773" s="273"/>
      <c r="AN773" s="273"/>
      <c r="AO773" s="273"/>
      <c r="AP773" s="273"/>
      <c r="AQ773" s="273"/>
      <c r="AR773" s="273"/>
      <c r="AS773" s="273"/>
      <c r="AT773" s="273"/>
      <c r="AU773" s="273"/>
      <c r="AV773" s="273"/>
    </row>
    <row r="774" spans="2:48" ht="12.75">
      <c r="B774" s="273"/>
      <c r="C774" s="273"/>
      <c r="D774" s="273"/>
      <c r="E774" s="273"/>
      <c r="F774" s="273"/>
      <c r="G774" s="273"/>
      <c r="H774" s="39"/>
      <c r="I774" s="273"/>
      <c r="J774" s="273"/>
      <c r="K774" s="273"/>
      <c r="L774" s="273"/>
      <c r="M774" s="273"/>
      <c r="N774" s="273"/>
      <c r="O774" s="273"/>
      <c r="P774" s="273"/>
      <c r="Q774" s="39"/>
      <c r="R774" s="273"/>
      <c r="S774" s="273"/>
      <c r="T774" s="273"/>
      <c r="U774" s="273"/>
      <c r="V774" s="273"/>
      <c r="W774" s="273"/>
      <c r="X774" s="39"/>
      <c r="Y774" s="273"/>
      <c r="Z774" s="273"/>
      <c r="AA774" s="273"/>
      <c r="AB774" s="273"/>
      <c r="AC774" s="273"/>
      <c r="AD774" s="273"/>
      <c r="AE774" s="273"/>
      <c r="AF774" s="273"/>
      <c r="AG774" s="273"/>
      <c r="AH774" s="273"/>
      <c r="AI774" s="273"/>
      <c r="AJ774" s="273"/>
      <c r="AK774" s="273"/>
      <c r="AL774" s="273"/>
      <c r="AM774" s="273"/>
      <c r="AN774" s="273"/>
      <c r="AO774" s="273"/>
      <c r="AP774" s="273"/>
      <c r="AQ774" s="273"/>
      <c r="AR774" s="273"/>
      <c r="AS774" s="273"/>
      <c r="AT774" s="273"/>
      <c r="AU774" s="273"/>
      <c r="AV774" s="273"/>
    </row>
    <row r="775" spans="2:48" ht="12.75">
      <c r="B775" s="273"/>
      <c r="C775" s="273"/>
      <c r="D775" s="273"/>
      <c r="E775" s="273"/>
      <c r="F775" s="273"/>
      <c r="G775" s="273"/>
      <c r="H775" s="39"/>
      <c r="I775" s="273"/>
      <c r="J775" s="273"/>
      <c r="K775" s="273"/>
      <c r="L775" s="273"/>
      <c r="M775" s="273"/>
      <c r="N775" s="273"/>
      <c r="O775" s="273"/>
      <c r="P775" s="273"/>
      <c r="Q775" s="39"/>
      <c r="R775" s="273"/>
      <c r="S775" s="273"/>
      <c r="T775" s="273"/>
      <c r="U775" s="273"/>
      <c r="V775" s="273"/>
      <c r="W775" s="273"/>
      <c r="X775" s="39"/>
      <c r="Y775" s="273"/>
      <c r="Z775" s="273"/>
      <c r="AA775" s="273"/>
      <c r="AB775" s="273"/>
      <c r="AC775" s="273"/>
      <c r="AD775" s="273"/>
      <c r="AE775" s="273"/>
      <c r="AF775" s="273"/>
      <c r="AG775" s="273"/>
      <c r="AH775" s="273"/>
      <c r="AI775" s="273"/>
      <c r="AJ775" s="273"/>
      <c r="AK775" s="273"/>
      <c r="AL775" s="273"/>
      <c r="AM775" s="273"/>
      <c r="AN775" s="273"/>
      <c r="AO775" s="273"/>
      <c r="AP775" s="273"/>
      <c r="AQ775" s="273"/>
      <c r="AR775" s="273"/>
      <c r="AS775" s="273"/>
      <c r="AT775" s="273"/>
      <c r="AU775" s="273"/>
      <c r="AV775" s="273"/>
    </row>
    <row r="776" spans="2:48" ht="12.75">
      <c r="B776" s="273"/>
      <c r="C776" s="273"/>
      <c r="D776" s="273"/>
      <c r="E776" s="273"/>
      <c r="F776" s="273"/>
      <c r="G776" s="273"/>
      <c r="H776" s="39"/>
      <c r="I776" s="273"/>
      <c r="J776" s="273"/>
      <c r="K776" s="273"/>
      <c r="L776" s="273"/>
      <c r="M776" s="273"/>
      <c r="N776" s="273"/>
      <c r="O776" s="273"/>
      <c r="P776" s="273"/>
      <c r="Q776" s="39"/>
      <c r="R776" s="273"/>
      <c r="S776" s="273"/>
      <c r="T776" s="273"/>
      <c r="U776" s="273"/>
      <c r="V776" s="273"/>
      <c r="W776" s="273"/>
      <c r="X776" s="39"/>
      <c r="Y776" s="273"/>
      <c r="Z776" s="273"/>
      <c r="AA776" s="273"/>
      <c r="AB776" s="273"/>
      <c r="AC776" s="273"/>
      <c r="AD776" s="273"/>
      <c r="AE776" s="273"/>
      <c r="AF776" s="273"/>
      <c r="AG776" s="273"/>
      <c r="AH776" s="273"/>
      <c r="AI776" s="273"/>
      <c r="AJ776" s="273"/>
      <c r="AK776" s="273"/>
      <c r="AL776" s="273"/>
      <c r="AM776" s="273"/>
      <c r="AN776" s="273"/>
      <c r="AO776" s="273"/>
      <c r="AP776" s="273"/>
      <c r="AQ776" s="273"/>
      <c r="AR776" s="273"/>
      <c r="AS776" s="273"/>
      <c r="AT776" s="273"/>
      <c r="AU776" s="273"/>
      <c r="AV776" s="273"/>
    </row>
    <row r="777" spans="2:48" ht="12.75">
      <c r="B777" s="273"/>
      <c r="C777" s="273"/>
      <c r="D777" s="273"/>
      <c r="E777" s="273"/>
      <c r="F777" s="273"/>
      <c r="G777" s="273"/>
      <c r="H777" s="39"/>
      <c r="I777" s="273"/>
      <c r="J777" s="273"/>
      <c r="K777" s="273"/>
      <c r="L777" s="273"/>
      <c r="M777" s="273"/>
      <c r="N777" s="273"/>
      <c r="O777" s="273"/>
      <c r="P777" s="273"/>
      <c r="Q777" s="39"/>
      <c r="R777" s="273"/>
      <c r="S777" s="273"/>
      <c r="T777" s="273"/>
      <c r="U777" s="273"/>
      <c r="V777" s="273"/>
      <c r="W777" s="273"/>
      <c r="X777" s="39"/>
      <c r="Y777" s="273"/>
      <c r="Z777" s="273"/>
      <c r="AA777" s="273"/>
      <c r="AB777" s="273"/>
      <c r="AC777" s="273"/>
      <c r="AD777" s="273"/>
      <c r="AE777" s="273"/>
      <c r="AF777" s="273"/>
      <c r="AG777" s="273"/>
      <c r="AH777" s="273"/>
      <c r="AI777" s="273"/>
      <c r="AJ777" s="273"/>
      <c r="AK777" s="273"/>
      <c r="AL777" s="273"/>
      <c r="AM777" s="273"/>
      <c r="AN777" s="273"/>
      <c r="AO777" s="273"/>
      <c r="AP777" s="273"/>
      <c r="AQ777" s="273"/>
      <c r="AR777" s="273"/>
      <c r="AS777" s="273"/>
      <c r="AT777" s="273"/>
      <c r="AU777" s="273"/>
      <c r="AV777" s="273"/>
    </row>
    <row r="778" spans="2:48" ht="12.75">
      <c r="B778" s="273"/>
      <c r="C778" s="273"/>
      <c r="D778" s="273"/>
      <c r="E778" s="273"/>
      <c r="F778" s="273"/>
      <c r="G778" s="273"/>
      <c r="H778" s="39"/>
      <c r="I778" s="273"/>
      <c r="J778" s="273"/>
      <c r="K778" s="273"/>
      <c r="L778" s="273"/>
      <c r="M778" s="273"/>
      <c r="N778" s="273"/>
      <c r="O778" s="273"/>
      <c r="P778" s="273"/>
      <c r="Q778" s="39"/>
      <c r="R778" s="273"/>
      <c r="S778" s="273"/>
      <c r="T778" s="273"/>
      <c r="U778" s="273"/>
      <c r="V778" s="273"/>
      <c r="W778" s="273"/>
      <c r="X778" s="39"/>
      <c r="Y778" s="273"/>
      <c r="Z778" s="273"/>
      <c r="AA778" s="273"/>
      <c r="AB778" s="273"/>
      <c r="AC778" s="273"/>
      <c r="AD778" s="273"/>
      <c r="AE778" s="273"/>
      <c r="AF778" s="273"/>
      <c r="AG778" s="273"/>
      <c r="AH778" s="273"/>
      <c r="AI778" s="273"/>
      <c r="AJ778" s="273"/>
      <c r="AK778" s="273"/>
      <c r="AL778" s="273"/>
      <c r="AM778" s="273"/>
      <c r="AN778" s="273"/>
      <c r="AO778" s="273"/>
      <c r="AP778" s="273"/>
      <c r="AQ778" s="273"/>
      <c r="AR778" s="273"/>
      <c r="AS778" s="273"/>
      <c r="AT778" s="273"/>
      <c r="AU778" s="273"/>
      <c r="AV778" s="273"/>
    </row>
    <row r="779" spans="2:48" ht="12.75">
      <c r="B779" s="273"/>
      <c r="C779" s="273"/>
      <c r="D779" s="273"/>
      <c r="E779" s="273"/>
      <c r="F779" s="273"/>
      <c r="G779" s="273"/>
      <c r="H779" s="39"/>
      <c r="I779" s="273"/>
      <c r="J779" s="273"/>
      <c r="K779" s="273"/>
      <c r="L779" s="273"/>
      <c r="M779" s="273"/>
      <c r="N779" s="273"/>
      <c r="O779" s="273"/>
      <c r="P779" s="273"/>
      <c r="Q779" s="39"/>
      <c r="R779" s="273"/>
      <c r="S779" s="273"/>
      <c r="T779" s="273"/>
      <c r="U779" s="273"/>
      <c r="V779" s="273"/>
      <c r="W779" s="273"/>
      <c r="X779" s="39"/>
      <c r="Y779" s="273"/>
      <c r="Z779" s="273"/>
      <c r="AA779" s="273"/>
      <c r="AB779" s="273"/>
      <c r="AC779" s="273"/>
      <c r="AD779" s="273"/>
      <c r="AE779" s="273"/>
      <c r="AF779" s="273"/>
      <c r="AG779" s="273"/>
      <c r="AH779" s="273"/>
      <c r="AI779" s="273"/>
      <c r="AJ779" s="273"/>
      <c r="AK779" s="273"/>
      <c r="AL779" s="273"/>
      <c r="AM779" s="273"/>
      <c r="AN779" s="273"/>
      <c r="AO779" s="273"/>
      <c r="AP779" s="273"/>
      <c r="AQ779" s="273"/>
      <c r="AR779" s="273"/>
      <c r="AS779" s="273"/>
      <c r="AT779" s="273"/>
      <c r="AU779" s="273"/>
      <c r="AV779" s="273"/>
    </row>
    <row r="780" spans="2:48" ht="12.75">
      <c r="B780" s="273"/>
      <c r="C780" s="273"/>
      <c r="D780" s="273"/>
      <c r="E780" s="273"/>
      <c r="F780" s="273"/>
      <c r="G780" s="273"/>
      <c r="H780" s="39"/>
      <c r="I780" s="273"/>
      <c r="J780" s="273"/>
      <c r="K780" s="273"/>
      <c r="L780" s="273"/>
      <c r="M780" s="273"/>
      <c r="N780" s="273"/>
      <c r="O780" s="273"/>
      <c r="P780" s="273"/>
      <c r="Q780" s="39"/>
      <c r="R780" s="273"/>
      <c r="S780" s="273"/>
      <c r="T780" s="273"/>
      <c r="U780" s="273"/>
      <c r="V780" s="273"/>
      <c r="W780" s="273"/>
      <c r="X780" s="39"/>
      <c r="Y780" s="273"/>
      <c r="Z780" s="273"/>
      <c r="AA780" s="273"/>
      <c r="AB780" s="273"/>
      <c r="AC780" s="273"/>
      <c r="AD780" s="273"/>
      <c r="AE780" s="273"/>
      <c r="AF780" s="273"/>
      <c r="AG780" s="273"/>
      <c r="AH780" s="273"/>
      <c r="AI780" s="273"/>
      <c r="AJ780" s="273"/>
      <c r="AK780" s="273"/>
      <c r="AL780" s="273"/>
      <c r="AM780" s="273"/>
      <c r="AN780" s="273"/>
      <c r="AO780" s="273"/>
      <c r="AP780" s="273"/>
      <c r="AQ780" s="273"/>
      <c r="AR780" s="273"/>
      <c r="AS780" s="273"/>
      <c r="AT780" s="273"/>
      <c r="AU780" s="273"/>
      <c r="AV780" s="273"/>
    </row>
    <row r="781" spans="2:48" ht="12.75">
      <c r="B781" s="273"/>
      <c r="C781" s="273"/>
      <c r="D781" s="273"/>
      <c r="E781" s="273"/>
      <c r="F781" s="273"/>
      <c r="G781" s="273"/>
      <c r="H781" s="39"/>
      <c r="I781" s="273"/>
      <c r="J781" s="273"/>
      <c r="K781" s="273"/>
      <c r="L781" s="273"/>
      <c r="M781" s="273"/>
      <c r="N781" s="273"/>
      <c r="O781" s="273"/>
      <c r="P781" s="273"/>
      <c r="Q781" s="39"/>
      <c r="R781" s="273"/>
      <c r="S781" s="273"/>
      <c r="T781" s="273"/>
      <c r="U781" s="273"/>
      <c r="V781" s="273"/>
      <c r="W781" s="273"/>
      <c r="X781" s="39"/>
      <c r="Y781" s="273"/>
      <c r="Z781" s="273"/>
      <c r="AA781" s="273"/>
      <c r="AB781" s="273"/>
      <c r="AC781" s="273"/>
      <c r="AD781" s="273"/>
      <c r="AE781" s="273"/>
      <c r="AF781" s="273"/>
      <c r="AG781" s="273"/>
      <c r="AH781" s="273"/>
      <c r="AI781" s="273"/>
      <c r="AJ781" s="273"/>
      <c r="AK781" s="273"/>
      <c r="AL781" s="273"/>
      <c r="AM781" s="273"/>
      <c r="AN781" s="273"/>
      <c r="AO781" s="273"/>
      <c r="AP781" s="273"/>
      <c r="AQ781" s="273"/>
      <c r="AR781" s="273"/>
      <c r="AS781" s="273"/>
      <c r="AT781" s="273"/>
      <c r="AU781" s="273"/>
      <c r="AV781" s="273"/>
    </row>
    <row r="782" spans="2:48" ht="12.75">
      <c r="B782" s="273"/>
      <c r="C782" s="273"/>
      <c r="D782" s="273"/>
      <c r="E782" s="273"/>
      <c r="F782" s="273"/>
      <c r="G782" s="273"/>
      <c r="H782" s="39"/>
      <c r="I782" s="273"/>
      <c r="J782" s="273"/>
      <c r="K782" s="273"/>
      <c r="L782" s="273"/>
      <c r="M782" s="273"/>
      <c r="N782" s="273"/>
      <c r="O782" s="273"/>
      <c r="P782" s="273"/>
      <c r="Q782" s="39"/>
      <c r="R782" s="273"/>
      <c r="S782" s="273"/>
      <c r="T782" s="273"/>
      <c r="U782" s="273"/>
      <c r="V782" s="273"/>
      <c r="W782" s="273"/>
      <c r="X782" s="39"/>
      <c r="Y782" s="273"/>
      <c r="Z782" s="273"/>
      <c r="AA782" s="273"/>
      <c r="AB782" s="273"/>
      <c r="AC782" s="273"/>
      <c r="AD782" s="273"/>
      <c r="AE782" s="273"/>
      <c r="AF782" s="273"/>
      <c r="AG782" s="273"/>
      <c r="AH782" s="273"/>
      <c r="AI782" s="273"/>
      <c r="AJ782" s="273"/>
      <c r="AK782" s="273"/>
      <c r="AL782" s="273"/>
      <c r="AM782" s="273"/>
      <c r="AN782" s="273"/>
      <c r="AO782" s="273"/>
      <c r="AP782" s="273"/>
      <c r="AQ782" s="273"/>
      <c r="AR782" s="273"/>
      <c r="AS782" s="273"/>
      <c r="AT782" s="273"/>
      <c r="AU782" s="273"/>
      <c r="AV782" s="273"/>
    </row>
    <row r="783" spans="2:48" ht="12.75">
      <c r="B783" s="273"/>
      <c r="C783" s="273"/>
      <c r="D783" s="273"/>
      <c r="E783" s="273"/>
      <c r="F783" s="273"/>
      <c r="G783" s="273"/>
      <c r="H783" s="39"/>
      <c r="I783" s="273"/>
      <c r="J783" s="273"/>
      <c r="K783" s="273"/>
      <c r="L783" s="273"/>
      <c r="M783" s="273"/>
      <c r="N783" s="273"/>
      <c r="O783" s="273"/>
      <c r="P783" s="273"/>
      <c r="Q783" s="39"/>
      <c r="R783" s="273"/>
      <c r="S783" s="273"/>
      <c r="T783" s="273"/>
      <c r="U783" s="273"/>
      <c r="V783" s="273"/>
      <c r="W783" s="273"/>
      <c r="X783" s="39"/>
      <c r="Y783" s="273"/>
      <c r="Z783" s="273"/>
      <c r="AA783" s="273"/>
      <c r="AB783" s="273"/>
      <c r="AC783" s="273"/>
      <c r="AD783" s="273"/>
      <c r="AE783" s="273"/>
      <c r="AF783" s="273"/>
      <c r="AG783" s="273"/>
      <c r="AH783" s="273"/>
      <c r="AI783" s="273"/>
      <c r="AJ783" s="273"/>
      <c r="AK783" s="273"/>
      <c r="AL783" s="273"/>
      <c r="AM783" s="273"/>
      <c r="AN783" s="273"/>
      <c r="AO783" s="273"/>
      <c r="AP783" s="273"/>
      <c r="AQ783" s="273"/>
      <c r="AR783" s="273"/>
      <c r="AS783" s="273"/>
      <c r="AT783" s="273"/>
      <c r="AU783" s="273"/>
      <c r="AV783" s="273"/>
    </row>
    <row r="784" spans="2:48" ht="12.75">
      <c r="B784" s="273"/>
      <c r="C784" s="273"/>
      <c r="D784" s="273"/>
      <c r="E784" s="273"/>
      <c r="F784" s="273"/>
      <c r="G784" s="273"/>
      <c r="H784" s="39"/>
      <c r="I784" s="273"/>
      <c r="J784" s="273"/>
      <c r="K784" s="273"/>
      <c r="L784" s="273"/>
      <c r="M784" s="273"/>
      <c r="N784" s="273"/>
      <c r="O784" s="273"/>
      <c r="P784" s="273"/>
      <c r="Q784" s="39"/>
      <c r="R784" s="273"/>
      <c r="S784" s="273"/>
      <c r="T784" s="273"/>
      <c r="U784" s="273"/>
      <c r="V784" s="273"/>
      <c r="W784" s="273"/>
      <c r="X784" s="39"/>
      <c r="Y784" s="273"/>
      <c r="Z784" s="273"/>
      <c r="AA784" s="273"/>
      <c r="AB784" s="273"/>
      <c r="AC784" s="273"/>
      <c r="AD784" s="273"/>
      <c r="AE784" s="273"/>
      <c r="AF784" s="273"/>
      <c r="AG784" s="273"/>
      <c r="AH784" s="273"/>
      <c r="AI784" s="273"/>
      <c r="AJ784" s="273"/>
      <c r="AK784" s="273"/>
      <c r="AL784" s="273"/>
      <c r="AM784" s="273"/>
      <c r="AN784" s="273"/>
      <c r="AO784" s="273"/>
      <c r="AP784" s="273"/>
      <c r="AQ784" s="273"/>
      <c r="AR784" s="273"/>
      <c r="AS784" s="273"/>
      <c r="AT784" s="273"/>
      <c r="AU784" s="273"/>
      <c r="AV784" s="273"/>
    </row>
    <row r="785" spans="2:48" ht="12.75">
      <c r="B785" s="273"/>
      <c r="C785" s="273"/>
      <c r="D785" s="273"/>
      <c r="E785" s="273"/>
      <c r="F785" s="273"/>
      <c r="G785" s="273"/>
      <c r="H785" s="39"/>
      <c r="I785" s="273"/>
      <c r="J785" s="273"/>
      <c r="K785" s="273"/>
      <c r="L785" s="273"/>
      <c r="M785" s="273"/>
      <c r="N785" s="273"/>
      <c r="O785" s="273"/>
      <c r="P785" s="273"/>
      <c r="Q785" s="39"/>
      <c r="R785" s="273"/>
      <c r="S785" s="273"/>
      <c r="T785" s="273"/>
      <c r="U785" s="273"/>
      <c r="V785" s="273"/>
      <c r="W785" s="273"/>
      <c r="X785" s="39"/>
      <c r="Y785" s="273"/>
      <c r="Z785" s="273"/>
      <c r="AA785" s="273"/>
      <c r="AB785" s="273"/>
      <c r="AC785" s="273"/>
      <c r="AD785" s="273"/>
      <c r="AE785" s="273"/>
      <c r="AF785" s="273"/>
      <c r="AG785" s="273"/>
      <c r="AH785" s="273"/>
      <c r="AI785" s="273"/>
      <c r="AJ785" s="273"/>
      <c r="AK785" s="273"/>
      <c r="AL785" s="273"/>
      <c r="AM785" s="273"/>
      <c r="AN785" s="273"/>
      <c r="AO785" s="273"/>
      <c r="AP785" s="273"/>
      <c r="AQ785" s="273"/>
      <c r="AR785" s="273"/>
      <c r="AS785" s="273"/>
      <c r="AT785" s="273"/>
      <c r="AU785" s="273"/>
      <c r="AV785" s="273"/>
    </row>
    <row r="786" spans="2:48" ht="12.75">
      <c r="B786" s="273"/>
      <c r="C786" s="273"/>
      <c r="D786" s="273"/>
      <c r="E786" s="273"/>
      <c r="F786" s="273"/>
      <c r="G786" s="273"/>
      <c r="H786" s="39"/>
      <c r="I786" s="273"/>
      <c r="J786" s="273"/>
      <c r="K786" s="273"/>
      <c r="L786" s="273"/>
      <c r="M786" s="273"/>
      <c r="N786" s="273"/>
      <c r="O786" s="273"/>
      <c r="P786" s="273"/>
      <c r="Q786" s="39"/>
      <c r="R786" s="273"/>
      <c r="S786" s="273"/>
      <c r="T786" s="273"/>
      <c r="U786" s="273"/>
      <c r="V786" s="273"/>
      <c r="W786" s="273"/>
      <c r="X786" s="39"/>
      <c r="Y786" s="273"/>
      <c r="Z786" s="273"/>
      <c r="AA786" s="273"/>
      <c r="AB786" s="273"/>
      <c r="AC786" s="273"/>
      <c r="AD786" s="273"/>
      <c r="AE786" s="273"/>
      <c r="AF786" s="273"/>
      <c r="AG786" s="273"/>
      <c r="AH786" s="273"/>
      <c r="AI786" s="273"/>
      <c r="AJ786" s="273"/>
      <c r="AK786" s="273"/>
      <c r="AL786" s="273"/>
      <c r="AM786" s="273"/>
      <c r="AN786" s="273"/>
      <c r="AO786" s="273"/>
      <c r="AP786" s="273"/>
      <c r="AQ786" s="273"/>
      <c r="AR786" s="273"/>
      <c r="AS786" s="273"/>
      <c r="AT786" s="273"/>
      <c r="AU786" s="273"/>
      <c r="AV786" s="273"/>
    </row>
    <row r="787" spans="2:48" ht="12.75">
      <c r="B787" s="273"/>
      <c r="C787" s="273"/>
      <c r="D787" s="273"/>
      <c r="E787" s="273"/>
      <c r="F787" s="273"/>
      <c r="G787" s="273"/>
      <c r="H787" s="39"/>
      <c r="I787" s="273"/>
      <c r="J787" s="273"/>
      <c r="K787" s="273"/>
      <c r="L787" s="273"/>
      <c r="M787" s="273"/>
      <c r="N787" s="273"/>
      <c r="O787" s="273"/>
      <c r="P787" s="273"/>
      <c r="Q787" s="39"/>
      <c r="R787" s="273"/>
      <c r="S787" s="273"/>
      <c r="T787" s="273"/>
      <c r="U787" s="273"/>
      <c r="V787" s="273"/>
      <c r="W787" s="273"/>
      <c r="X787" s="39"/>
      <c r="Y787" s="273"/>
      <c r="Z787" s="273"/>
      <c r="AA787" s="273"/>
      <c r="AB787" s="273"/>
      <c r="AC787" s="273"/>
      <c r="AD787" s="273"/>
      <c r="AE787" s="273"/>
      <c r="AF787" s="273"/>
      <c r="AG787" s="273"/>
      <c r="AH787" s="273"/>
      <c r="AI787" s="273"/>
      <c r="AJ787" s="273"/>
      <c r="AK787" s="273"/>
      <c r="AL787" s="273"/>
      <c r="AM787" s="273"/>
      <c r="AN787" s="273"/>
      <c r="AO787" s="273"/>
      <c r="AP787" s="273"/>
      <c r="AQ787" s="273"/>
      <c r="AR787" s="273"/>
      <c r="AS787" s="273"/>
      <c r="AT787" s="273"/>
      <c r="AU787" s="273"/>
      <c r="AV787" s="273"/>
    </row>
    <row r="788" spans="2:48" ht="12.75">
      <c r="B788" s="273"/>
      <c r="C788" s="273"/>
      <c r="D788" s="273"/>
      <c r="E788" s="273"/>
      <c r="F788" s="273"/>
      <c r="G788" s="273"/>
      <c r="H788" s="39"/>
      <c r="I788" s="273"/>
      <c r="J788" s="273"/>
      <c r="K788" s="273"/>
      <c r="L788" s="273"/>
      <c r="M788" s="273"/>
      <c r="N788" s="273"/>
      <c r="O788" s="273"/>
      <c r="P788" s="273"/>
      <c r="Q788" s="39"/>
      <c r="R788" s="273"/>
      <c r="S788" s="273"/>
      <c r="T788" s="273"/>
      <c r="U788" s="273"/>
      <c r="V788" s="273"/>
      <c r="W788" s="273"/>
      <c r="X788" s="39"/>
      <c r="Y788" s="273"/>
      <c r="Z788" s="273"/>
      <c r="AA788" s="273"/>
      <c r="AB788" s="273"/>
      <c r="AC788" s="273"/>
      <c r="AD788" s="273"/>
      <c r="AE788" s="273"/>
      <c r="AF788" s="273"/>
      <c r="AG788" s="273"/>
      <c r="AH788" s="273"/>
      <c r="AI788" s="273"/>
      <c r="AJ788" s="273"/>
      <c r="AK788" s="273"/>
      <c r="AL788" s="273"/>
      <c r="AM788" s="273"/>
      <c r="AN788" s="273"/>
      <c r="AO788" s="273"/>
      <c r="AP788" s="273"/>
      <c r="AQ788" s="273"/>
      <c r="AR788" s="273"/>
      <c r="AS788" s="273"/>
      <c r="AT788" s="273"/>
      <c r="AU788" s="273"/>
      <c r="AV788" s="273"/>
    </row>
    <row r="789" spans="2:48" ht="12.75">
      <c r="B789" s="273"/>
      <c r="C789" s="273"/>
      <c r="D789" s="273"/>
      <c r="E789" s="273"/>
      <c r="F789" s="273"/>
      <c r="G789" s="273"/>
      <c r="H789" s="39"/>
      <c r="I789" s="273"/>
      <c r="J789" s="273"/>
      <c r="K789" s="273"/>
      <c r="L789" s="273"/>
      <c r="M789" s="273"/>
      <c r="N789" s="273"/>
      <c r="O789" s="273"/>
      <c r="P789" s="273"/>
      <c r="Q789" s="39"/>
      <c r="R789" s="273"/>
      <c r="S789" s="273"/>
      <c r="T789" s="273"/>
      <c r="U789" s="273"/>
      <c r="V789" s="273"/>
      <c r="W789" s="273"/>
      <c r="X789" s="39"/>
      <c r="Y789" s="273"/>
      <c r="Z789" s="273"/>
      <c r="AA789" s="273"/>
      <c r="AB789" s="273"/>
      <c r="AC789" s="273"/>
      <c r="AD789" s="273"/>
      <c r="AE789" s="273"/>
      <c r="AF789" s="273"/>
      <c r="AG789" s="273"/>
      <c r="AH789" s="273"/>
      <c r="AI789" s="273"/>
      <c r="AJ789" s="273"/>
      <c r="AK789" s="273"/>
      <c r="AL789" s="273"/>
      <c r="AM789" s="273"/>
      <c r="AN789" s="273"/>
      <c r="AO789" s="273"/>
      <c r="AP789" s="273"/>
      <c r="AQ789" s="273"/>
      <c r="AR789" s="273"/>
      <c r="AS789" s="273"/>
      <c r="AT789" s="273"/>
      <c r="AU789" s="273"/>
      <c r="AV789" s="273"/>
    </row>
    <row r="790" spans="2:48" ht="12.75">
      <c r="B790" s="273"/>
      <c r="C790" s="273"/>
      <c r="D790" s="273"/>
      <c r="E790" s="273"/>
      <c r="F790" s="273"/>
      <c r="G790" s="273"/>
      <c r="H790" s="39"/>
      <c r="I790" s="273"/>
      <c r="J790" s="273"/>
      <c r="K790" s="273"/>
      <c r="L790" s="273"/>
      <c r="M790" s="273"/>
      <c r="N790" s="273"/>
      <c r="O790" s="273"/>
      <c r="P790" s="273"/>
      <c r="Q790" s="39"/>
      <c r="R790" s="273"/>
      <c r="S790" s="273"/>
      <c r="T790" s="273"/>
      <c r="U790" s="273"/>
      <c r="V790" s="273"/>
      <c r="W790" s="273"/>
      <c r="X790" s="39"/>
      <c r="Y790" s="273"/>
      <c r="Z790" s="273"/>
      <c r="AA790" s="273"/>
      <c r="AB790" s="273"/>
      <c r="AC790" s="273"/>
      <c r="AD790" s="273"/>
      <c r="AE790" s="273"/>
      <c r="AF790" s="273"/>
      <c r="AG790" s="273"/>
      <c r="AH790" s="273"/>
      <c r="AI790" s="273"/>
      <c r="AJ790" s="273"/>
      <c r="AK790" s="273"/>
      <c r="AL790" s="273"/>
      <c r="AM790" s="273"/>
      <c r="AN790" s="273"/>
      <c r="AO790" s="273"/>
      <c r="AP790" s="273"/>
      <c r="AQ790" s="273"/>
      <c r="AR790" s="273"/>
      <c r="AS790" s="273"/>
      <c r="AT790" s="273"/>
      <c r="AU790" s="273"/>
      <c r="AV790" s="273"/>
    </row>
    <row r="791" spans="2:48" ht="12.75">
      <c r="B791" s="273"/>
      <c r="C791" s="273"/>
      <c r="D791" s="273"/>
      <c r="E791" s="273"/>
      <c r="F791" s="273"/>
      <c r="G791" s="273"/>
      <c r="H791" s="39"/>
      <c r="I791" s="273"/>
      <c r="J791" s="273"/>
      <c r="K791" s="273"/>
      <c r="L791" s="273"/>
      <c r="M791" s="273"/>
      <c r="N791" s="273"/>
      <c r="O791" s="273"/>
      <c r="P791" s="273"/>
      <c r="Q791" s="39"/>
      <c r="R791" s="273"/>
      <c r="S791" s="273"/>
      <c r="T791" s="273"/>
      <c r="U791" s="273"/>
      <c r="V791" s="273"/>
      <c r="W791" s="273"/>
      <c r="X791" s="39"/>
      <c r="Y791" s="273"/>
      <c r="Z791" s="273"/>
      <c r="AA791" s="273"/>
      <c r="AB791" s="273"/>
      <c r="AC791" s="273"/>
      <c r="AD791" s="273"/>
      <c r="AE791" s="273"/>
      <c r="AF791" s="273"/>
      <c r="AG791" s="273"/>
      <c r="AH791" s="273"/>
      <c r="AI791" s="273"/>
      <c r="AJ791" s="273"/>
      <c r="AK791" s="273"/>
      <c r="AL791" s="273"/>
      <c r="AM791" s="273"/>
      <c r="AN791" s="273"/>
      <c r="AO791" s="273"/>
      <c r="AP791" s="273"/>
      <c r="AQ791" s="273"/>
      <c r="AR791" s="273"/>
      <c r="AS791" s="273"/>
      <c r="AT791" s="273"/>
      <c r="AU791" s="273"/>
      <c r="AV791" s="273"/>
    </row>
    <row r="792" spans="2:48" ht="12.75">
      <c r="B792" s="273"/>
      <c r="C792" s="273"/>
      <c r="D792" s="273"/>
      <c r="E792" s="273"/>
      <c r="F792" s="273"/>
      <c r="G792" s="273"/>
      <c r="H792" s="39"/>
      <c r="I792" s="273"/>
      <c r="J792" s="273"/>
      <c r="K792" s="273"/>
      <c r="L792" s="273"/>
      <c r="M792" s="273"/>
      <c r="N792" s="273"/>
      <c r="O792" s="273"/>
      <c r="P792" s="273"/>
      <c r="Q792" s="39"/>
      <c r="R792" s="273"/>
      <c r="S792" s="273"/>
      <c r="T792" s="273"/>
      <c r="U792" s="273"/>
      <c r="V792" s="273"/>
      <c r="W792" s="273"/>
      <c r="X792" s="39"/>
      <c r="Y792" s="273"/>
      <c r="Z792" s="273"/>
      <c r="AA792" s="273"/>
      <c r="AB792" s="273"/>
      <c r="AC792" s="273"/>
      <c r="AD792" s="273"/>
      <c r="AE792" s="273"/>
      <c r="AF792" s="273"/>
      <c r="AG792" s="273"/>
      <c r="AH792" s="273"/>
      <c r="AI792" s="273"/>
      <c r="AJ792" s="273"/>
      <c r="AK792" s="273"/>
      <c r="AL792" s="273"/>
      <c r="AM792" s="273"/>
      <c r="AN792" s="273"/>
      <c r="AO792" s="273"/>
      <c r="AP792" s="273"/>
      <c r="AQ792" s="273"/>
      <c r="AR792" s="273"/>
      <c r="AS792" s="273"/>
      <c r="AT792" s="273"/>
      <c r="AU792" s="273"/>
      <c r="AV792" s="273"/>
    </row>
    <row r="793" spans="2:48" ht="12.75">
      <c r="B793" s="273"/>
      <c r="C793" s="273"/>
      <c r="D793" s="273"/>
      <c r="E793" s="273"/>
      <c r="F793" s="273"/>
      <c r="G793" s="273"/>
      <c r="H793" s="39"/>
      <c r="I793" s="273"/>
      <c r="J793" s="273"/>
      <c r="K793" s="273"/>
      <c r="L793" s="273"/>
      <c r="M793" s="273"/>
      <c r="N793" s="273"/>
      <c r="O793" s="273"/>
      <c r="P793" s="273"/>
      <c r="Q793" s="39"/>
      <c r="R793" s="273"/>
      <c r="S793" s="273"/>
      <c r="T793" s="273"/>
      <c r="U793" s="273"/>
      <c r="V793" s="273"/>
      <c r="W793" s="273"/>
      <c r="X793" s="39"/>
      <c r="Y793" s="273"/>
      <c r="Z793" s="273"/>
      <c r="AA793" s="273"/>
      <c r="AB793" s="273"/>
      <c r="AC793" s="273"/>
      <c r="AD793" s="273"/>
      <c r="AE793" s="273"/>
      <c r="AF793" s="273"/>
      <c r="AG793" s="273"/>
      <c r="AH793" s="273"/>
      <c r="AI793" s="273"/>
      <c r="AJ793" s="273"/>
      <c r="AK793" s="273"/>
      <c r="AL793" s="273"/>
      <c r="AM793" s="273"/>
      <c r="AN793" s="273"/>
      <c r="AO793" s="273"/>
      <c r="AP793" s="273"/>
      <c r="AQ793" s="273"/>
      <c r="AR793" s="273"/>
      <c r="AS793" s="273"/>
      <c r="AT793" s="273"/>
      <c r="AU793" s="273"/>
      <c r="AV793" s="273"/>
    </row>
    <row r="794" spans="2:48" ht="12.75">
      <c r="B794" s="273"/>
      <c r="C794" s="273"/>
      <c r="D794" s="273"/>
      <c r="E794" s="273"/>
      <c r="F794" s="273"/>
      <c r="G794" s="273"/>
      <c r="H794" s="39"/>
      <c r="I794" s="273"/>
      <c r="J794" s="273"/>
      <c r="K794" s="273"/>
      <c r="L794" s="273"/>
      <c r="M794" s="273"/>
      <c r="N794" s="273"/>
      <c r="O794" s="273"/>
      <c r="P794" s="273"/>
      <c r="Q794" s="39"/>
      <c r="R794" s="273"/>
      <c r="S794" s="273"/>
      <c r="T794" s="273"/>
      <c r="U794" s="273"/>
      <c r="V794" s="273"/>
      <c r="W794" s="273"/>
      <c r="X794" s="39"/>
      <c r="Y794" s="273"/>
      <c r="Z794" s="273"/>
      <c r="AA794" s="273"/>
      <c r="AB794" s="273"/>
      <c r="AC794" s="273"/>
      <c r="AD794" s="273"/>
      <c r="AE794" s="273"/>
      <c r="AF794" s="273"/>
      <c r="AG794" s="273"/>
      <c r="AH794" s="273"/>
      <c r="AI794" s="273"/>
      <c r="AJ794" s="273"/>
      <c r="AK794" s="273"/>
      <c r="AL794" s="273"/>
      <c r="AM794" s="273"/>
      <c r="AN794" s="273"/>
      <c r="AO794" s="273"/>
      <c r="AP794" s="273"/>
      <c r="AQ794" s="273"/>
      <c r="AR794" s="273"/>
      <c r="AS794" s="273"/>
      <c r="AT794" s="273"/>
      <c r="AU794" s="273"/>
      <c r="AV794" s="273"/>
    </row>
    <row r="795" spans="2:48" ht="12.75">
      <c r="B795" s="273"/>
      <c r="C795" s="273"/>
      <c r="D795" s="273"/>
      <c r="E795" s="273"/>
      <c r="F795" s="273"/>
      <c r="G795" s="273"/>
      <c r="H795" s="39"/>
      <c r="I795" s="273"/>
      <c r="J795" s="273"/>
      <c r="K795" s="273"/>
      <c r="L795" s="273"/>
      <c r="M795" s="273"/>
      <c r="N795" s="273"/>
      <c r="O795" s="273"/>
      <c r="P795" s="273"/>
      <c r="Q795" s="39"/>
      <c r="R795" s="273"/>
      <c r="S795" s="273"/>
      <c r="T795" s="273"/>
      <c r="U795" s="273"/>
      <c r="V795" s="273"/>
      <c r="W795" s="273"/>
      <c r="X795" s="39"/>
      <c r="Y795" s="273"/>
      <c r="Z795" s="273"/>
      <c r="AA795" s="273"/>
      <c r="AB795" s="273"/>
      <c r="AC795" s="273"/>
      <c r="AD795" s="273"/>
      <c r="AE795" s="273"/>
      <c r="AF795" s="273"/>
      <c r="AG795" s="273"/>
      <c r="AH795" s="273"/>
      <c r="AI795" s="273"/>
      <c r="AJ795" s="273"/>
      <c r="AK795" s="273"/>
      <c r="AL795" s="273"/>
      <c r="AM795" s="273"/>
      <c r="AN795" s="273"/>
      <c r="AO795" s="273"/>
      <c r="AP795" s="273"/>
      <c r="AQ795" s="273"/>
      <c r="AR795" s="273"/>
      <c r="AS795" s="273"/>
      <c r="AT795" s="273"/>
      <c r="AU795" s="273"/>
      <c r="AV795" s="273"/>
    </row>
    <row r="796" spans="2:48" ht="12.75">
      <c r="B796" s="273"/>
      <c r="C796" s="273"/>
      <c r="D796" s="273"/>
      <c r="E796" s="273"/>
      <c r="F796" s="273"/>
      <c r="G796" s="273"/>
      <c r="H796" s="39"/>
      <c r="I796" s="273"/>
      <c r="J796" s="273"/>
      <c r="K796" s="273"/>
      <c r="L796" s="273"/>
      <c r="M796" s="273"/>
      <c r="N796" s="273"/>
      <c r="O796" s="273"/>
      <c r="P796" s="273"/>
      <c r="Q796" s="39"/>
      <c r="R796" s="273"/>
      <c r="S796" s="273"/>
      <c r="T796" s="273"/>
      <c r="U796" s="273"/>
      <c r="V796" s="273"/>
      <c r="W796" s="273"/>
      <c r="X796" s="39"/>
      <c r="Y796" s="273"/>
      <c r="Z796" s="273"/>
      <c r="AA796" s="273"/>
      <c r="AB796" s="273"/>
      <c r="AC796" s="273"/>
      <c r="AD796" s="273"/>
      <c r="AE796" s="273"/>
      <c r="AF796" s="273"/>
      <c r="AG796" s="273"/>
      <c r="AH796" s="273"/>
      <c r="AI796" s="273"/>
      <c r="AJ796" s="273"/>
      <c r="AK796" s="273"/>
      <c r="AL796" s="273"/>
      <c r="AM796" s="273"/>
      <c r="AN796" s="273"/>
      <c r="AO796" s="273"/>
      <c r="AP796" s="273"/>
      <c r="AQ796" s="273"/>
      <c r="AR796" s="273"/>
      <c r="AS796" s="273"/>
      <c r="AT796" s="273"/>
      <c r="AU796" s="273"/>
      <c r="AV796" s="273"/>
    </row>
    <row r="797" spans="2:48" ht="12.75">
      <c r="B797" s="273"/>
      <c r="C797" s="273"/>
      <c r="D797" s="273"/>
      <c r="E797" s="273"/>
      <c r="F797" s="273"/>
      <c r="G797" s="273"/>
      <c r="H797" s="39"/>
      <c r="I797" s="273"/>
      <c r="J797" s="273"/>
      <c r="K797" s="273"/>
      <c r="L797" s="273"/>
      <c r="M797" s="273"/>
      <c r="N797" s="273"/>
      <c r="O797" s="273"/>
      <c r="P797" s="273"/>
      <c r="Q797" s="39"/>
      <c r="R797" s="273"/>
      <c r="S797" s="273"/>
      <c r="T797" s="273"/>
      <c r="U797" s="273"/>
      <c r="V797" s="273"/>
      <c r="W797" s="273"/>
      <c r="X797" s="39"/>
      <c r="Y797" s="273"/>
      <c r="Z797" s="273"/>
      <c r="AA797" s="273"/>
      <c r="AB797" s="273"/>
      <c r="AC797" s="273"/>
      <c r="AD797" s="273"/>
      <c r="AE797" s="273"/>
      <c r="AF797" s="273"/>
      <c r="AG797" s="273"/>
      <c r="AH797" s="273"/>
      <c r="AI797" s="273"/>
      <c r="AJ797" s="273"/>
      <c r="AK797" s="273"/>
      <c r="AL797" s="273"/>
      <c r="AM797" s="273"/>
      <c r="AN797" s="273"/>
      <c r="AO797" s="273"/>
      <c r="AP797" s="273"/>
      <c r="AQ797" s="273"/>
      <c r="AR797" s="273"/>
      <c r="AS797" s="273"/>
      <c r="AT797" s="273"/>
      <c r="AU797" s="273"/>
      <c r="AV797" s="273"/>
    </row>
    <row r="798" spans="2:48" ht="12.75">
      <c r="B798" s="273"/>
      <c r="C798" s="273"/>
      <c r="D798" s="273"/>
      <c r="E798" s="273"/>
      <c r="F798" s="273"/>
      <c r="G798" s="273"/>
      <c r="H798" s="39"/>
      <c r="I798" s="273"/>
      <c r="J798" s="273"/>
      <c r="K798" s="273"/>
      <c r="L798" s="273"/>
      <c r="M798" s="273"/>
      <c r="N798" s="273"/>
      <c r="O798" s="273"/>
      <c r="P798" s="273"/>
      <c r="Q798" s="39"/>
      <c r="R798" s="273"/>
      <c r="S798" s="273"/>
      <c r="T798" s="273"/>
      <c r="U798" s="273"/>
      <c r="V798" s="273"/>
      <c r="W798" s="273"/>
      <c r="X798" s="39"/>
      <c r="Y798" s="273"/>
      <c r="Z798" s="273"/>
      <c r="AA798" s="273"/>
      <c r="AB798" s="273"/>
      <c r="AC798" s="273"/>
      <c r="AD798" s="273"/>
      <c r="AE798" s="273"/>
      <c r="AF798" s="273"/>
      <c r="AG798" s="273"/>
      <c r="AH798" s="273"/>
      <c r="AI798" s="273"/>
      <c r="AJ798" s="273"/>
      <c r="AK798" s="273"/>
      <c r="AL798" s="273"/>
      <c r="AM798" s="273"/>
      <c r="AN798" s="273"/>
      <c r="AO798" s="273"/>
      <c r="AP798" s="273"/>
      <c r="AQ798" s="273"/>
      <c r="AR798" s="273"/>
      <c r="AS798" s="273"/>
      <c r="AT798" s="273"/>
      <c r="AU798" s="273"/>
      <c r="AV798" s="273"/>
    </row>
    <row r="799" spans="2:48" ht="12.75">
      <c r="B799" s="273"/>
      <c r="C799" s="273"/>
      <c r="D799" s="273"/>
      <c r="E799" s="273"/>
      <c r="F799" s="273"/>
      <c r="G799" s="273"/>
      <c r="H799" s="39"/>
      <c r="I799" s="273"/>
      <c r="J799" s="273"/>
      <c r="K799" s="273"/>
      <c r="L799" s="273"/>
      <c r="M799" s="273"/>
      <c r="N799" s="273"/>
      <c r="O799" s="273"/>
      <c r="P799" s="273"/>
      <c r="Q799" s="39"/>
      <c r="R799" s="273"/>
      <c r="S799" s="273"/>
      <c r="T799" s="273"/>
      <c r="U799" s="273"/>
      <c r="V799" s="273"/>
      <c r="W799" s="273"/>
      <c r="X799" s="39"/>
      <c r="Y799" s="273"/>
      <c r="Z799" s="273"/>
      <c r="AA799" s="273"/>
      <c r="AB799" s="273"/>
      <c r="AC799" s="273"/>
      <c r="AD799" s="273"/>
      <c r="AE799" s="273"/>
      <c r="AF799" s="273"/>
      <c r="AG799" s="273"/>
      <c r="AH799" s="273"/>
      <c r="AI799" s="273"/>
      <c r="AJ799" s="273"/>
      <c r="AK799" s="273"/>
      <c r="AL799" s="273"/>
      <c r="AM799" s="273"/>
      <c r="AN799" s="273"/>
      <c r="AO799" s="273"/>
      <c r="AP799" s="273"/>
      <c r="AQ799" s="273"/>
      <c r="AR799" s="273"/>
      <c r="AS799" s="273"/>
      <c r="AT799" s="273"/>
      <c r="AU799" s="273"/>
      <c r="AV799" s="273"/>
    </row>
    <row r="800" spans="2:48" ht="12.75">
      <c r="B800" s="273"/>
      <c r="C800" s="273"/>
      <c r="D800" s="273"/>
      <c r="E800" s="273"/>
      <c r="F800" s="273"/>
      <c r="G800" s="273"/>
      <c r="H800" s="39"/>
      <c r="I800" s="273"/>
      <c r="J800" s="273"/>
      <c r="K800" s="273"/>
      <c r="L800" s="273"/>
      <c r="M800" s="273"/>
      <c r="N800" s="273"/>
      <c r="O800" s="273"/>
      <c r="P800" s="273"/>
      <c r="Q800" s="39"/>
      <c r="R800" s="273"/>
      <c r="S800" s="273"/>
      <c r="T800" s="273"/>
      <c r="U800" s="273"/>
      <c r="V800" s="273"/>
      <c r="W800" s="273"/>
      <c r="X800" s="39"/>
      <c r="Y800" s="273"/>
      <c r="Z800" s="273"/>
      <c r="AA800" s="273"/>
      <c r="AB800" s="273"/>
      <c r="AC800" s="273"/>
      <c r="AD800" s="273"/>
      <c r="AE800" s="273"/>
      <c r="AF800" s="273"/>
      <c r="AG800" s="273"/>
      <c r="AH800" s="273"/>
      <c r="AI800" s="273"/>
      <c r="AJ800" s="273"/>
      <c r="AK800" s="273"/>
      <c r="AL800" s="273"/>
      <c r="AM800" s="273"/>
      <c r="AN800" s="273"/>
      <c r="AO800" s="273"/>
      <c r="AP800" s="273"/>
      <c r="AQ800" s="273"/>
      <c r="AR800" s="273"/>
      <c r="AS800" s="273"/>
      <c r="AT800" s="273"/>
      <c r="AU800" s="273"/>
      <c r="AV800" s="273"/>
    </row>
    <row r="801" spans="2:48" ht="12.75">
      <c r="B801" s="273"/>
      <c r="C801" s="273"/>
      <c r="D801" s="273"/>
      <c r="E801" s="273"/>
      <c r="F801" s="273"/>
      <c r="G801" s="273"/>
      <c r="H801" s="39"/>
      <c r="I801" s="273"/>
      <c r="J801" s="273"/>
      <c r="K801" s="273"/>
      <c r="L801" s="273"/>
      <c r="M801" s="273"/>
      <c r="N801" s="273"/>
      <c r="O801" s="273"/>
      <c r="P801" s="273"/>
      <c r="Q801" s="39"/>
      <c r="R801" s="273"/>
      <c r="S801" s="273"/>
      <c r="T801" s="273"/>
      <c r="U801" s="273"/>
      <c r="V801" s="273"/>
      <c r="W801" s="273"/>
      <c r="X801" s="39"/>
      <c r="Y801" s="273"/>
      <c r="Z801" s="273"/>
      <c r="AA801" s="273"/>
      <c r="AB801" s="273"/>
      <c r="AC801" s="273"/>
      <c r="AD801" s="273"/>
      <c r="AE801" s="273"/>
      <c r="AF801" s="273"/>
      <c r="AG801" s="273"/>
      <c r="AH801" s="273"/>
      <c r="AI801" s="273"/>
      <c r="AJ801" s="273"/>
      <c r="AK801" s="273"/>
      <c r="AL801" s="273"/>
      <c r="AM801" s="273"/>
      <c r="AN801" s="273"/>
      <c r="AO801" s="273"/>
      <c r="AP801" s="273"/>
      <c r="AQ801" s="273"/>
      <c r="AR801" s="273"/>
      <c r="AS801" s="273"/>
      <c r="AT801" s="273"/>
      <c r="AU801" s="273"/>
      <c r="AV801" s="273"/>
    </row>
    <row r="802" spans="2:48" ht="12.75">
      <c r="B802" s="273"/>
      <c r="C802" s="273"/>
      <c r="D802" s="273"/>
      <c r="E802" s="273"/>
      <c r="F802" s="273"/>
      <c r="G802" s="273"/>
      <c r="H802" s="39"/>
      <c r="I802" s="273"/>
      <c r="J802" s="273"/>
      <c r="K802" s="273"/>
      <c r="L802" s="273"/>
      <c r="M802" s="273"/>
      <c r="N802" s="273"/>
      <c r="O802" s="273"/>
      <c r="P802" s="273"/>
      <c r="Q802" s="39"/>
      <c r="R802" s="273"/>
      <c r="S802" s="273"/>
      <c r="T802" s="273"/>
      <c r="U802" s="273"/>
      <c r="V802" s="273"/>
      <c r="W802" s="273"/>
      <c r="X802" s="39"/>
      <c r="Y802" s="273"/>
      <c r="Z802" s="273"/>
      <c r="AA802" s="273"/>
      <c r="AB802" s="273"/>
      <c r="AC802" s="273"/>
      <c r="AD802" s="273"/>
      <c r="AE802" s="273"/>
      <c r="AF802" s="273"/>
      <c r="AG802" s="273"/>
      <c r="AH802" s="273"/>
      <c r="AI802" s="273"/>
      <c r="AJ802" s="273"/>
      <c r="AK802" s="273"/>
      <c r="AL802" s="273"/>
      <c r="AM802" s="273"/>
      <c r="AN802" s="273"/>
      <c r="AO802" s="273"/>
      <c r="AP802" s="273"/>
      <c r="AQ802" s="273"/>
      <c r="AR802" s="273"/>
      <c r="AS802" s="273"/>
      <c r="AT802" s="273"/>
      <c r="AU802" s="273"/>
      <c r="AV802" s="273"/>
    </row>
    <row r="803" spans="2:48" ht="12.75">
      <c r="B803" s="273"/>
      <c r="C803" s="273"/>
      <c r="D803" s="273"/>
      <c r="E803" s="273"/>
      <c r="F803" s="273"/>
      <c r="G803" s="273"/>
      <c r="H803" s="39"/>
      <c r="I803" s="273"/>
      <c r="J803" s="273"/>
      <c r="K803" s="273"/>
      <c r="L803" s="273"/>
      <c r="M803" s="273"/>
      <c r="N803" s="273"/>
      <c r="O803" s="273"/>
      <c r="P803" s="273"/>
      <c r="Q803" s="39"/>
      <c r="R803" s="273"/>
      <c r="S803" s="273"/>
      <c r="T803" s="273"/>
      <c r="U803" s="273"/>
      <c r="V803" s="273"/>
      <c r="W803" s="273"/>
      <c r="X803" s="39"/>
      <c r="Y803" s="273"/>
      <c r="Z803" s="273"/>
      <c r="AA803" s="273"/>
      <c r="AB803" s="273"/>
      <c r="AC803" s="273"/>
      <c r="AD803" s="273"/>
      <c r="AE803" s="273"/>
      <c r="AF803" s="273"/>
      <c r="AG803" s="273"/>
      <c r="AH803" s="273"/>
      <c r="AI803" s="273"/>
      <c r="AJ803" s="273"/>
      <c r="AK803" s="273"/>
      <c r="AL803" s="273"/>
      <c r="AM803" s="273"/>
      <c r="AN803" s="273"/>
      <c r="AO803" s="273"/>
      <c r="AP803" s="273"/>
      <c r="AQ803" s="273"/>
      <c r="AR803" s="273"/>
      <c r="AS803" s="273"/>
      <c r="AT803" s="273"/>
      <c r="AU803" s="273"/>
      <c r="AV803" s="273"/>
    </row>
    <row r="804" spans="2:48" ht="12.75">
      <c r="B804" s="273"/>
      <c r="C804" s="273"/>
      <c r="D804" s="273"/>
      <c r="E804" s="273"/>
      <c r="F804" s="273"/>
      <c r="G804" s="273"/>
      <c r="H804" s="39"/>
      <c r="I804" s="273"/>
      <c r="J804" s="273"/>
      <c r="K804" s="273"/>
      <c r="L804" s="273"/>
      <c r="M804" s="273"/>
      <c r="N804" s="273"/>
      <c r="O804" s="273"/>
      <c r="P804" s="273"/>
      <c r="Q804" s="39"/>
      <c r="R804" s="273"/>
      <c r="S804" s="273"/>
      <c r="T804" s="273"/>
      <c r="U804" s="273"/>
      <c r="V804" s="273"/>
      <c r="W804" s="273"/>
      <c r="X804" s="39"/>
      <c r="Y804" s="273"/>
      <c r="Z804" s="273"/>
      <c r="AA804" s="273"/>
      <c r="AB804" s="273"/>
      <c r="AC804" s="273"/>
      <c r="AD804" s="273"/>
      <c r="AE804" s="273"/>
      <c r="AF804" s="273"/>
      <c r="AG804" s="273"/>
      <c r="AH804" s="273"/>
      <c r="AI804" s="273"/>
      <c r="AJ804" s="273"/>
      <c r="AK804" s="273"/>
      <c r="AL804" s="273"/>
      <c r="AM804" s="273"/>
      <c r="AN804" s="273"/>
      <c r="AO804" s="273"/>
      <c r="AP804" s="273"/>
      <c r="AQ804" s="273"/>
      <c r="AR804" s="273"/>
      <c r="AS804" s="273"/>
      <c r="AT804" s="273"/>
      <c r="AU804" s="273"/>
      <c r="AV804" s="273"/>
    </row>
    <row r="805" spans="2:48" ht="12.75">
      <c r="B805" s="273"/>
      <c r="C805" s="273"/>
      <c r="D805" s="273"/>
      <c r="E805" s="273"/>
      <c r="F805" s="273"/>
      <c r="G805" s="273"/>
      <c r="H805" s="39"/>
      <c r="I805" s="273"/>
      <c r="J805" s="273"/>
      <c r="K805" s="273"/>
      <c r="L805" s="273"/>
      <c r="M805" s="273"/>
      <c r="N805" s="273"/>
      <c r="O805" s="273"/>
      <c r="P805" s="273"/>
      <c r="Q805" s="39"/>
      <c r="R805" s="273"/>
      <c r="S805" s="273"/>
      <c r="T805" s="273"/>
      <c r="U805" s="273"/>
      <c r="V805" s="273"/>
      <c r="W805" s="273"/>
      <c r="X805" s="39"/>
      <c r="Y805" s="273"/>
      <c r="Z805" s="273"/>
      <c r="AA805" s="273"/>
      <c r="AB805" s="273"/>
      <c r="AC805" s="273"/>
      <c r="AD805" s="273"/>
      <c r="AE805" s="273"/>
      <c r="AF805" s="273"/>
      <c r="AG805" s="273"/>
      <c r="AH805" s="273"/>
      <c r="AI805" s="273"/>
      <c r="AJ805" s="273"/>
      <c r="AK805" s="273"/>
      <c r="AL805" s="273"/>
      <c r="AM805" s="273"/>
      <c r="AN805" s="273"/>
      <c r="AO805" s="273"/>
      <c r="AP805" s="273"/>
      <c r="AQ805" s="273"/>
      <c r="AR805" s="273"/>
      <c r="AS805" s="273"/>
      <c r="AT805" s="273"/>
      <c r="AU805" s="273"/>
      <c r="AV805" s="273"/>
    </row>
    <row r="806" spans="2:48" ht="12.75">
      <c r="B806" s="273"/>
      <c r="C806" s="273"/>
      <c r="D806" s="273"/>
      <c r="E806" s="273"/>
      <c r="F806" s="273"/>
      <c r="G806" s="273"/>
      <c r="H806" s="39"/>
      <c r="I806" s="273"/>
      <c r="J806" s="273"/>
      <c r="K806" s="273"/>
      <c r="L806" s="273"/>
      <c r="M806" s="273"/>
      <c r="N806" s="273"/>
      <c r="O806" s="273"/>
      <c r="P806" s="273"/>
      <c r="Q806" s="39"/>
      <c r="R806" s="273"/>
      <c r="S806" s="273"/>
      <c r="T806" s="273"/>
      <c r="U806" s="273"/>
      <c r="V806" s="273"/>
      <c r="W806" s="273"/>
      <c r="X806" s="39"/>
      <c r="Y806" s="273"/>
      <c r="Z806" s="273"/>
      <c r="AA806" s="273"/>
      <c r="AB806" s="273"/>
      <c r="AC806" s="273"/>
      <c r="AD806" s="273"/>
      <c r="AE806" s="273"/>
      <c r="AF806" s="273"/>
      <c r="AG806" s="273"/>
      <c r="AH806" s="273"/>
      <c r="AI806" s="273"/>
      <c r="AJ806" s="273"/>
      <c r="AK806" s="273"/>
      <c r="AL806" s="273"/>
      <c r="AM806" s="273"/>
      <c r="AN806" s="273"/>
      <c r="AO806" s="273"/>
      <c r="AP806" s="273"/>
      <c r="AQ806" s="273"/>
      <c r="AR806" s="273"/>
      <c r="AS806" s="273"/>
      <c r="AT806" s="273"/>
      <c r="AU806" s="273"/>
      <c r="AV806" s="273"/>
    </row>
    <row r="807" spans="2:48" ht="12.75">
      <c r="B807" s="273"/>
      <c r="C807" s="273"/>
      <c r="D807" s="273"/>
      <c r="E807" s="273"/>
      <c r="F807" s="273"/>
      <c r="G807" s="273"/>
      <c r="H807" s="39"/>
      <c r="I807" s="273"/>
      <c r="J807" s="273"/>
      <c r="K807" s="273"/>
      <c r="L807" s="273"/>
      <c r="M807" s="273"/>
      <c r="N807" s="273"/>
      <c r="O807" s="273"/>
      <c r="P807" s="273"/>
      <c r="Q807" s="39"/>
      <c r="R807" s="273"/>
      <c r="S807" s="273"/>
      <c r="T807" s="273"/>
      <c r="U807" s="273"/>
      <c r="V807" s="273"/>
      <c r="W807" s="273"/>
      <c r="X807" s="39"/>
      <c r="Y807" s="273"/>
      <c r="Z807" s="273"/>
      <c r="AA807" s="273"/>
      <c r="AB807" s="273"/>
      <c r="AC807" s="273"/>
      <c r="AD807" s="273"/>
      <c r="AE807" s="273"/>
      <c r="AF807" s="273"/>
      <c r="AG807" s="273"/>
      <c r="AH807" s="273"/>
      <c r="AI807" s="273"/>
      <c r="AJ807" s="273"/>
      <c r="AK807" s="273"/>
      <c r="AL807" s="273"/>
      <c r="AM807" s="273"/>
      <c r="AN807" s="273"/>
      <c r="AO807" s="273"/>
      <c r="AP807" s="273"/>
      <c r="AQ807" s="273"/>
      <c r="AR807" s="273"/>
      <c r="AS807" s="273"/>
      <c r="AT807" s="273"/>
      <c r="AU807" s="273"/>
      <c r="AV807" s="273"/>
    </row>
    <row r="808" spans="2:48" ht="12.75">
      <c r="B808" s="273"/>
      <c r="C808" s="273"/>
      <c r="D808" s="273"/>
      <c r="E808" s="273"/>
      <c r="F808" s="273"/>
      <c r="G808" s="273"/>
      <c r="H808" s="39"/>
      <c r="I808" s="273"/>
      <c r="J808" s="273"/>
      <c r="K808" s="273"/>
      <c r="L808" s="273"/>
      <c r="M808" s="273"/>
      <c r="N808" s="273"/>
      <c r="O808" s="273"/>
      <c r="P808" s="273"/>
      <c r="Q808" s="39"/>
      <c r="R808" s="273"/>
      <c r="S808" s="273"/>
      <c r="T808" s="273"/>
      <c r="U808" s="273"/>
      <c r="V808" s="273"/>
      <c r="W808" s="273"/>
      <c r="X808" s="39"/>
      <c r="Y808" s="273"/>
      <c r="Z808" s="273"/>
      <c r="AA808" s="273"/>
      <c r="AB808" s="273"/>
      <c r="AC808" s="273"/>
      <c r="AD808" s="273"/>
      <c r="AE808" s="273"/>
      <c r="AF808" s="273"/>
      <c r="AG808" s="273"/>
      <c r="AH808" s="273"/>
      <c r="AI808" s="273"/>
      <c r="AJ808" s="273"/>
      <c r="AK808" s="273"/>
      <c r="AL808" s="273"/>
      <c r="AM808" s="273"/>
      <c r="AN808" s="273"/>
      <c r="AO808" s="273"/>
      <c r="AP808" s="273"/>
      <c r="AQ808" s="273"/>
      <c r="AR808" s="273"/>
      <c r="AS808" s="273"/>
      <c r="AT808" s="273"/>
      <c r="AU808" s="273"/>
      <c r="AV808" s="273"/>
    </row>
    <row r="809" spans="2:48" ht="12.75">
      <c r="B809" s="273"/>
      <c r="C809" s="273"/>
      <c r="D809" s="273"/>
      <c r="E809" s="273"/>
      <c r="F809" s="273"/>
      <c r="G809" s="273"/>
      <c r="H809" s="39"/>
      <c r="I809" s="273"/>
      <c r="J809" s="273"/>
      <c r="K809" s="273"/>
      <c r="L809" s="273"/>
      <c r="M809" s="273"/>
      <c r="N809" s="273"/>
      <c r="O809" s="273"/>
      <c r="P809" s="273"/>
      <c r="Q809" s="39"/>
      <c r="R809" s="273"/>
      <c r="S809" s="273"/>
      <c r="T809" s="273"/>
      <c r="U809" s="273"/>
      <c r="V809" s="273"/>
      <c r="W809" s="273"/>
      <c r="X809" s="39"/>
      <c r="Y809" s="273"/>
      <c r="Z809" s="273"/>
      <c r="AA809" s="273"/>
      <c r="AB809" s="273"/>
      <c r="AC809" s="273"/>
      <c r="AD809" s="273"/>
      <c r="AE809" s="273"/>
      <c r="AF809" s="273"/>
      <c r="AG809" s="273"/>
      <c r="AH809" s="273"/>
      <c r="AI809" s="273"/>
      <c r="AJ809" s="273"/>
      <c r="AK809" s="273"/>
      <c r="AL809" s="273"/>
      <c r="AM809" s="273"/>
      <c r="AN809" s="273"/>
      <c r="AO809" s="273"/>
      <c r="AP809" s="273"/>
      <c r="AQ809" s="273"/>
      <c r="AR809" s="273"/>
      <c r="AS809" s="273"/>
      <c r="AT809" s="273"/>
      <c r="AU809" s="273"/>
      <c r="AV809" s="273"/>
    </row>
    <row r="810" spans="2:48" ht="12.75">
      <c r="B810" s="273"/>
      <c r="C810" s="273"/>
      <c r="D810" s="273"/>
      <c r="E810" s="273"/>
      <c r="F810" s="273"/>
      <c r="G810" s="273"/>
      <c r="H810" s="39"/>
      <c r="I810" s="273"/>
      <c r="J810" s="273"/>
      <c r="K810" s="273"/>
      <c r="L810" s="273"/>
      <c r="M810" s="273"/>
      <c r="N810" s="273"/>
      <c r="O810" s="273"/>
      <c r="P810" s="273"/>
      <c r="Q810" s="39"/>
      <c r="R810" s="273"/>
      <c r="S810" s="273"/>
      <c r="T810" s="273"/>
      <c r="U810" s="273"/>
      <c r="V810" s="273"/>
      <c r="W810" s="273"/>
      <c r="X810" s="39"/>
      <c r="Y810" s="273"/>
      <c r="Z810" s="273"/>
      <c r="AA810" s="273"/>
      <c r="AB810" s="273"/>
      <c r="AC810" s="273"/>
      <c r="AD810" s="273"/>
      <c r="AE810" s="273"/>
      <c r="AF810" s="273"/>
      <c r="AG810" s="273"/>
      <c r="AH810" s="273"/>
      <c r="AI810" s="273"/>
      <c r="AJ810" s="273"/>
      <c r="AK810" s="273"/>
      <c r="AL810" s="273"/>
      <c r="AM810" s="273"/>
      <c r="AN810" s="273"/>
      <c r="AO810" s="273"/>
      <c r="AP810" s="273"/>
      <c r="AQ810" s="273"/>
      <c r="AR810" s="273"/>
      <c r="AS810" s="273"/>
      <c r="AT810" s="273"/>
      <c r="AU810" s="273"/>
      <c r="AV810" s="273"/>
    </row>
    <row r="811" spans="2:48" ht="12.75">
      <c r="B811" s="273"/>
      <c r="C811" s="273"/>
      <c r="D811" s="273"/>
      <c r="E811" s="273"/>
      <c r="F811" s="273"/>
      <c r="G811" s="273"/>
      <c r="H811" s="39"/>
      <c r="I811" s="273"/>
      <c r="J811" s="273"/>
      <c r="K811" s="273"/>
      <c r="L811" s="273"/>
      <c r="M811" s="273"/>
      <c r="N811" s="273"/>
      <c r="O811" s="273"/>
      <c r="P811" s="273"/>
      <c r="Q811" s="39"/>
      <c r="R811" s="273"/>
      <c r="S811" s="273"/>
      <c r="T811" s="273"/>
      <c r="U811" s="273"/>
      <c r="V811" s="273"/>
      <c r="W811" s="273"/>
      <c r="X811" s="39"/>
      <c r="Y811" s="273"/>
      <c r="Z811" s="273"/>
      <c r="AA811" s="273"/>
      <c r="AB811" s="273"/>
      <c r="AC811" s="273"/>
      <c r="AD811" s="273"/>
      <c r="AE811" s="273"/>
      <c r="AF811" s="273"/>
      <c r="AG811" s="273"/>
      <c r="AH811" s="273"/>
      <c r="AI811" s="273"/>
      <c r="AJ811" s="273"/>
      <c r="AK811" s="273"/>
      <c r="AL811" s="273"/>
      <c r="AM811" s="273"/>
      <c r="AN811" s="273"/>
      <c r="AO811" s="273"/>
      <c r="AP811" s="273"/>
      <c r="AQ811" s="273"/>
      <c r="AR811" s="273"/>
      <c r="AS811" s="273"/>
      <c r="AT811" s="273"/>
      <c r="AU811" s="273"/>
      <c r="AV811" s="273"/>
    </row>
    <row r="812" spans="2:48" ht="12.75">
      <c r="B812" s="273"/>
      <c r="C812" s="273"/>
      <c r="D812" s="273"/>
      <c r="E812" s="273"/>
      <c r="F812" s="273"/>
      <c r="G812" s="273"/>
      <c r="H812" s="39"/>
      <c r="I812" s="273"/>
      <c r="J812" s="273"/>
      <c r="K812" s="273"/>
      <c r="L812" s="273"/>
      <c r="M812" s="273"/>
      <c r="N812" s="273"/>
      <c r="O812" s="273"/>
      <c r="P812" s="273"/>
      <c r="Q812" s="39"/>
      <c r="R812" s="273"/>
      <c r="S812" s="273"/>
      <c r="T812" s="273"/>
      <c r="U812" s="273"/>
      <c r="V812" s="273"/>
      <c r="W812" s="273"/>
      <c r="X812" s="39"/>
      <c r="Y812" s="273"/>
      <c r="Z812" s="273"/>
      <c r="AA812" s="273"/>
      <c r="AB812" s="273"/>
      <c r="AC812" s="273"/>
      <c r="AD812" s="273"/>
      <c r="AE812" s="273"/>
      <c r="AF812" s="273"/>
      <c r="AG812" s="273"/>
      <c r="AH812" s="273"/>
      <c r="AI812" s="273"/>
      <c r="AJ812" s="273"/>
      <c r="AK812" s="273"/>
      <c r="AL812" s="273"/>
      <c r="AM812" s="273"/>
      <c r="AN812" s="273"/>
      <c r="AO812" s="273"/>
      <c r="AP812" s="273"/>
      <c r="AQ812" s="273"/>
      <c r="AR812" s="273"/>
      <c r="AS812" s="273"/>
      <c r="AT812" s="273"/>
      <c r="AU812" s="273"/>
      <c r="AV812" s="273"/>
    </row>
    <row r="813" spans="2:48" ht="12.75">
      <c r="B813" s="273"/>
      <c r="C813" s="273"/>
      <c r="D813" s="273"/>
      <c r="E813" s="273"/>
      <c r="F813" s="273"/>
      <c r="G813" s="273"/>
      <c r="H813" s="39"/>
      <c r="I813" s="273"/>
      <c r="J813" s="273"/>
      <c r="K813" s="273"/>
      <c r="L813" s="273"/>
      <c r="M813" s="273"/>
      <c r="N813" s="273"/>
      <c r="O813" s="273"/>
      <c r="P813" s="273"/>
      <c r="Q813" s="39"/>
      <c r="R813" s="273"/>
      <c r="S813" s="273"/>
      <c r="T813" s="273"/>
      <c r="U813" s="273"/>
      <c r="V813" s="273"/>
      <c r="W813" s="273"/>
      <c r="X813" s="39"/>
      <c r="Y813" s="273"/>
      <c r="Z813" s="273"/>
      <c r="AA813" s="273"/>
      <c r="AB813" s="273"/>
      <c r="AC813" s="273"/>
      <c r="AD813" s="273"/>
      <c r="AE813" s="273"/>
      <c r="AF813" s="273"/>
      <c r="AG813" s="273"/>
      <c r="AH813" s="273"/>
      <c r="AI813" s="273"/>
      <c r="AJ813" s="273"/>
      <c r="AK813" s="273"/>
      <c r="AL813" s="273"/>
      <c r="AM813" s="273"/>
      <c r="AN813" s="273"/>
      <c r="AO813" s="273"/>
      <c r="AP813" s="273"/>
      <c r="AQ813" s="273"/>
      <c r="AR813" s="273"/>
      <c r="AS813" s="273"/>
      <c r="AT813" s="273"/>
      <c r="AU813" s="273"/>
      <c r="AV813" s="273"/>
    </row>
    <row r="814" spans="2:48" ht="12.75">
      <c r="B814" s="273"/>
      <c r="C814" s="273"/>
      <c r="D814" s="273"/>
      <c r="E814" s="273"/>
      <c r="F814" s="273"/>
      <c r="G814" s="273"/>
      <c r="H814" s="39"/>
      <c r="I814" s="273"/>
      <c r="J814" s="273"/>
      <c r="K814" s="273"/>
      <c r="L814" s="273"/>
      <c r="M814" s="273"/>
      <c r="N814" s="273"/>
      <c r="O814" s="273"/>
      <c r="P814" s="273"/>
      <c r="Q814" s="39"/>
      <c r="R814" s="273"/>
      <c r="S814" s="273"/>
      <c r="T814" s="273"/>
      <c r="U814" s="273"/>
      <c r="V814" s="273"/>
      <c r="W814" s="273"/>
      <c r="X814" s="39"/>
      <c r="Y814" s="273"/>
      <c r="Z814" s="273"/>
      <c r="AA814" s="273"/>
      <c r="AB814" s="273"/>
      <c r="AC814" s="273"/>
      <c r="AD814" s="273"/>
      <c r="AE814" s="273"/>
      <c r="AF814" s="273"/>
      <c r="AG814" s="273"/>
      <c r="AH814" s="273"/>
      <c r="AI814" s="273"/>
      <c r="AJ814" s="273"/>
      <c r="AK814" s="273"/>
      <c r="AL814" s="273"/>
      <c r="AM814" s="273"/>
      <c r="AN814" s="273"/>
      <c r="AO814" s="273"/>
      <c r="AP814" s="273"/>
      <c r="AQ814" s="273"/>
      <c r="AR814" s="273"/>
      <c r="AS814" s="273"/>
      <c r="AT814" s="273"/>
      <c r="AU814" s="273"/>
      <c r="AV814" s="273"/>
    </row>
    <row r="815" spans="2:48" ht="12.75">
      <c r="B815" s="273"/>
      <c r="C815" s="273"/>
      <c r="D815" s="273"/>
      <c r="E815" s="273"/>
      <c r="F815" s="273"/>
      <c r="G815" s="273"/>
      <c r="H815" s="39"/>
      <c r="I815" s="273"/>
      <c r="J815" s="273"/>
      <c r="K815" s="273"/>
      <c r="L815" s="273"/>
      <c r="M815" s="273"/>
      <c r="N815" s="273"/>
      <c r="O815" s="273"/>
      <c r="P815" s="273"/>
      <c r="Q815" s="39"/>
      <c r="R815" s="273"/>
      <c r="S815" s="273"/>
      <c r="T815" s="273"/>
      <c r="U815" s="273"/>
      <c r="V815" s="273"/>
      <c r="W815" s="273"/>
      <c r="X815" s="39"/>
      <c r="Y815" s="273"/>
      <c r="Z815" s="273"/>
      <c r="AA815" s="273"/>
      <c r="AB815" s="273"/>
      <c r="AC815" s="273"/>
      <c r="AD815" s="273"/>
      <c r="AE815" s="273"/>
      <c r="AF815" s="273"/>
      <c r="AG815" s="273"/>
      <c r="AH815" s="273"/>
      <c r="AI815" s="273"/>
      <c r="AJ815" s="273"/>
      <c r="AK815" s="273"/>
      <c r="AL815" s="273"/>
      <c r="AM815" s="273"/>
      <c r="AN815" s="273"/>
      <c r="AO815" s="273"/>
      <c r="AP815" s="273"/>
      <c r="AQ815" s="273"/>
      <c r="AR815" s="273"/>
      <c r="AS815" s="273"/>
      <c r="AT815" s="273"/>
      <c r="AU815" s="273"/>
      <c r="AV815" s="273"/>
    </row>
    <row r="816" spans="2:48" ht="12.75">
      <c r="B816" s="273"/>
      <c r="C816" s="273"/>
      <c r="D816" s="273"/>
      <c r="E816" s="273"/>
      <c r="F816" s="273"/>
      <c r="G816" s="273"/>
      <c r="H816" s="39"/>
      <c r="I816" s="273"/>
      <c r="J816" s="273"/>
      <c r="K816" s="273"/>
      <c r="L816" s="273"/>
      <c r="M816" s="273"/>
      <c r="N816" s="273"/>
      <c r="O816" s="273"/>
      <c r="P816" s="273"/>
      <c r="Q816" s="39"/>
      <c r="R816" s="273"/>
      <c r="S816" s="273"/>
      <c r="T816" s="273"/>
      <c r="U816" s="273"/>
      <c r="V816" s="273"/>
      <c r="W816" s="273"/>
      <c r="X816" s="39"/>
      <c r="Y816" s="273"/>
      <c r="Z816" s="273"/>
      <c r="AA816" s="273"/>
      <c r="AB816" s="273"/>
      <c r="AC816" s="273"/>
      <c r="AD816" s="273"/>
      <c r="AE816" s="273"/>
      <c r="AF816" s="273"/>
      <c r="AG816" s="273"/>
      <c r="AH816" s="273"/>
      <c r="AI816" s="273"/>
      <c r="AJ816" s="273"/>
      <c r="AK816" s="273"/>
      <c r="AL816" s="273"/>
      <c r="AM816" s="273"/>
      <c r="AN816" s="273"/>
      <c r="AO816" s="273"/>
      <c r="AP816" s="273"/>
      <c r="AQ816" s="273"/>
      <c r="AR816" s="273"/>
      <c r="AS816" s="273"/>
      <c r="AT816" s="273"/>
      <c r="AU816" s="273"/>
      <c r="AV816" s="273"/>
    </row>
    <row r="817" spans="2:48" ht="12.75">
      <c r="B817" s="273"/>
      <c r="C817" s="273"/>
      <c r="D817" s="273"/>
      <c r="E817" s="273"/>
      <c r="F817" s="273"/>
      <c r="G817" s="273"/>
      <c r="H817" s="39"/>
      <c r="I817" s="273"/>
      <c r="J817" s="273"/>
      <c r="K817" s="273"/>
      <c r="L817" s="273"/>
      <c r="M817" s="273"/>
      <c r="N817" s="273"/>
      <c r="O817" s="273"/>
      <c r="P817" s="273"/>
      <c r="Q817" s="39"/>
      <c r="R817" s="273"/>
      <c r="S817" s="273"/>
      <c r="T817" s="273"/>
      <c r="U817" s="273"/>
      <c r="V817" s="273"/>
      <c r="W817" s="273"/>
      <c r="X817" s="39"/>
      <c r="Y817" s="273"/>
      <c r="Z817" s="273"/>
      <c r="AA817" s="273"/>
      <c r="AB817" s="273"/>
      <c r="AC817" s="273"/>
      <c r="AD817" s="273"/>
      <c r="AE817" s="273"/>
      <c r="AF817" s="273"/>
      <c r="AG817" s="273"/>
      <c r="AH817" s="273"/>
      <c r="AI817" s="273"/>
      <c r="AJ817" s="273"/>
      <c r="AK817" s="273"/>
      <c r="AL817" s="273"/>
      <c r="AM817" s="273"/>
      <c r="AN817" s="273"/>
      <c r="AO817" s="273"/>
      <c r="AP817" s="273"/>
      <c r="AQ817" s="273"/>
      <c r="AR817" s="273"/>
      <c r="AS817" s="273"/>
      <c r="AT817" s="273"/>
      <c r="AU817" s="273"/>
      <c r="AV817" s="273"/>
    </row>
    <row r="818" spans="2:48" ht="12.75">
      <c r="B818" s="273"/>
      <c r="C818" s="273"/>
      <c r="D818" s="273"/>
      <c r="E818" s="273"/>
      <c r="F818" s="273"/>
      <c r="G818" s="273"/>
      <c r="H818" s="39"/>
      <c r="I818" s="273"/>
      <c r="J818" s="273"/>
      <c r="K818" s="273"/>
      <c r="L818" s="273"/>
      <c r="M818" s="273"/>
      <c r="N818" s="273"/>
      <c r="O818" s="273"/>
      <c r="P818" s="273"/>
      <c r="Q818" s="39"/>
      <c r="R818" s="273"/>
      <c r="S818" s="273"/>
      <c r="T818" s="273"/>
      <c r="U818" s="273"/>
      <c r="V818" s="273"/>
      <c r="W818" s="273"/>
      <c r="X818" s="39"/>
      <c r="Y818" s="273"/>
      <c r="Z818" s="273"/>
      <c r="AA818" s="273"/>
      <c r="AB818" s="273"/>
      <c r="AC818" s="273"/>
      <c r="AD818" s="273"/>
      <c r="AE818" s="273"/>
      <c r="AF818" s="273"/>
      <c r="AG818" s="273"/>
      <c r="AH818" s="273"/>
      <c r="AI818" s="273"/>
      <c r="AJ818" s="273"/>
      <c r="AK818" s="273"/>
      <c r="AL818" s="273"/>
      <c r="AM818" s="273"/>
      <c r="AN818" s="273"/>
      <c r="AO818" s="273"/>
      <c r="AP818" s="273"/>
      <c r="AQ818" s="273"/>
      <c r="AR818" s="273"/>
      <c r="AS818" s="273"/>
      <c r="AT818" s="273"/>
      <c r="AU818" s="273"/>
      <c r="AV818" s="273"/>
    </row>
    <row r="819" spans="2:48" ht="12.75">
      <c r="B819" s="273"/>
      <c r="C819" s="273"/>
      <c r="D819" s="273"/>
      <c r="E819" s="273"/>
      <c r="F819" s="273"/>
      <c r="G819" s="273"/>
      <c r="H819" s="39"/>
      <c r="I819" s="273"/>
      <c r="J819" s="273"/>
      <c r="K819" s="273"/>
      <c r="L819" s="273"/>
      <c r="M819" s="273"/>
      <c r="N819" s="273"/>
      <c r="O819" s="273"/>
      <c r="P819" s="273"/>
      <c r="Q819" s="39"/>
      <c r="R819" s="273"/>
      <c r="S819" s="273"/>
      <c r="T819" s="273"/>
      <c r="U819" s="273"/>
      <c r="V819" s="273"/>
      <c r="W819" s="273"/>
      <c r="X819" s="39"/>
      <c r="Y819" s="273"/>
      <c r="Z819" s="273"/>
      <c r="AA819" s="273"/>
      <c r="AB819" s="273"/>
      <c r="AC819" s="273"/>
      <c r="AD819" s="273"/>
      <c r="AE819" s="273"/>
      <c r="AF819" s="273"/>
      <c r="AG819" s="273"/>
      <c r="AH819" s="273"/>
      <c r="AI819" s="273"/>
      <c r="AJ819" s="273"/>
      <c r="AK819" s="273"/>
      <c r="AL819" s="273"/>
      <c r="AM819" s="273"/>
      <c r="AN819" s="273"/>
      <c r="AO819" s="273"/>
      <c r="AP819" s="273"/>
      <c r="AQ819" s="273"/>
      <c r="AR819" s="273"/>
      <c r="AS819" s="273"/>
      <c r="AT819" s="273"/>
      <c r="AU819" s="273"/>
      <c r="AV819" s="273"/>
    </row>
    <row r="820" spans="2:48" ht="12.75">
      <c r="B820" s="273"/>
      <c r="C820" s="273"/>
      <c r="D820" s="273"/>
      <c r="E820" s="273"/>
      <c r="F820" s="273"/>
      <c r="G820" s="273"/>
      <c r="H820" s="39"/>
      <c r="I820" s="273"/>
      <c r="J820" s="273"/>
      <c r="K820" s="273"/>
      <c r="L820" s="273"/>
      <c r="M820" s="273"/>
      <c r="N820" s="273"/>
      <c r="O820" s="273"/>
      <c r="P820" s="273"/>
      <c r="Q820" s="39"/>
      <c r="R820" s="273"/>
      <c r="S820" s="273"/>
      <c r="T820" s="273"/>
      <c r="U820" s="273"/>
      <c r="V820" s="273"/>
      <c r="W820" s="273"/>
      <c r="X820" s="39"/>
      <c r="Y820" s="273"/>
      <c r="Z820" s="273"/>
      <c r="AA820" s="273"/>
      <c r="AB820" s="273"/>
      <c r="AC820" s="273"/>
      <c r="AD820" s="273"/>
      <c r="AE820" s="273"/>
      <c r="AF820" s="273"/>
      <c r="AG820" s="273"/>
      <c r="AH820" s="273"/>
      <c r="AI820" s="273"/>
      <c r="AJ820" s="273"/>
      <c r="AK820" s="273"/>
      <c r="AL820" s="273"/>
      <c r="AM820" s="273"/>
      <c r="AN820" s="273"/>
      <c r="AO820" s="273"/>
      <c r="AP820" s="273"/>
      <c r="AQ820" s="273"/>
      <c r="AR820" s="273"/>
      <c r="AS820" s="273"/>
      <c r="AT820" s="273"/>
      <c r="AU820" s="273"/>
      <c r="AV820" s="273"/>
    </row>
    <row r="821" spans="2:48" ht="12.75">
      <c r="B821" s="273"/>
      <c r="C821" s="273"/>
      <c r="D821" s="273"/>
      <c r="E821" s="273"/>
      <c r="F821" s="273"/>
      <c r="G821" s="273"/>
      <c r="H821" s="39"/>
      <c r="I821" s="273"/>
      <c r="J821" s="273"/>
      <c r="K821" s="273"/>
      <c r="L821" s="273"/>
      <c r="M821" s="273"/>
      <c r="N821" s="273"/>
      <c r="O821" s="273"/>
      <c r="P821" s="273"/>
      <c r="Q821" s="39"/>
      <c r="R821" s="273"/>
      <c r="S821" s="273"/>
      <c r="T821" s="273"/>
      <c r="U821" s="273"/>
      <c r="V821" s="273"/>
      <c r="W821" s="273"/>
      <c r="X821" s="39"/>
      <c r="Y821" s="273"/>
      <c r="Z821" s="273"/>
      <c r="AA821" s="273"/>
      <c r="AB821" s="273"/>
      <c r="AC821" s="273"/>
      <c r="AD821" s="273"/>
      <c r="AE821" s="273"/>
      <c r="AF821" s="273"/>
      <c r="AG821" s="273"/>
      <c r="AH821" s="273"/>
      <c r="AI821" s="273"/>
      <c r="AJ821" s="273"/>
      <c r="AK821" s="273"/>
      <c r="AL821" s="273"/>
      <c r="AM821" s="273"/>
      <c r="AN821" s="273"/>
      <c r="AO821" s="273"/>
      <c r="AP821" s="273"/>
      <c r="AQ821" s="273"/>
      <c r="AR821" s="273"/>
      <c r="AS821" s="273"/>
      <c r="AT821" s="273"/>
      <c r="AU821" s="273"/>
      <c r="AV821" s="273"/>
    </row>
    <row r="822" spans="2:48" ht="12.75">
      <c r="B822" s="273"/>
      <c r="C822" s="273"/>
      <c r="D822" s="273"/>
      <c r="E822" s="273"/>
      <c r="F822" s="273"/>
      <c r="G822" s="273"/>
      <c r="H822" s="39"/>
      <c r="I822" s="273"/>
      <c r="J822" s="273"/>
      <c r="K822" s="273"/>
      <c r="L822" s="273"/>
      <c r="M822" s="273"/>
      <c r="N822" s="273"/>
      <c r="O822" s="273"/>
      <c r="P822" s="273"/>
      <c r="Q822" s="39"/>
      <c r="R822" s="273"/>
      <c r="S822" s="273"/>
      <c r="T822" s="273"/>
      <c r="U822" s="273"/>
      <c r="V822" s="273"/>
      <c r="W822" s="273"/>
      <c r="X822" s="39"/>
      <c r="Y822" s="273"/>
      <c r="Z822" s="273"/>
      <c r="AA822" s="273"/>
      <c r="AB822" s="273"/>
      <c r="AC822" s="273"/>
      <c r="AD822" s="273"/>
      <c r="AE822" s="273"/>
      <c r="AF822" s="273"/>
      <c r="AG822" s="273"/>
      <c r="AH822" s="273"/>
      <c r="AI822" s="273"/>
      <c r="AJ822" s="273"/>
      <c r="AK822" s="273"/>
      <c r="AL822" s="273"/>
      <c r="AM822" s="273"/>
      <c r="AN822" s="273"/>
      <c r="AO822" s="273"/>
      <c r="AP822" s="273"/>
      <c r="AQ822" s="273"/>
      <c r="AR822" s="273"/>
      <c r="AS822" s="273"/>
      <c r="AT822" s="273"/>
      <c r="AU822" s="273"/>
      <c r="AV822" s="273"/>
    </row>
    <row r="823" spans="2:48" ht="12.75">
      <c r="B823" s="273"/>
      <c r="C823" s="273"/>
      <c r="D823" s="273"/>
      <c r="E823" s="273"/>
      <c r="F823" s="273"/>
      <c r="G823" s="273"/>
      <c r="H823" s="39"/>
      <c r="I823" s="273"/>
      <c r="J823" s="273"/>
      <c r="K823" s="273"/>
      <c r="L823" s="273"/>
      <c r="M823" s="273"/>
      <c r="N823" s="273"/>
      <c r="O823" s="273"/>
      <c r="P823" s="273"/>
      <c r="Q823" s="39"/>
      <c r="R823" s="273"/>
      <c r="S823" s="273"/>
      <c r="T823" s="273"/>
      <c r="U823" s="273"/>
      <c r="V823" s="273"/>
      <c r="W823" s="273"/>
      <c r="X823" s="39"/>
      <c r="Y823" s="273"/>
      <c r="Z823" s="273"/>
      <c r="AA823" s="273"/>
      <c r="AB823" s="273"/>
      <c r="AC823" s="273"/>
      <c r="AD823" s="273"/>
      <c r="AE823" s="273"/>
      <c r="AF823" s="273"/>
      <c r="AG823" s="273"/>
      <c r="AH823" s="273"/>
      <c r="AI823" s="273"/>
      <c r="AJ823" s="273"/>
      <c r="AK823" s="273"/>
      <c r="AL823" s="273"/>
      <c r="AM823" s="273"/>
      <c r="AN823" s="273"/>
      <c r="AO823" s="273"/>
      <c r="AP823" s="273"/>
      <c r="AQ823" s="273"/>
      <c r="AR823" s="273"/>
      <c r="AS823" s="273"/>
      <c r="AT823" s="273"/>
      <c r="AU823" s="273"/>
      <c r="AV823" s="273"/>
    </row>
    <row r="824" spans="2:48" ht="12.75">
      <c r="B824" s="273"/>
      <c r="C824" s="273"/>
      <c r="D824" s="273"/>
      <c r="E824" s="273"/>
      <c r="F824" s="273"/>
      <c r="G824" s="273"/>
      <c r="H824" s="39"/>
      <c r="I824" s="273"/>
      <c r="J824" s="273"/>
      <c r="K824" s="273"/>
      <c r="L824" s="273"/>
      <c r="M824" s="273"/>
      <c r="N824" s="273"/>
      <c r="O824" s="273"/>
      <c r="P824" s="273"/>
      <c r="Q824" s="39"/>
      <c r="R824" s="273"/>
      <c r="S824" s="273"/>
      <c r="T824" s="273"/>
      <c r="U824" s="273"/>
      <c r="V824" s="273"/>
      <c r="W824" s="273"/>
      <c r="X824" s="39"/>
      <c r="Y824" s="273"/>
      <c r="Z824" s="273"/>
      <c r="AA824" s="273"/>
      <c r="AB824" s="273"/>
      <c r="AC824" s="273"/>
      <c r="AD824" s="273"/>
      <c r="AE824" s="273"/>
      <c r="AF824" s="273"/>
      <c r="AG824" s="273"/>
      <c r="AH824" s="273"/>
      <c r="AI824" s="273"/>
      <c r="AJ824" s="273"/>
      <c r="AK824" s="273"/>
      <c r="AL824" s="273"/>
      <c r="AM824" s="273"/>
      <c r="AN824" s="273"/>
      <c r="AO824" s="273"/>
      <c r="AP824" s="273"/>
      <c r="AQ824" s="273"/>
      <c r="AR824" s="273"/>
      <c r="AS824" s="273"/>
      <c r="AT824" s="273"/>
      <c r="AU824" s="273"/>
      <c r="AV824" s="273"/>
    </row>
    <row r="825" spans="2:48" ht="12.75">
      <c r="B825" s="273"/>
      <c r="C825" s="273"/>
      <c r="D825" s="273"/>
      <c r="E825" s="273"/>
      <c r="F825" s="273"/>
      <c r="G825" s="273"/>
      <c r="H825" s="39"/>
      <c r="I825" s="273"/>
      <c r="J825" s="273"/>
      <c r="K825" s="273"/>
      <c r="L825" s="273"/>
      <c r="M825" s="273"/>
      <c r="N825" s="273"/>
      <c r="O825" s="273"/>
      <c r="P825" s="273"/>
      <c r="Q825" s="39"/>
      <c r="R825" s="273"/>
      <c r="S825" s="273"/>
      <c r="T825" s="273"/>
      <c r="U825" s="273"/>
      <c r="V825" s="273"/>
      <c r="W825" s="273"/>
      <c r="X825" s="39"/>
      <c r="Y825" s="273"/>
      <c r="Z825" s="273"/>
      <c r="AA825" s="273"/>
      <c r="AB825" s="273"/>
      <c r="AC825" s="273"/>
      <c r="AD825" s="273"/>
      <c r="AE825" s="273"/>
      <c r="AF825" s="273"/>
      <c r="AG825" s="273"/>
      <c r="AH825" s="273"/>
      <c r="AI825" s="273"/>
      <c r="AJ825" s="273"/>
      <c r="AK825" s="273"/>
      <c r="AL825" s="273"/>
      <c r="AM825" s="273"/>
      <c r="AN825" s="273"/>
      <c r="AO825" s="273"/>
      <c r="AP825" s="273"/>
      <c r="AQ825" s="273"/>
      <c r="AR825" s="273"/>
      <c r="AS825" s="273"/>
      <c r="AT825" s="273"/>
      <c r="AU825" s="273"/>
      <c r="AV825" s="273"/>
    </row>
    <row r="826" spans="2:48" ht="12.75">
      <c r="B826" s="273"/>
      <c r="C826" s="273"/>
      <c r="D826" s="273"/>
      <c r="E826" s="273"/>
      <c r="F826" s="273"/>
      <c r="G826" s="273"/>
      <c r="H826" s="39"/>
      <c r="I826" s="273"/>
      <c r="J826" s="273"/>
      <c r="K826" s="273"/>
      <c r="L826" s="273"/>
      <c r="M826" s="273"/>
      <c r="N826" s="273"/>
      <c r="O826" s="273"/>
      <c r="P826" s="273"/>
      <c r="Q826" s="39"/>
      <c r="R826" s="273"/>
      <c r="S826" s="273"/>
      <c r="T826" s="273"/>
      <c r="U826" s="273"/>
      <c r="V826" s="273"/>
      <c r="W826" s="273"/>
      <c r="X826" s="39"/>
      <c r="Y826" s="273"/>
      <c r="Z826" s="273"/>
      <c r="AA826" s="273"/>
      <c r="AB826" s="273"/>
      <c r="AC826" s="273"/>
      <c r="AD826" s="273"/>
      <c r="AE826" s="273"/>
      <c r="AF826" s="273"/>
      <c r="AG826" s="273"/>
      <c r="AH826" s="273"/>
      <c r="AI826" s="273"/>
      <c r="AJ826" s="273"/>
      <c r="AK826" s="273"/>
      <c r="AL826" s="273"/>
      <c r="AM826" s="273"/>
      <c r="AN826" s="273"/>
      <c r="AO826" s="273"/>
      <c r="AP826" s="273"/>
      <c r="AQ826" s="273"/>
      <c r="AR826" s="273"/>
      <c r="AS826" s="273"/>
      <c r="AT826" s="273"/>
      <c r="AU826" s="273"/>
      <c r="AV826" s="273"/>
    </row>
    <row r="827" spans="2:48" ht="12.75">
      <c r="B827" s="273"/>
      <c r="C827" s="273"/>
      <c r="D827" s="273"/>
      <c r="E827" s="273"/>
      <c r="F827" s="273"/>
      <c r="G827" s="273"/>
      <c r="H827" s="39"/>
      <c r="I827" s="273"/>
      <c r="J827" s="273"/>
      <c r="K827" s="273"/>
      <c r="L827" s="273"/>
      <c r="M827" s="273"/>
      <c r="N827" s="273"/>
      <c r="O827" s="273"/>
      <c r="P827" s="273"/>
      <c r="Q827" s="39"/>
      <c r="R827" s="273"/>
      <c r="S827" s="273"/>
      <c r="T827" s="273"/>
      <c r="U827" s="273"/>
      <c r="V827" s="273"/>
      <c r="W827" s="273"/>
      <c r="X827" s="39"/>
      <c r="Y827" s="273"/>
      <c r="Z827" s="273"/>
      <c r="AA827" s="273"/>
      <c r="AB827" s="273"/>
      <c r="AC827" s="273"/>
      <c r="AD827" s="273"/>
      <c r="AE827" s="273"/>
      <c r="AF827" s="273"/>
      <c r="AG827" s="273"/>
      <c r="AH827" s="273"/>
      <c r="AI827" s="273"/>
      <c r="AJ827" s="273"/>
      <c r="AK827" s="273"/>
      <c r="AL827" s="273"/>
      <c r="AM827" s="273"/>
      <c r="AN827" s="273"/>
      <c r="AO827" s="273"/>
      <c r="AP827" s="273"/>
      <c r="AQ827" s="273"/>
      <c r="AR827" s="273"/>
      <c r="AS827" s="273"/>
      <c r="AT827" s="273"/>
      <c r="AU827" s="273"/>
      <c r="AV827" s="273"/>
    </row>
    <row r="828" spans="2:48" ht="12.75">
      <c r="B828" s="273"/>
      <c r="C828" s="273"/>
      <c r="D828" s="273"/>
      <c r="E828" s="273"/>
      <c r="F828" s="273"/>
      <c r="G828" s="273"/>
      <c r="H828" s="39"/>
      <c r="I828" s="273"/>
      <c r="J828" s="273"/>
      <c r="K828" s="273"/>
      <c r="L828" s="273"/>
      <c r="M828" s="273"/>
      <c r="N828" s="273"/>
      <c r="O828" s="273"/>
      <c r="P828" s="273"/>
      <c r="Q828" s="39"/>
      <c r="R828" s="273"/>
      <c r="S828" s="273"/>
      <c r="T828" s="273"/>
      <c r="U828" s="273"/>
      <c r="V828" s="273"/>
      <c r="W828" s="273"/>
      <c r="X828" s="39"/>
      <c r="Y828" s="273"/>
      <c r="Z828" s="273"/>
      <c r="AA828" s="273"/>
      <c r="AB828" s="273"/>
      <c r="AC828" s="273"/>
      <c r="AD828" s="273"/>
      <c r="AE828" s="273"/>
      <c r="AF828" s="273"/>
      <c r="AG828" s="273"/>
      <c r="AH828" s="273"/>
      <c r="AI828" s="273"/>
      <c r="AJ828" s="273"/>
      <c r="AK828" s="273"/>
      <c r="AL828" s="273"/>
      <c r="AM828" s="273"/>
      <c r="AN828" s="273"/>
      <c r="AO828" s="273"/>
      <c r="AP828" s="273"/>
      <c r="AQ828" s="273"/>
      <c r="AR828" s="273"/>
      <c r="AS828" s="273"/>
      <c r="AT828" s="273"/>
      <c r="AU828" s="273"/>
      <c r="AV828" s="273"/>
    </row>
    <row r="829" spans="2:48" ht="12.75">
      <c r="B829" s="273"/>
      <c r="C829" s="273"/>
      <c r="D829" s="273"/>
      <c r="E829" s="273"/>
      <c r="F829" s="273"/>
      <c r="G829" s="273"/>
      <c r="H829" s="39"/>
      <c r="I829" s="273"/>
      <c r="J829" s="273"/>
      <c r="K829" s="273"/>
      <c r="L829" s="273"/>
      <c r="M829" s="273"/>
      <c r="N829" s="273"/>
      <c r="O829" s="273"/>
      <c r="P829" s="273"/>
      <c r="Q829" s="39"/>
      <c r="R829" s="273"/>
      <c r="S829" s="273"/>
      <c r="T829" s="273"/>
      <c r="U829" s="273"/>
      <c r="V829" s="273"/>
      <c r="W829" s="273"/>
      <c r="X829" s="39"/>
      <c r="Y829" s="273"/>
      <c r="Z829" s="273"/>
      <c r="AA829" s="273"/>
      <c r="AB829" s="273"/>
      <c r="AC829" s="273"/>
      <c r="AD829" s="273"/>
      <c r="AE829" s="273"/>
      <c r="AF829" s="273"/>
      <c r="AG829" s="273"/>
      <c r="AH829" s="273"/>
      <c r="AI829" s="273"/>
      <c r="AJ829" s="273"/>
      <c r="AK829" s="273"/>
      <c r="AL829" s="273"/>
      <c r="AM829" s="273"/>
      <c r="AN829" s="273"/>
      <c r="AO829" s="273"/>
      <c r="AP829" s="273"/>
      <c r="AQ829" s="273"/>
      <c r="AR829" s="273"/>
      <c r="AS829" s="273"/>
      <c r="AT829" s="273"/>
      <c r="AU829" s="273"/>
      <c r="AV829" s="273"/>
    </row>
    <row r="830" spans="2:48" ht="12.75">
      <c r="B830" s="273"/>
      <c r="C830" s="273"/>
      <c r="D830" s="273"/>
      <c r="E830" s="273"/>
      <c r="F830" s="273"/>
      <c r="G830" s="273"/>
      <c r="H830" s="39"/>
      <c r="I830" s="273"/>
      <c r="J830" s="273"/>
      <c r="K830" s="273"/>
      <c r="L830" s="273"/>
      <c r="M830" s="273"/>
      <c r="N830" s="273"/>
      <c r="O830" s="273"/>
      <c r="P830" s="273"/>
      <c r="Q830" s="39"/>
      <c r="R830" s="273"/>
      <c r="S830" s="273"/>
      <c r="T830" s="273"/>
      <c r="U830" s="273"/>
      <c r="V830" s="273"/>
      <c r="W830" s="273"/>
      <c r="X830" s="39"/>
      <c r="Y830" s="273"/>
      <c r="Z830" s="273"/>
      <c r="AA830" s="273"/>
      <c r="AB830" s="273"/>
      <c r="AC830" s="273"/>
      <c r="AD830" s="273"/>
      <c r="AE830" s="273"/>
      <c r="AF830" s="273"/>
      <c r="AG830" s="273"/>
      <c r="AH830" s="273"/>
      <c r="AI830" s="273"/>
      <c r="AJ830" s="273"/>
      <c r="AK830" s="273"/>
      <c r="AL830" s="273"/>
      <c r="AM830" s="273"/>
      <c r="AN830" s="273"/>
      <c r="AO830" s="273"/>
      <c r="AP830" s="273"/>
      <c r="AQ830" s="273"/>
      <c r="AR830" s="273"/>
      <c r="AS830" s="273"/>
      <c r="AT830" s="273"/>
      <c r="AU830" s="273"/>
      <c r="AV830" s="273"/>
    </row>
    <row r="831" spans="2:48" ht="12.75">
      <c r="B831" s="273"/>
      <c r="C831" s="273"/>
      <c r="D831" s="273"/>
      <c r="E831" s="273"/>
      <c r="F831" s="273"/>
      <c r="G831" s="273"/>
      <c r="H831" s="39"/>
      <c r="I831" s="273"/>
      <c r="J831" s="273"/>
      <c r="K831" s="273"/>
      <c r="L831" s="273"/>
      <c r="M831" s="273"/>
      <c r="N831" s="273"/>
      <c r="O831" s="273"/>
      <c r="P831" s="273"/>
      <c r="Q831" s="39"/>
      <c r="R831" s="273"/>
      <c r="S831" s="273"/>
      <c r="T831" s="273"/>
      <c r="U831" s="273"/>
      <c r="V831" s="273"/>
      <c r="W831" s="273"/>
      <c r="X831" s="39"/>
      <c r="Y831" s="273"/>
      <c r="Z831" s="273"/>
      <c r="AA831" s="273"/>
      <c r="AB831" s="273"/>
      <c r="AC831" s="273"/>
      <c r="AD831" s="273"/>
      <c r="AE831" s="273"/>
      <c r="AF831" s="273"/>
      <c r="AG831" s="273"/>
      <c r="AH831" s="273"/>
      <c r="AI831" s="273"/>
      <c r="AJ831" s="273"/>
      <c r="AK831" s="273"/>
      <c r="AL831" s="273"/>
      <c r="AM831" s="273"/>
      <c r="AN831" s="273"/>
      <c r="AO831" s="273"/>
      <c r="AP831" s="273"/>
      <c r="AQ831" s="273"/>
      <c r="AR831" s="273"/>
      <c r="AS831" s="273"/>
      <c r="AT831" s="273"/>
      <c r="AU831" s="273"/>
      <c r="AV831" s="273"/>
    </row>
    <row r="832" spans="2:48" ht="12.75">
      <c r="B832" s="273"/>
      <c r="C832" s="273"/>
      <c r="D832" s="273"/>
      <c r="E832" s="273"/>
      <c r="F832" s="273"/>
      <c r="G832" s="273"/>
      <c r="H832" s="39"/>
      <c r="I832" s="273"/>
      <c r="J832" s="273"/>
      <c r="K832" s="273"/>
      <c r="L832" s="273"/>
      <c r="M832" s="273"/>
      <c r="N832" s="273"/>
      <c r="O832" s="273"/>
      <c r="P832" s="273"/>
      <c r="Q832" s="39"/>
      <c r="R832" s="273"/>
      <c r="S832" s="273"/>
      <c r="T832" s="273"/>
      <c r="U832" s="273"/>
      <c r="V832" s="273"/>
      <c r="W832" s="273"/>
      <c r="X832" s="39"/>
      <c r="Y832" s="273"/>
      <c r="Z832" s="273"/>
      <c r="AA832" s="273"/>
      <c r="AB832" s="273"/>
      <c r="AC832" s="273"/>
      <c r="AD832" s="273"/>
      <c r="AE832" s="273"/>
      <c r="AF832" s="273"/>
      <c r="AG832" s="273"/>
      <c r="AH832" s="273"/>
      <c r="AI832" s="273"/>
      <c r="AJ832" s="273"/>
      <c r="AK832" s="273"/>
      <c r="AL832" s="273"/>
      <c r="AM832" s="273"/>
      <c r="AN832" s="273"/>
      <c r="AO832" s="273"/>
      <c r="AP832" s="273"/>
      <c r="AQ832" s="273"/>
      <c r="AR832" s="273"/>
      <c r="AS832" s="273"/>
      <c r="AT832" s="273"/>
      <c r="AU832" s="273"/>
      <c r="AV832" s="273"/>
    </row>
    <row r="833" spans="2:48" ht="12.75">
      <c r="B833" s="273"/>
      <c r="C833" s="273"/>
      <c r="D833" s="273"/>
      <c r="E833" s="273"/>
      <c r="F833" s="273"/>
      <c r="G833" s="273"/>
      <c r="H833" s="39"/>
      <c r="I833" s="273"/>
      <c r="J833" s="273"/>
      <c r="K833" s="273"/>
      <c r="L833" s="273"/>
      <c r="M833" s="273"/>
      <c r="N833" s="273"/>
      <c r="O833" s="273"/>
      <c r="P833" s="273"/>
      <c r="Q833" s="39"/>
      <c r="R833" s="273"/>
      <c r="S833" s="273"/>
      <c r="T833" s="273"/>
      <c r="U833" s="273"/>
      <c r="V833" s="273"/>
      <c r="W833" s="273"/>
      <c r="X833" s="39"/>
      <c r="Y833" s="273"/>
      <c r="Z833" s="273"/>
      <c r="AA833" s="273"/>
      <c r="AB833" s="273"/>
      <c r="AC833" s="273"/>
      <c r="AD833" s="273"/>
      <c r="AE833" s="273"/>
      <c r="AF833" s="273"/>
      <c r="AG833" s="273"/>
      <c r="AH833" s="273"/>
      <c r="AI833" s="273"/>
      <c r="AJ833" s="273"/>
      <c r="AK833" s="273"/>
      <c r="AL833" s="273"/>
      <c r="AM833" s="273"/>
      <c r="AN833" s="273"/>
      <c r="AO833" s="273"/>
      <c r="AP833" s="273"/>
      <c r="AQ833" s="273"/>
      <c r="AR833" s="273"/>
      <c r="AS833" s="273"/>
      <c r="AT833" s="273"/>
      <c r="AU833" s="273"/>
      <c r="AV833" s="273"/>
    </row>
    <row r="834" spans="2:48" ht="12.75">
      <c r="B834" s="273"/>
      <c r="C834" s="273"/>
      <c r="D834" s="273"/>
      <c r="E834" s="273"/>
      <c r="F834" s="273"/>
      <c r="G834" s="273"/>
      <c r="H834" s="39"/>
      <c r="I834" s="273"/>
      <c r="J834" s="273"/>
      <c r="K834" s="273"/>
      <c r="L834" s="273"/>
      <c r="M834" s="273"/>
      <c r="N834" s="273"/>
      <c r="O834" s="273"/>
      <c r="P834" s="273"/>
      <c r="Q834" s="39"/>
      <c r="R834" s="273"/>
      <c r="S834" s="273"/>
      <c r="T834" s="273"/>
      <c r="U834" s="273"/>
      <c r="V834" s="273"/>
      <c r="W834" s="273"/>
      <c r="X834" s="39"/>
      <c r="Y834" s="273"/>
      <c r="Z834" s="273"/>
      <c r="AA834" s="273"/>
      <c r="AB834" s="273"/>
      <c r="AC834" s="273"/>
      <c r="AD834" s="273"/>
      <c r="AE834" s="273"/>
      <c r="AF834" s="273"/>
      <c r="AG834" s="273"/>
      <c r="AH834" s="273"/>
      <c r="AI834" s="273"/>
      <c r="AJ834" s="273"/>
      <c r="AK834" s="273"/>
      <c r="AL834" s="273"/>
      <c r="AM834" s="273"/>
      <c r="AN834" s="273"/>
      <c r="AO834" s="273"/>
      <c r="AP834" s="273"/>
      <c r="AQ834" s="273"/>
      <c r="AR834" s="273"/>
      <c r="AS834" s="273"/>
      <c r="AT834" s="273"/>
      <c r="AU834" s="273"/>
      <c r="AV834" s="273"/>
    </row>
    <row r="835" spans="2:48" ht="12.75">
      <c r="B835" s="273"/>
      <c r="C835" s="273"/>
      <c r="D835" s="273"/>
      <c r="E835" s="273"/>
      <c r="F835" s="273"/>
      <c r="G835" s="273"/>
      <c r="H835" s="39"/>
      <c r="I835" s="273"/>
      <c r="J835" s="273"/>
      <c r="K835" s="273"/>
      <c r="L835" s="273"/>
      <c r="M835" s="273"/>
      <c r="N835" s="273"/>
      <c r="O835" s="273"/>
      <c r="P835" s="273"/>
      <c r="Q835" s="39"/>
      <c r="R835" s="273"/>
      <c r="S835" s="273"/>
      <c r="T835" s="273"/>
      <c r="U835" s="273"/>
      <c r="V835" s="273"/>
      <c r="W835" s="273"/>
      <c r="X835" s="39"/>
      <c r="Y835" s="273"/>
      <c r="Z835" s="273"/>
      <c r="AA835" s="273"/>
      <c r="AB835" s="273"/>
      <c r="AC835" s="273"/>
      <c r="AD835" s="273"/>
      <c r="AE835" s="273"/>
      <c r="AF835" s="273"/>
      <c r="AG835" s="273"/>
      <c r="AH835" s="273"/>
      <c r="AI835" s="273"/>
      <c r="AJ835" s="273"/>
      <c r="AK835" s="273"/>
      <c r="AL835" s="273"/>
      <c r="AM835" s="273"/>
      <c r="AN835" s="273"/>
      <c r="AO835" s="273"/>
      <c r="AP835" s="273"/>
      <c r="AQ835" s="273"/>
      <c r="AR835" s="273"/>
      <c r="AS835" s="273"/>
      <c r="AT835" s="273"/>
      <c r="AU835" s="273"/>
      <c r="AV835" s="273"/>
    </row>
    <row r="836" spans="2:48" ht="12.75">
      <c r="B836" s="273"/>
      <c r="C836" s="273"/>
      <c r="D836" s="273"/>
      <c r="E836" s="273"/>
      <c r="F836" s="273"/>
      <c r="G836" s="273"/>
      <c r="H836" s="39"/>
      <c r="I836" s="273"/>
      <c r="J836" s="273"/>
      <c r="K836" s="273"/>
      <c r="L836" s="273"/>
      <c r="M836" s="273"/>
      <c r="N836" s="273"/>
      <c r="O836" s="273"/>
      <c r="P836" s="273"/>
      <c r="Q836" s="39"/>
      <c r="R836" s="273"/>
      <c r="S836" s="273"/>
      <c r="T836" s="273"/>
      <c r="U836" s="273"/>
      <c r="V836" s="273"/>
      <c r="W836" s="273"/>
      <c r="X836" s="39"/>
      <c r="Y836" s="273"/>
      <c r="Z836" s="273"/>
      <c r="AA836" s="273"/>
      <c r="AB836" s="273"/>
      <c r="AC836" s="273"/>
      <c r="AD836" s="273"/>
      <c r="AE836" s="273"/>
      <c r="AF836" s="273"/>
      <c r="AG836" s="273"/>
      <c r="AH836" s="273"/>
      <c r="AI836" s="273"/>
      <c r="AJ836" s="273"/>
      <c r="AK836" s="273"/>
      <c r="AL836" s="273"/>
      <c r="AM836" s="273"/>
      <c r="AN836" s="273"/>
      <c r="AO836" s="273"/>
      <c r="AP836" s="273"/>
      <c r="AQ836" s="273"/>
      <c r="AR836" s="273"/>
      <c r="AS836" s="273"/>
      <c r="AT836" s="273"/>
      <c r="AU836" s="273"/>
      <c r="AV836" s="273"/>
    </row>
    <row r="837" spans="2:48" ht="12.75">
      <c r="B837" s="273"/>
      <c r="C837" s="273"/>
      <c r="D837" s="273"/>
      <c r="E837" s="273"/>
      <c r="F837" s="273"/>
      <c r="G837" s="273"/>
      <c r="H837" s="39"/>
      <c r="I837" s="273"/>
      <c r="J837" s="273"/>
      <c r="K837" s="273"/>
      <c r="L837" s="273"/>
      <c r="M837" s="273"/>
      <c r="N837" s="273"/>
      <c r="O837" s="273"/>
      <c r="P837" s="273"/>
      <c r="Q837" s="39"/>
      <c r="R837" s="273"/>
      <c r="S837" s="273"/>
      <c r="T837" s="273"/>
      <c r="U837" s="273"/>
      <c r="V837" s="273"/>
      <c r="W837" s="273"/>
      <c r="X837" s="39"/>
      <c r="Y837" s="273"/>
      <c r="Z837" s="273"/>
      <c r="AA837" s="273"/>
      <c r="AB837" s="273"/>
      <c r="AC837" s="273"/>
      <c r="AD837" s="273"/>
      <c r="AE837" s="273"/>
      <c r="AF837" s="273"/>
      <c r="AG837" s="273"/>
      <c r="AH837" s="273"/>
      <c r="AI837" s="273"/>
      <c r="AJ837" s="273"/>
      <c r="AK837" s="273"/>
      <c r="AL837" s="273"/>
      <c r="AM837" s="273"/>
      <c r="AN837" s="273"/>
      <c r="AO837" s="273"/>
      <c r="AP837" s="273"/>
      <c r="AQ837" s="273"/>
      <c r="AR837" s="273"/>
      <c r="AS837" s="273"/>
      <c r="AT837" s="273"/>
      <c r="AU837" s="273"/>
      <c r="AV837" s="273"/>
    </row>
    <row r="838" spans="2:48" ht="12.75">
      <c r="B838" s="273"/>
      <c r="C838" s="273"/>
      <c r="D838" s="273"/>
      <c r="E838" s="273"/>
      <c r="F838" s="273"/>
      <c r="G838" s="273"/>
      <c r="H838" s="39"/>
      <c r="I838" s="273"/>
      <c r="J838" s="273"/>
      <c r="K838" s="273"/>
      <c r="L838" s="273"/>
      <c r="M838" s="273"/>
      <c r="N838" s="273"/>
      <c r="O838" s="273"/>
      <c r="P838" s="273"/>
      <c r="Q838" s="39"/>
      <c r="R838" s="273"/>
      <c r="S838" s="273"/>
      <c r="T838" s="273"/>
      <c r="U838" s="273"/>
      <c r="V838" s="273"/>
      <c r="W838" s="273"/>
      <c r="X838" s="39"/>
      <c r="Y838" s="273"/>
      <c r="Z838" s="273"/>
      <c r="AA838" s="273"/>
      <c r="AB838" s="273"/>
      <c r="AC838" s="273"/>
      <c r="AD838" s="273"/>
      <c r="AE838" s="273"/>
      <c r="AF838" s="273"/>
      <c r="AG838" s="273"/>
      <c r="AH838" s="273"/>
      <c r="AI838" s="273"/>
      <c r="AJ838" s="273"/>
      <c r="AK838" s="273"/>
      <c r="AL838" s="273"/>
      <c r="AM838" s="273"/>
      <c r="AN838" s="273"/>
      <c r="AO838" s="273"/>
      <c r="AP838" s="273"/>
      <c r="AQ838" s="273"/>
      <c r="AR838" s="273"/>
      <c r="AS838" s="273"/>
      <c r="AT838" s="273"/>
      <c r="AU838" s="273"/>
      <c r="AV838" s="273"/>
    </row>
    <row r="839" spans="2:48" ht="12.75">
      <c r="B839" s="273"/>
      <c r="C839" s="273"/>
      <c r="D839" s="273"/>
      <c r="E839" s="273"/>
      <c r="F839" s="273"/>
      <c r="G839" s="273"/>
      <c r="H839" s="39"/>
      <c r="I839" s="273"/>
      <c r="J839" s="273"/>
      <c r="K839" s="273"/>
      <c r="L839" s="273"/>
      <c r="M839" s="273"/>
      <c r="N839" s="273"/>
      <c r="O839" s="273"/>
      <c r="P839" s="273"/>
      <c r="Q839" s="39"/>
      <c r="R839" s="273"/>
      <c r="S839" s="273"/>
      <c r="T839" s="273"/>
      <c r="U839" s="273"/>
      <c r="V839" s="273"/>
      <c r="W839" s="273"/>
      <c r="X839" s="39"/>
      <c r="Y839" s="273"/>
      <c r="Z839" s="273"/>
      <c r="AA839" s="273"/>
      <c r="AB839" s="273"/>
      <c r="AC839" s="273"/>
      <c r="AD839" s="273"/>
      <c r="AE839" s="273"/>
      <c r="AF839" s="273"/>
      <c r="AG839" s="273"/>
      <c r="AH839" s="273"/>
      <c r="AI839" s="273"/>
      <c r="AJ839" s="273"/>
      <c r="AK839" s="273"/>
      <c r="AL839" s="273"/>
      <c r="AM839" s="273"/>
      <c r="AN839" s="273"/>
      <c r="AO839" s="273"/>
      <c r="AP839" s="273"/>
      <c r="AQ839" s="273"/>
      <c r="AR839" s="273"/>
      <c r="AS839" s="273"/>
      <c r="AT839" s="273"/>
      <c r="AU839" s="273"/>
      <c r="AV839" s="273"/>
    </row>
    <row r="840" spans="2:48" ht="12.75">
      <c r="B840" s="273"/>
      <c r="C840" s="273"/>
      <c r="D840" s="273"/>
      <c r="E840" s="273"/>
      <c r="F840" s="273"/>
      <c r="G840" s="273"/>
      <c r="H840" s="39"/>
      <c r="I840" s="273"/>
      <c r="J840" s="273"/>
      <c r="K840" s="273"/>
      <c r="L840" s="273"/>
      <c r="M840" s="273"/>
      <c r="N840" s="273"/>
      <c r="O840" s="273"/>
      <c r="P840" s="273"/>
      <c r="Q840" s="39"/>
      <c r="R840" s="273"/>
      <c r="S840" s="273"/>
      <c r="T840" s="273"/>
      <c r="U840" s="273"/>
      <c r="V840" s="273"/>
      <c r="W840" s="273"/>
      <c r="X840" s="39"/>
      <c r="Y840" s="273"/>
      <c r="Z840" s="273"/>
      <c r="AA840" s="273"/>
      <c r="AB840" s="273"/>
      <c r="AC840" s="273"/>
      <c r="AD840" s="273"/>
      <c r="AE840" s="273"/>
      <c r="AF840" s="273"/>
      <c r="AG840" s="273"/>
      <c r="AH840" s="273"/>
      <c r="AI840" s="273"/>
      <c r="AJ840" s="273"/>
      <c r="AK840" s="273"/>
      <c r="AL840" s="273"/>
      <c r="AM840" s="273"/>
      <c r="AN840" s="273"/>
      <c r="AO840" s="273"/>
      <c r="AP840" s="273"/>
      <c r="AQ840" s="273"/>
      <c r="AR840" s="273"/>
      <c r="AS840" s="273"/>
      <c r="AT840" s="273"/>
      <c r="AU840" s="273"/>
      <c r="AV840" s="273"/>
    </row>
    <row r="841" spans="2:48" ht="12.75">
      <c r="B841" s="273"/>
      <c r="C841" s="273"/>
      <c r="D841" s="273"/>
      <c r="E841" s="273"/>
      <c r="F841" s="273"/>
      <c r="G841" s="273"/>
      <c r="H841" s="39"/>
      <c r="I841" s="273"/>
      <c r="J841" s="273"/>
      <c r="K841" s="273"/>
      <c r="L841" s="273"/>
      <c r="M841" s="273"/>
      <c r="N841" s="273"/>
      <c r="O841" s="273"/>
      <c r="P841" s="273"/>
      <c r="Q841" s="39"/>
      <c r="R841" s="273"/>
      <c r="S841" s="273"/>
      <c r="T841" s="273"/>
      <c r="U841" s="273"/>
      <c r="V841" s="273"/>
      <c r="W841" s="273"/>
      <c r="X841" s="39"/>
      <c r="Y841" s="273"/>
      <c r="Z841" s="273"/>
      <c r="AA841" s="273"/>
      <c r="AB841" s="273"/>
      <c r="AC841" s="273"/>
      <c r="AD841" s="273"/>
      <c r="AE841" s="273"/>
      <c r="AF841" s="273"/>
      <c r="AG841" s="273"/>
      <c r="AH841" s="273"/>
      <c r="AI841" s="273"/>
      <c r="AJ841" s="273"/>
      <c r="AK841" s="273"/>
      <c r="AL841" s="273"/>
      <c r="AM841" s="273"/>
      <c r="AN841" s="273"/>
      <c r="AO841" s="273"/>
      <c r="AP841" s="273"/>
      <c r="AQ841" s="273"/>
      <c r="AR841" s="273"/>
      <c r="AS841" s="273"/>
      <c r="AT841" s="273"/>
      <c r="AU841" s="273"/>
      <c r="AV841" s="273"/>
    </row>
    <row r="842" spans="2:48" ht="12.75">
      <c r="B842" s="273"/>
      <c r="C842" s="273"/>
      <c r="D842" s="273"/>
      <c r="E842" s="273"/>
      <c r="F842" s="273"/>
      <c r="G842" s="273"/>
      <c r="H842" s="39"/>
      <c r="I842" s="273"/>
      <c r="J842" s="273"/>
      <c r="K842" s="273"/>
      <c r="L842" s="273"/>
      <c r="M842" s="273"/>
      <c r="N842" s="273"/>
      <c r="O842" s="273"/>
      <c r="P842" s="273"/>
      <c r="Q842" s="39"/>
      <c r="R842" s="273"/>
      <c r="S842" s="273"/>
      <c r="T842" s="273"/>
      <c r="U842" s="273"/>
      <c r="V842" s="273"/>
      <c r="W842" s="273"/>
      <c r="X842" s="39"/>
      <c r="Y842" s="273"/>
      <c r="Z842" s="273"/>
      <c r="AA842" s="273"/>
      <c r="AB842" s="273"/>
      <c r="AC842" s="273"/>
      <c r="AD842" s="273"/>
      <c r="AE842" s="273"/>
      <c r="AF842" s="273"/>
      <c r="AG842" s="273"/>
      <c r="AH842" s="273"/>
      <c r="AI842" s="273"/>
      <c r="AJ842" s="273"/>
      <c r="AK842" s="273"/>
      <c r="AL842" s="273"/>
      <c r="AM842" s="273"/>
      <c r="AN842" s="273"/>
      <c r="AO842" s="273"/>
      <c r="AP842" s="273"/>
      <c r="AQ842" s="273"/>
      <c r="AR842" s="273"/>
      <c r="AS842" s="273"/>
      <c r="AT842" s="273"/>
      <c r="AU842" s="273"/>
      <c r="AV842" s="273"/>
    </row>
    <row r="843" spans="2:48" ht="12.75">
      <c r="B843" s="273"/>
      <c r="C843" s="273"/>
      <c r="D843" s="273"/>
      <c r="E843" s="273"/>
      <c r="F843" s="273"/>
      <c r="G843" s="273"/>
      <c r="H843" s="39"/>
      <c r="I843" s="273"/>
      <c r="J843" s="273"/>
      <c r="K843" s="273"/>
      <c r="L843" s="273"/>
      <c r="M843" s="273"/>
      <c r="N843" s="273"/>
      <c r="O843" s="273"/>
      <c r="P843" s="273"/>
      <c r="Q843" s="39"/>
      <c r="R843" s="273"/>
      <c r="S843" s="273"/>
      <c r="T843" s="273"/>
      <c r="U843" s="273"/>
      <c r="V843" s="273"/>
      <c r="W843" s="273"/>
      <c r="X843" s="39"/>
      <c r="Y843" s="273"/>
      <c r="Z843" s="273"/>
      <c r="AA843" s="273"/>
      <c r="AB843" s="273"/>
      <c r="AC843" s="273"/>
      <c r="AD843" s="273"/>
      <c r="AE843" s="273"/>
      <c r="AF843" s="273"/>
      <c r="AG843" s="273"/>
      <c r="AH843" s="273"/>
      <c r="AI843" s="273"/>
      <c r="AJ843" s="273"/>
      <c r="AK843" s="273"/>
      <c r="AL843" s="273"/>
      <c r="AM843" s="273"/>
      <c r="AN843" s="273"/>
      <c r="AO843" s="273"/>
      <c r="AP843" s="273"/>
      <c r="AQ843" s="273"/>
      <c r="AR843" s="273"/>
      <c r="AS843" s="273"/>
      <c r="AT843" s="273"/>
      <c r="AU843" s="273"/>
      <c r="AV843" s="273"/>
    </row>
    <row r="844" spans="2:48" ht="12.75">
      <c r="B844" s="273"/>
      <c r="C844" s="273"/>
      <c r="D844" s="273"/>
      <c r="E844" s="273"/>
      <c r="F844" s="273"/>
      <c r="G844" s="273"/>
      <c r="H844" s="39"/>
      <c r="I844" s="273"/>
      <c r="J844" s="273"/>
      <c r="K844" s="273"/>
      <c r="L844" s="273"/>
      <c r="M844" s="273"/>
      <c r="N844" s="273"/>
      <c r="O844" s="273"/>
      <c r="P844" s="273"/>
      <c r="Q844" s="39"/>
      <c r="R844" s="273"/>
      <c r="S844" s="273"/>
      <c r="T844" s="273"/>
      <c r="U844" s="273"/>
      <c r="V844" s="273"/>
      <c r="W844" s="273"/>
      <c r="X844" s="39"/>
      <c r="Y844" s="273"/>
      <c r="Z844" s="273"/>
      <c r="AA844" s="273"/>
      <c r="AB844" s="273"/>
      <c r="AC844" s="273"/>
      <c r="AD844" s="273"/>
      <c r="AE844" s="273"/>
      <c r="AF844" s="273"/>
      <c r="AG844" s="273"/>
      <c r="AH844" s="273"/>
      <c r="AI844" s="273"/>
      <c r="AJ844" s="273"/>
      <c r="AK844" s="273"/>
      <c r="AL844" s="273"/>
      <c r="AM844" s="273"/>
      <c r="AN844" s="273"/>
      <c r="AO844" s="273"/>
      <c r="AP844" s="273"/>
      <c r="AQ844" s="273"/>
      <c r="AR844" s="273"/>
      <c r="AS844" s="273"/>
      <c r="AT844" s="273"/>
      <c r="AU844" s="273"/>
      <c r="AV844" s="273"/>
    </row>
    <row r="845" spans="2:48" ht="12.75">
      <c r="B845" s="273"/>
      <c r="C845" s="273"/>
      <c r="D845" s="273"/>
      <c r="E845" s="273"/>
      <c r="F845" s="273"/>
      <c r="G845" s="273"/>
      <c r="H845" s="39"/>
      <c r="I845" s="273"/>
      <c r="J845" s="273"/>
      <c r="K845" s="273"/>
      <c r="L845" s="273"/>
      <c r="M845" s="273"/>
      <c r="N845" s="273"/>
      <c r="O845" s="273"/>
      <c r="P845" s="273"/>
      <c r="Q845" s="39"/>
      <c r="R845" s="273"/>
      <c r="S845" s="273"/>
      <c r="T845" s="273"/>
      <c r="U845" s="273"/>
      <c r="V845" s="273"/>
      <c r="W845" s="273"/>
      <c r="X845" s="39"/>
      <c r="Y845" s="273"/>
      <c r="Z845" s="273"/>
      <c r="AA845" s="273"/>
      <c r="AB845" s="273"/>
      <c r="AC845" s="273"/>
      <c r="AD845" s="273"/>
      <c r="AE845" s="273"/>
      <c r="AF845" s="273"/>
      <c r="AG845" s="273"/>
      <c r="AH845" s="273"/>
      <c r="AI845" s="273"/>
      <c r="AJ845" s="273"/>
      <c r="AK845" s="273"/>
      <c r="AL845" s="273"/>
      <c r="AM845" s="273"/>
      <c r="AN845" s="273"/>
      <c r="AO845" s="273"/>
      <c r="AP845" s="273"/>
      <c r="AQ845" s="273"/>
      <c r="AR845" s="273"/>
      <c r="AS845" s="273"/>
      <c r="AT845" s="273"/>
      <c r="AU845" s="273"/>
      <c r="AV845" s="273"/>
    </row>
    <row r="846" spans="2:48" ht="12.75">
      <c r="B846" s="273"/>
      <c r="C846" s="273"/>
      <c r="D846" s="273"/>
      <c r="E846" s="273"/>
      <c r="F846" s="273"/>
      <c r="G846" s="273"/>
      <c r="H846" s="39"/>
      <c r="I846" s="273"/>
      <c r="J846" s="273"/>
      <c r="K846" s="273"/>
      <c r="L846" s="273"/>
      <c r="M846" s="273"/>
      <c r="N846" s="273"/>
      <c r="O846" s="273"/>
      <c r="P846" s="273"/>
      <c r="Q846" s="39"/>
      <c r="R846" s="273"/>
      <c r="S846" s="273"/>
      <c r="T846" s="273"/>
      <c r="U846" s="273"/>
      <c r="V846" s="273"/>
      <c r="W846" s="273"/>
      <c r="X846" s="39"/>
      <c r="Y846" s="273"/>
      <c r="Z846" s="273"/>
      <c r="AA846" s="273"/>
      <c r="AB846" s="273"/>
      <c r="AC846" s="273"/>
      <c r="AD846" s="273"/>
      <c r="AE846" s="273"/>
      <c r="AF846" s="273"/>
      <c r="AG846" s="273"/>
      <c r="AH846" s="273"/>
      <c r="AI846" s="273"/>
      <c r="AJ846" s="273"/>
      <c r="AK846" s="273"/>
      <c r="AL846" s="273"/>
      <c r="AM846" s="273"/>
      <c r="AN846" s="273"/>
      <c r="AO846" s="273"/>
      <c r="AP846" s="273"/>
      <c r="AQ846" s="273"/>
      <c r="AR846" s="273"/>
      <c r="AS846" s="273"/>
      <c r="AT846" s="273"/>
      <c r="AU846" s="273"/>
      <c r="AV846" s="273"/>
    </row>
    <row r="847" spans="2:48" ht="12.75">
      <c r="B847" s="273"/>
      <c r="C847" s="273"/>
      <c r="D847" s="273"/>
      <c r="E847" s="273"/>
      <c r="F847" s="273"/>
      <c r="G847" s="273"/>
      <c r="H847" s="39"/>
      <c r="I847" s="273"/>
      <c r="J847" s="273"/>
      <c r="K847" s="273"/>
      <c r="L847" s="273"/>
      <c r="M847" s="273"/>
      <c r="N847" s="273"/>
      <c r="O847" s="273"/>
      <c r="P847" s="273"/>
      <c r="Q847" s="39"/>
      <c r="R847" s="273"/>
      <c r="S847" s="273"/>
      <c r="T847" s="273"/>
      <c r="U847" s="273"/>
      <c r="V847" s="273"/>
      <c r="W847" s="273"/>
      <c r="X847" s="39"/>
      <c r="Y847" s="273"/>
      <c r="Z847" s="273"/>
      <c r="AA847" s="273"/>
      <c r="AB847" s="273"/>
      <c r="AC847" s="273"/>
      <c r="AD847" s="273"/>
      <c r="AE847" s="273"/>
      <c r="AF847" s="273"/>
      <c r="AG847" s="273"/>
      <c r="AH847" s="273"/>
      <c r="AI847" s="273"/>
      <c r="AJ847" s="273"/>
      <c r="AK847" s="273"/>
      <c r="AL847" s="273"/>
      <c r="AM847" s="273"/>
      <c r="AN847" s="273"/>
      <c r="AO847" s="273"/>
      <c r="AP847" s="273"/>
      <c r="AQ847" s="273"/>
      <c r="AR847" s="273"/>
      <c r="AS847" s="273"/>
      <c r="AT847" s="273"/>
      <c r="AU847" s="273"/>
      <c r="AV847" s="273"/>
    </row>
    <row r="848" spans="2:48" ht="12.75">
      <c r="B848" s="273"/>
      <c r="C848" s="273"/>
      <c r="D848" s="273"/>
      <c r="E848" s="273"/>
      <c r="F848" s="273"/>
      <c r="G848" s="273"/>
      <c r="H848" s="39"/>
      <c r="I848" s="273"/>
      <c r="J848" s="273"/>
      <c r="K848" s="273"/>
      <c r="L848" s="273"/>
      <c r="M848" s="273"/>
      <c r="N848" s="273"/>
      <c r="O848" s="273"/>
      <c r="P848" s="273"/>
      <c r="Q848" s="39"/>
      <c r="R848" s="273"/>
      <c r="S848" s="273"/>
      <c r="T848" s="273"/>
      <c r="U848" s="273"/>
      <c r="V848" s="273"/>
      <c r="W848" s="273"/>
      <c r="X848" s="39"/>
      <c r="Y848" s="273"/>
      <c r="Z848" s="273"/>
      <c r="AA848" s="273"/>
      <c r="AB848" s="273"/>
      <c r="AC848" s="273"/>
      <c r="AD848" s="273"/>
      <c r="AE848" s="273"/>
      <c r="AF848" s="273"/>
      <c r="AG848" s="273"/>
      <c r="AH848" s="273"/>
      <c r="AI848" s="273"/>
      <c r="AJ848" s="273"/>
      <c r="AK848" s="273"/>
      <c r="AL848" s="273"/>
      <c r="AM848" s="273"/>
      <c r="AN848" s="273"/>
      <c r="AO848" s="273"/>
      <c r="AP848" s="273"/>
      <c r="AQ848" s="273"/>
      <c r="AR848" s="273"/>
      <c r="AS848" s="273"/>
      <c r="AT848" s="273"/>
      <c r="AU848" s="273"/>
      <c r="AV848" s="273"/>
    </row>
    <row r="849" spans="2:48" ht="12.75">
      <c r="B849" s="273"/>
      <c r="C849" s="273"/>
      <c r="D849" s="273"/>
      <c r="E849" s="273"/>
      <c r="F849" s="273"/>
      <c r="G849" s="273"/>
      <c r="H849" s="39"/>
      <c r="I849" s="273"/>
      <c r="J849" s="273"/>
      <c r="K849" s="273"/>
      <c r="L849" s="273"/>
      <c r="M849" s="273"/>
      <c r="N849" s="273"/>
      <c r="O849" s="273"/>
      <c r="P849" s="273"/>
      <c r="Q849" s="39"/>
      <c r="R849" s="273"/>
      <c r="S849" s="273"/>
      <c r="T849" s="273"/>
      <c r="U849" s="273"/>
      <c r="V849" s="273"/>
      <c r="W849" s="273"/>
      <c r="X849" s="39"/>
      <c r="Y849" s="273"/>
      <c r="Z849" s="273"/>
      <c r="AA849" s="273"/>
      <c r="AB849" s="273"/>
      <c r="AC849" s="273"/>
      <c r="AD849" s="273"/>
      <c r="AE849" s="273"/>
      <c r="AF849" s="273"/>
      <c r="AG849" s="273"/>
      <c r="AH849" s="273"/>
      <c r="AI849" s="273"/>
      <c r="AJ849" s="273"/>
      <c r="AK849" s="273"/>
      <c r="AL849" s="273"/>
      <c r="AM849" s="273"/>
      <c r="AN849" s="273"/>
      <c r="AO849" s="273"/>
      <c r="AP849" s="273"/>
      <c r="AQ849" s="273"/>
      <c r="AR849" s="273"/>
      <c r="AS849" s="273"/>
      <c r="AT849" s="273"/>
      <c r="AU849" s="273"/>
      <c r="AV849" s="273"/>
    </row>
    <row r="850" spans="2:48" ht="12.75">
      <c r="B850" s="273"/>
      <c r="C850" s="273"/>
      <c r="D850" s="273"/>
      <c r="E850" s="273"/>
      <c r="F850" s="273"/>
      <c r="G850" s="273"/>
      <c r="H850" s="39"/>
      <c r="I850" s="273"/>
      <c r="J850" s="273"/>
      <c r="K850" s="273"/>
      <c r="L850" s="273"/>
      <c r="M850" s="273"/>
      <c r="N850" s="273"/>
      <c r="O850" s="273"/>
      <c r="P850" s="273"/>
      <c r="Q850" s="39"/>
      <c r="R850" s="273"/>
      <c r="S850" s="273"/>
      <c r="T850" s="273"/>
      <c r="U850" s="273"/>
      <c r="V850" s="273"/>
      <c r="W850" s="273"/>
      <c r="X850" s="39"/>
      <c r="Y850" s="273"/>
      <c r="Z850" s="273"/>
      <c r="AA850" s="273"/>
      <c r="AB850" s="273"/>
      <c r="AC850" s="273"/>
      <c r="AD850" s="273"/>
      <c r="AE850" s="273"/>
      <c r="AF850" s="273"/>
      <c r="AG850" s="273"/>
      <c r="AH850" s="273"/>
      <c r="AI850" s="273"/>
      <c r="AJ850" s="273"/>
      <c r="AK850" s="273"/>
      <c r="AL850" s="273"/>
      <c r="AM850" s="273"/>
      <c r="AN850" s="273"/>
      <c r="AO850" s="273"/>
      <c r="AP850" s="273"/>
      <c r="AQ850" s="273"/>
      <c r="AR850" s="273"/>
      <c r="AS850" s="273"/>
      <c r="AT850" s="273"/>
      <c r="AU850" s="273"/>
      <c r="AV850" s="273"/>
    </row>
    <row r="851" spans="2:48" ht="12.75">
      <c r="B851" s="273"/>
      <c r="C851" s="273"/>
      <c r="D851" s="273"/>
      <c r="E851" s="273"/>
      <c r="F851" s="273"/>
      <c r="G851" s="273"/>
      <c r="H851" s="39"/>
      <c r="I851" s="273"/>
      <c r="J851" s="273"/>
      <c r="K851" s="273"/>
      <c r="L851" s="273"/>
      <c r="M851" s="273"/>
      <c r="N851" s="273"/>
      <c r="O851" s="273"/>
      <c r="P851" s="273"/>
      <c r="Q851" s="39"/>
      <c r="R851" s="273"/>
      <c r="S851" s="273"/>
      <c r="T851" s="273"/>
      <c r="U851" s="273"/>
      <c r="V851" s="273"/>
      <c r="W851" s="273"/>
      <c r="X851" s="39"/>
      <c r="Y851" s="273"/>
      <c r="Z851" s="273"/>
      <c r="AA851" s="273"/>
      <c r="AB851" s="273"/>
      <c r="AC851" s="273"/>
      <c r="AD851" s="273"/>
      <c r="AE851" s="273"/>
      <c r="AF851" s="273"/>
      <c r="AG851" s="273"/>
      <c r="AH851" s="273"/>
      <c r="AI851" s="273"/>
      <c r="AJ851" s="273"/>
      <c r="AK851" s="273"/>
      <c r="AL851" s="273"/>
      <c r="AM851" s="273"/>
      <c r="AN851" s="273"/>
      <c r="AO851" s="273"/>
      <c r="AP851" s="273"/>
      <c r="AQ851" s="273"/>
      <c r="AR851" s="273"/>
      <c r="AS851" s="273"/>
      <c r="AT851" s="273"/>
      <c r="AU851" s="273"/>
      <c r="AV851" s="273"/>
    </row>
    <row r="852" spans="2:48" ht="12.75">
      <c r="B852" s="273"/>
      <c r="C852" s="273"/>
      <c r="D852" s="273"/>
      <c r="E852" s="273"/>
      <c r="F852" s="273"/>
      <c r="G852" s="273"/>
      <c r="H852" s="39"/>
      <c r="I852" s="273"/>
      <c r="J852" s="273"/>
      <c r="K852" s="273"/>
      <c r="L852" s="273"/>
      <c r="M852" s="273"/>
      <c r="N852" s="273"/>
      <c r="O852" s="273"/>
      <c r="P852" s="273"/>
      <c r="Q852" s="39"/>
      <c r="R852" s="273"/>
      <c r="S852" s="273"/>
      <c r="T852" s="273"/>
      <c r="U852" s="273"/>
      <c r="V852" s="273"/>
      <c r="W852" s="273"/>
      <c r="X852" s="39"/>
      <c r="Y852" s="273"/>
      <c r="Z852" s="273"/>
      <c r="AA852" s="273"/>
      <c r="AB852" s="273"/>
      <c r="AC852" s="273"/>
      <c r="AD852" s="273"/>
      <c r="AE852" s="273"/>
      <c r="AF852" s="273"/>
      <c r="AG852" s="273"/>
      <c r="AH852" s="273"/>
      <c r="AI852" s="273"/>
      <c r="AJ852" s="273"/>
      <c r="AK852" s="273"/>
      <c r="AL852" s="273"/>
      <c r="AM852" s="273"/>
      <c r="AN852" s="273"/>
      <c r="AO852" s="273"/>
      <c r="AP852" s="273"/>
      <c r="AQ852" s="273"/>
      <c r="AR852" s="273"/>
      <c r="AS852" s="273"/>
      <c r="AT852" s="273"/>
      <c r="AU852" s="273"/>
      <c r="AV852" s="273"/>
    </row>
    <row r="853" spans="2:48" ht="12.75">
      <c r="B853" s="273"/>
      <c r="C853" s="273"/>
      <c r="D853" s="273"/>
      <c r="E853" s="273"/>
      <c r="F853" s="273"/>
      <c r="G853" s="273"/>
      <c r="H853" s="39"/>
      <c r="I853" s="273"/>
      <c r="J853" s="273"/>
      <c r="K853" s="273"/>
      <c r="L853" s="273"/>
      <c r="M853" s="273"/>
      <c r="N853" s="273"/>
      <c r="O853" s="273"/>
      <c r="P853" s="273"/>
      <c r="Q853" s="39"/>
      <c r="R853" s="273"/>
      <c r="S853" s="273"/>
      <c r="T853" s="273"/>
      <c r="U853" s="273"/>
      <c r="V853" s="273"/>
      <c r="W853" s="273"/>
      <c r="X853" s="39"/>
      <c r="Y853" s="273"/>
      <c r="Z853" s="273"/>
      <c r="AA853" s="273"/>
      <c r="AB853" s="273"/>
      <c r="AC853" s="273"/>
      <c r="AD853" s="273"/>
      <c r="AE853" s="273"/>
      <c r="AF853" s="273"/>
      <c r="AG853" s="273"/>
      <c r="AH853" s="273"/>
      <c r="AI853" s="273"/>
      <c r="AJ853" s="273"/>
      <c r="AK853" s="273"/>
      <c r="AL853" s="273"/>
      <c r="AM853" s="273"/>
      <c r="AN853" s="273"/>
      <c r="AO853" s="273"/>
      <c r="AP853" s="273"/>
      <c r="AQ853" s="273"/>
      <c r="AR853" s="273"/>
      <c r="AS853" s="273"/>
      <c r="AT853" s="273"/>
      <c r="AU853" s="273"/>
      <c r="AV853" s="273"/>
    </row>
    <row r="854" spans="2:48" ht="12.75">
      <c r="B854" s="273"/>
      <c r="C854" s="273"/>
      <c r="D854" s="273"/>
      <c r="E854" s="273"/>
      <c r="F854" s="273"/>
      <c r="G854" s="273"/>
      <c r="H854" s="39"/>
      <c r="I854" s="273"/>
      <c r="J854" s="273"/>
      <c r="K854" s="273"/>
      <c r="L854" s="273"/>
      <c r="M854" s="273"/>
      <c r="N854" s="273"/>
      <c r="O854" s="273"/>
      <c r="P854" s="273"/>
      <c r="Q854" s="39"/>
      <c r="R854" s="273"/>
      <c r="S854" s="273"/>
      <c r="T854" s="273"/>
      <c r="U854" s="273"/>
      <c r="V854" s="273"/>
      <c r="W854" s="273"/>
      <c r="X854" s="39"/>
      <c r="Y854" s="273"/>
      <c r="Z854" s="273"/>
      <c r="AA854" s="273"/>
      <c r="AB854" s="273"/>
      <c r="AC854" s="273"/>
      <c r="AD854" s="273"/>
      <c r="AE854" s="273"/>
      <c r="AF854" s="273"/>
      <c r="AG854" s="273"/>
      <c r="AH854" s="273"/>
      <c r="AI854" s="273"/>
      <c r="AJ854" s="273"/>
      <c r="AK854" s="273"/>
      <c r="AL854" s="273"/>
      <c r="AM854" s="273"/>
      <c r="AN854" s="273"/>
      <c r="AO854" s="273"/>
      <c r="AP854" s="273"/>
      <c r="AQ854" s="273"/>
      <c r="AR854" s="273"/>
      <c r="AS854" s="273"/>
      <c r="AT854" s="273"/>
      <c r="AU854" s="273"/>
      <c r="AV854" s="273"/>
    </row>
    <row r="855" spans="2:48" ht="12.75">
      <c r="B855" s="273"/>
      <c r="C855" s="273"/>
      <c r="D855" s="273"/>
      <c r="E855" s="273"/>
      <c r="F855" s="273"/>
      <c r="G855" s="273"/>
      <c r="H855" s="39"/>
      <c r="I855" s="273"/>
      <c r="J855" s="273"/>
      <c r="K855" s="273"/>
      <c r="L855" s="273"/>
      <c r="M855" s="273"/>
      <c r="N855" s="273"/>
      <c r="O855" s="273"/>
      <c r="P855" s="273"/>
      <c r="Q855" s="39"/>
      <c r="R855" s="273"/>
      <c r="S855" s="273"/>
      <c r="T855" s="273"/>
      <c r="U855" s="273"/>
      <c r="V855" s="273"/>
      <c r="W855" s="273"/>
      <c r="X855" s="39"/>
      <c r="Y855" s="273"/>
      <c r="Z855" s="273"/>
      <c r="AA855" s="273"/>
      <c r="AB855" s="273"/>
      <c r="AC855" s="273"/>
      <c r="AD855" s="273"/>
      <c r="AE855" s="273"/>
      <c r="AF855" s="273"/>
      <c r="AG855" s="273"/>
      <c r="AH855" s="273"/>
      <c r="AI855" s="273"/>
      <c r="AJ855" s="273"/>
      <c r="AK855" s="273"/>
      <c r="AL855" s="273"/>
      <c r="AM855" s="273"/>
      <c r="AN855" s="273"/>
      <c r="AO855" s="273"/>
      <c r="AP855" s="273"/>
      <c r="AQ855" s="273"/>
      <c r="AR855" s="273"/>
      <c r="AS855" s="273"/>
      <c r="AT855" s="273"/>
      <c r="AU855" s="273"/>
      <c r="AV855" s="273"/>
    </row>
    <row r="856" spans="2:48" ht="12.75">
      <c r="B856" s="273"/>
      <c r="C856" s="273"/>
      <c r="D856" s="273"/>
      <c r="E856" s="273"/>
      <c r="F856" s="273"/>
      <c r="G856" s="273"/>
      <c r="H856" s="39"/>
      <c r="I856" s="273"/>
      <c r="J856" s="273"/>
      <c r="K856" s="273"/>
      <c r="L856" s="273"/>
      <c r="M856" s="273"/>
      <c r="N856" s="273"/>
      <c r="O856" s="273"/>
      <c r="P856" s="273"/>
      <c r="Q856" s="39"/>
      <c r="R856" s="273"/>
      <c r="S856" s="273"/>
      <c r="T856" s="273"/>
      <c r="U856" s="273"/>
      <c r="V856" s="273"/>
      <c r="W856" s="273"/>
      <c r="X856" s="39"/>
      <c r="Y856" s="273"/>
      <c r="Z856" s="273"/>
      <c r="AA856" s="273"/>
      <c r="AB856" s="273"/>
      <c r="AC856" s="273"/>
      <c r="AD856" s="273"/>
      <c r="AE856" s="273"/>
      <c r="AF856" s="273"/>
      <c r="AG856" s="273"/>
      <c r="AH856" s="273"/>
      <c r="AI856" s="273"/>
      <c r="AJ856" s="273"/>
      <c r="AK856" s="273"/>
      <c r="AL856" s="273"/>
      <c r="AM856" s="273"/>
      <c r="AN856" s="273"/>
      <c r="AO856" s="273"/>
      <c r="AP856" s="273"/>
      <c r="AQ856" s="273"/>
      <c r="AR856" s="273"/>
      <c r="AS856" s="273"/>
      <c r="AT856" s="273"/>
      <c r="AU856" s="273"/>
      <c r="AV856" s="273"/>
    </row>
    <row r="857" spans="2:48" ht="12.75">
      <c r="B857" s="273"/>
      <c r="C857" s="273"/>
      <c r="D857" s="273"/>
      <c r="E857" s="273"/>
      <c r="F857" s="273"/>
      <c r="G857" s="273"/>
      <c r="H857" s="39"/>
      <c r="I857" s="273"/>
      <c r="J857" s="273"/>
      <c r="K857" s="273"/>
      <c r="L857" s="273"/>
      <c r="M857" s="273"/>
      <c r="N857" s="273"/>
      <c r="O857" s="273"/>
      <c r="P857" s="273"/>
      <c r="Q857" s="39"/>
      <c r="R857" s="273"/>
      <c r="S857" s="273"/>
      <c r="T857" s="273"/>
      <c r="U857" s="273"/>
      <c r="V857" s="273"/>
      <c r="W857" s="273"/>
      <c r="X857" s="39"/>
      <c r="Y857" s="273"/>
      <c r="Z857" s="273"/>
      <c r="AA857" s="273"/>
      <c r="AB857" s="273"/>
      <c r="AC857" s="273"/>
      <c r="AD857" s="273"/>
      <c r="AE857" s="273"/>
      <c r="AF857" s="273"/>
      <c r="AG857" s="273"/>
      <c r="AH857" s="273"/>
      <c r="AI857" s="273"/>
      <c r="AJ857" s="273"/>
      <c r="AK857" s="273"/>
      <c r="AL857" s="273"/>
      <c r="AM857" s="273"/>
      <c r="AN857" s="273"/>
      <c r="AO857" s="273"/>
      <c r="AP857" s="273"/>
      <c r="AQ857" s="273"/>
      <c r="AR857" s="273"/>
      <c r="AS857" s="273"/>
      <c r="AT857" s="273"/>
      <c r="AU857" s="273"/>
      <c r="AV857" s="273"/>
    </row>
    <row r="858" spans="2:48" ht="12.75">
      <c r="B858" s="273"/>
      <c r="C858" s="273"/>
      <c r="D858" s="273"/>
      <c r="E858" s="273"/>
      <c r="F858" s="273"/>
      <c r="G858" s="273"/>
      <c r="H858" s="39"/>
      <c r="I858" s="273"/>
      <c r="J858" s="273"/>
      <c r="K858" s="273"/>
      <c r="L858" s="273"/>
      <c r="M858" s="273"/>
      <c r="N858" s="273"/>
      <c r="O858" s="273"/>
      <c r="P858" s="273"/>
      <c r="Q858" s="39"/>
      <c r="R858" s="273"/>
      <c r="S858" s="273"/>
      <c r="T858" s="273"/>
      <c r="U858" s="273"/>
      <c r="V858" s="273"/>
      <c r="W858" s="273"/>
      <c r="X858" s="39"/>
      <c r="Y858" s="273"/>
      <c r="Z858" s="273"/>
      <c r="AA858" s="273"/>
      <c r="AB858" s="273"/>
      <c r="AC858" s="273"/>
      <c r="AD858" s="273"/>
      <c r="AE858" s="273"/>
      <c r="AF858" s="273"/>
      <c r="AG858" s="273"/>
      <c r="AH858" s="273"/>
      <c r="AI858" s="273"/>
      <c r="AJ858" s="273"/>
      <c r="AK858" s="273"/>
      <c r="AL858" s="273"/>
      <c r="AM858" s="273"/>
      <c r="AN858" s="273"/>
      <c r="AO858" s="273"/>
      <c r="AP858" s="273"/>
      <c r="AQ858" s="273"/>
      <c r="AR858" s="273"/>
      <c r="AS858" s="273"/>
      <c r="AT858" s="273"/>
      <c r="AU858" s="273"/>
      <c r="AV858" s="273"/>
    </row>
    <row r="859" spans="2:48" ht="12.75">
      <c r="B859" s="273"/>
      <c r="C859" s="273"/>
      <c r="D859" s="273"/>
      <c r="E859" s="273"/>
      <c r="F859" s="273"/>
      <c r="G859" s="273"/>
      <c r="H859" s="39"/>
      <c r="I859" s="273"/>
      <c r="J859" s="273"/>
      <c r="K859" s="273"/>
      <c r="L859" s="273"/>
      <c r="M859" s="273"/>
      <c r="N859" s="273"/>
      <c r="O859" s="273"/>
      <c r="P859" s="273"/>
      <c r="Q859" s="39"/>
      <c r="R859" s="273"/>
      <c r="S859" s="273"/>
      <c r="T859" s="273"/>
      <c r="U859" s="273"/>
      <c r="V859" s="273"/>
      <c r="W859" s="273"/>
      <c r="X859" s="39"/>
      <c r="Y859" s="273"/>
      <c r="Z859" s="273"/>
      <c r="AA859" s="273"/>
      <c r="AB859" s="273"/>
      <c r="AC859" s="273"/>
      <c r="AD859" s="273"/>
      <c r="AE859" s="273"/>
      <c r="AF859" s="273"/>
      <c r="AG859" s="273"/>
      <c r="AH859" s="273"/>
      <c r="AI859" s="273"/>
      <c r="AJ859" s="273"/>
      <c r="AK859" s="273"/>
      <c r="AL859" s="273"/>
      <c r="AM859" s="273"/>
      <c r="AN859" s="273"/>
      <c r="AO859" s="273"/>
      <c r="AP859" s="273"/>
      <c r="AQ859" s="273"/>
      <c r="AR859" s="273"/>
      <c r="AS859" s="273"/>
      <c r="AT859" s="273"/>
      <c r="AU859" s="273"/>
      <c r="AV859" s="273"/>
    </row>
    <row r="860" spans="2:48" ht="12.75">
      <c r="B860" s="273"/>
      <c r="C860" s="273"/>
      <c r="D860" s="273"/>
      <c r="E860" s="273"/>
      <c r="F860" s="273"/>
      <c r="G860" s="273"/>
      <c r="H860" s="39"/>
      <c r="I860" s="273"/>
      <c r="J860" s="273"/>
      <c r="K860" s="273"/>
      <c r="L860" s="273"/>
      <c r="M860" s="273"/>
      <c r="N860" s="273"/>
      <c r="O860" s="273"/>
      <c r="P860" s="273"/>
      <c r="Q860" s="39"/>
      <c r="R860" s="273"/>
      <c r="S860" s="273"/>
      <c r="T860" s="273"/>
      <c r="U860" s="273"/>
      <c r="V860" s="273"/>
      <c r="W860" s="273"/>
      <c r="X860" s="39"/>
      <c r="Y860" s="273"/>
      <c r="Z860" s="273"/>
      <c r="AA860" s="273"/>
      <c r="AB860" s="273"/>
      <c r="AC860" s="273"/>
      <c r="AD860" s="273"/>
      <c r="AE860" s="273"/>
      <c r="AF860" s="273"/>
      <c r="AG860" s="273"/>
      <c r="AH860" s="273"/>
      <c r="AI860" s="273"/>
      <c r="AJ860" s="273"/>
      <c r="AK860" s="273"/>
      <c r="AL860" s="273"/>
      <c r="AM860" s="273"/>
      <c r="AN860" s="273"/>
      <c r="AO860" s="273"/>
      <c r="AP860" s="273"/>
      <c r="AQ860" s="273"/>
      <c r="AR860" s="273"/>
      <c r="AS860" s="273"/>
      <c r="AT860" s="273"/>
      <c r="AU860" s="273"/>
      <c r="AV860" s="273"/>
    </row>
    <row r="861" spans="2:48" ht="12.75">
      <c r="B861" s="273"/>
      <c r="C861" s="273"/>
      <c r="D861" s="273"/>
      <c r="E861" s="273"/>
      <c r="F861" s="273"/>
      <c r="G861" s="273"/>
      <c r="H861" s="39"/>
      <c r="I861" s="273"/>
      <c r="J861" s="273"/>
      <c r="K861" s="273"/>
      <c r="L861" s="273"/>
      <c r="M861" s="273"/>
      <c r="N861" s="273"/>
      <c r="O861" s="273"/>
      <c r="P861" s="273"/>
      <c r="Q861" s="39"/>
      <c r="R861" s="273"/>
      <c r="S861" s="273"/>
      <c r="T861" s="273"/>
      <c r="U861" s="273"/>
      <c r="V861" s="273"/>
      <c r="W861" s="273"/>
      <c r="X861" s="39"/>
      <c r="Y861" s="273"/>
      <c r="Z861" s="273"/>
      <c r="AA861" s="273"/>
      <c r="AB861" s="273"/>
      <c r="AC861" s="273"/>
      <c r="AD861" s="273"/>
      <c r="AE861" s="273"/>
      <c r="AF861" s="273"/>
      <c r="AG861" s="273"/>
      <c r="AH861" s="273"/>
      <c r="AI861" s="273"/>
      <c r="AJ861" s="273"/>
      <c r="AK861" s="273"/>
      <c r="AL861" s="273"/>
      <c r="AM861" s="273"/>
      <c r="AN861" s="273"/>
      <c r="AO861" s="273"/>
      <c r="AP861" s="273"/>
      <c r="AQ861" s="273"/>
      <c r="AR861" s="273"/>
      <c r="AS861" s="273"/>
      <c r="AT861" s="273"/>
      <c r="AU861" s="273"/>
      <c r="AV861" s="273"/>
    </row>
    <row r="862" spans="2:48" ht="12.75">
      <c r="B862" s="273"/>
      <c r="C862" s="273"/>
      <c r="D862" s="273"/>
      <c r="E862" s="273"/>
      <c r="F862" s="273"/>
      <c r="G862" s="273"/>
      <c r="H862" s="39"/>
      <c r="I862" s="273"/>
      <c r="J862" s="273"/>
      <c r="K862" s="273"/>
      <c r="L862" s="273"/>
      <c r="M862" s="273"/>
      <c r="N862" s="273"/>
      <c r="O862" s="273"/>
      <c r="P862" s="273"/>
      <c r="Q862" s="39"/>
      <c r="R862" s="273"/>
      <c r="S862" s="273"/>
      <c r="T862" s="273"/>
      <c r="U862" s="273"/>
      <c r="V862" s="273"/>
      <c r="W862" s="273"/>
      <c r="X862" s="39"/>
      <c r="Y862" s="273"/>
      <c r="Z862" s="273"/>
      <c r="AA862" s="273"/>
      <c r="AB862" s="273"/>
      <c r="AC862" s="273"/>
      <c r="AD862" s="273"/>
      <c r="AE862" s="273"/>
      <c r="AF862" s="273"/>
      <c r="AG862" s="273"/>
      <c r="AH862" s="273"/>
      <c r="AI862" s="273"/>
      <c r="AJ862" s="273"/>
      <c r="AK862" s="273"/>
      <c r="AL862" s="273"/>
      <c r="AM862" s="273"/>
      <c r="AN862" s="273"/>
      <c r="AO862" s="273"/>
      <c r="AP862" s="273"/>
      <c r="AQ862" s="273"/>
      <c r="AR862" s="273"/>
      <c r="AS862" s="273"/>
      <c r="AT862" s="273"/>
      <c r="AU862" s="273"/>
      <c r="AV862" s="273"/>
    </row>
    <row r="863" spans="2:48" ht="12.75">
      <c r="B863" s="273"/>
      <c r="C863" s="273"/>
      <c r="D863" s="273"/>
      <c r="E863" s="273"/>
      <c r="F863" s="273"/>
      <c r="G863" s="273"/>
      <c r="H863" s="39"/>
      <c r="I863" s="273"/>
      <c r="J863" s="273"/>
      <c r="K863" s="273"/>
      <c r="L863" s="273"/>
      <c r="M863" s="273"/>
      <c r="N863" s="273"/>
      <c r="O863" s="273"/>
      <c r="P863" s="273"/>
      <c r="Q863" s="39"/>
      <c r="R863" s="273"/>
      <c r="S863" s="273"/>
      <c r="T863" s="273"/>
      <c r="U863" s="273"/>
      <c r="V863" s="273"/>
      <c r="W863" s="273"/>
      <c r="X863" s="39"/>
      <c r="Y863" s="273"/>
      <c r="Z863" s="273"/>
      <c r="AA863" s="273"/>
      <c r="AB863" s="273"/>
      <c r="AC863" s="273"/>
      <c r="AD863" s="273"/>
      <c r="AE863" s="273"/>
      <c r="AF863" s="273"/>
      <c r="AG863" s="273"/>
      <c r="AH863" s="273"/>
      <c r="AI863" s="273"/>
      <c r="AJ863" s="273"/>
      <c r="AK863" s="273"/>
      <c r="AL863" s="273"/>
      <c r="AM863" s="273"/>
      <c r="AN863" s="273"/>
      <c r="AO863" s="273"/>
      <c r="AP863" s="273"/>
      <c r="AQ863" s="273"/>
      <c r="AR863" s="273"/>
      <c r="AS863" s="273"/>
      <c r="AT863" s="273"/>
      <c r="AU863" s="273"/>
      <c r="AV863" s="273"/>
    </row>
    <row r="864" spans="2:48" ht="12.75">
      <c r="B864" s="273"/>
      <c r="C864" s="273"/>
      <c r="D864" s="273"/>
      <c r="E864" s="273"/>
      <c r="F864" s="273"/>
      <c r="G864" s="273"/>
      <c r="H864" s="39"/>
      <c r="I864" s="273"/>
      <c r="J864" s="273"/>
      <c r="K864" s="273"/>
      <c r="L864" s="273"/>
      <c r="M864" s="273"/>
      <c r="N864" s="273"/>
      <c r="O864" s="273"/>
      <c r="P864" s="273"/>
      <c r="Q864" s="39"/>
      <c r="R864" s="273"/>
      <c r="S864" s="273"/>
      <c r="T864" s="273"/>
      <c r="U864" s="273"/>
      <c r="V864" s="273"/>
      <c r="W864" s="273"/>
      <c r="X864" s="39"/>
      <c r="Y864" s="273"/>
      <c r="Z864" s="273"/>
      <c r="AA864" s="273"/>
      <c r="AB864" s="273"/>
      <c r="AC864" s="273"/>
      <c r="AD864" s="273"/>
      <c r="AE864" s="273"/>
      <c r="AF864" s="273"/>
      <c r="AG864" s="273"/>
      <c r="AH864" s="273"/>
      <c r="AI864" s="273"/>
      <c r="AJ864" s="273"/>
      <c r="AK864" s="273"/>
      <c r="AL864" s="273"/>
      <c r="AM864" s="273"/>
      <c r="AN864" s="273"/>
      <c r="AO864" s="273"/>
      <c r="AP864" s="273"/>
      <c r="AQ864" s="273"/>
      <c r="AR864" s="273"/>
      <c r="AS864" s="273"/>
      <c r="AT864" s="273"/>
      <c r="AU864" s="273"/>
      <c r="AV864" s="273"/>
    </row>
    <row r="865" spans="2:48" ht="12.75">
      <c r="B865" s="273"/>
      <c r="C865" s="273"/>
      <c r="D865" s="273"/>
      <c r="E865" s="273"/>
      <c r="F865" s="273"/>
      <c r="G865" s="273"/>
      <c r="H865" s="39"/>
      <c r="I865" s="273"/>
      <c r="J865" s="273"/>
      <c r="K865" s="273"/>
      <c r="L865" s="273"/>
      <c r="M865" s="273"/>
      <c r="N865" s="273"/>
      <c r="O865" s="273"/>
      <c r="P865" s="273"/>
      <c r="Q865" s="39"/>
      <c r="R865" s="273"/>
      <c r="S865" s="273"/>
      <c r="T865" s="273"/>
      <c r="U865" s="273"/>
      <c r="V865" s="273"/>
      <c r="W865" s="273"/>
      <c r="X865" s="39"/>
      <c r="Y865" s="273"/>
      <c r="Z865" s="273"/>
      <c r="AA865" s="273"/>
      <c r="AB865" s="273"/>
      <c r="AC865" s="273"/>
      <c r="AD865" s="273"/>
      <c r="AE865" s="273"/>
      <c r="AF865" s="273"/>
      <c r="AG865" s="273"/>
      <c r="AH865" s="273"/>
      <c r="AI865" s="273"/>
      <c r="AJ865" s="273"/>
      <c r="AK865" s="273"/>
      <c r="AL865" s="273"/>
      <c r="AM865" s="273"/>
      <c r="AN865" s="273"/>
      <c r="AO865" s="273"/>
      <c r="AP865" s="273"/>
      <c r="AQ865" s="273"/>
      <c r="AR865" s="273"/>
      <c r="AS865" s="273"/>
      <c r="AT865" s="273"/>
      <c r="AU865" s="273"/>
      <c r="AV865" s="273"/>
    </row>
    <row r="866" spans="2:48" ht="12.75">
      <c r="B866" s="273"/>
      <c r="C866" s="273"/>
      <c r="D866" s="273"/>
      <c r="E866" s="273"/>
      <c r="F866" s="273"/>
      <c r="G866" s="273"/>
      <c r="H866" s="39"/>
      <c r="I866" s="273"/>
      <c r="J866" s="273"/>
      <c r="K866" s="273"/>
      <c r="L866" s="273"/>
      <c r="M866" s="273"/>
      <c r="N866" s="273"/>
      <c r="O866" s="273"/>
      <c r="P866" s="273"/>
      <c r="Q866" s="39"/>
      <c r="R866" s="273"/>
      <c r="S866" s="273"/>
      <c r="T866" s="273"/>
      <c r="U866" s="273"/>
      <c r="V866" s="273"/>
      <c r="W866" s="273"/>
      <c r="X866" s="39"/>
      <c r="Y866" s="273"/>
      <c r="Z866" s="273"/>
      <c r="AA866" s="273"/>
      <c r="AB866" s="273"/>
      <c r="AC866" s="273"/>
      <c r="AD866" s="273"/>
      <c r="AE866" s="273"/>
      <c r="AF866" s="273"/>
      <c r="AG866" s="273"/>
      <c r="AH866" s="273"/>
      <c r="AI866" s="273"/>
      <c r="AJ866" s="273"/>
      <c r="AK866" s="273"/>
      <c r="AL866" s="273"/>
      <c r="AM866" s="273"/>
      <c r="AN866" s="273"/>
      <c r="AO866" s="273"/>
      <c r="AP866" s="273"/>
      <c r="AQ866" s="273"/>
      <c r="AR866" s="273"/>
      <c r="AS866" s="273"/>
      <c r="AT866" s="273"/>
      <c r="AU866" s="273"/>
      <c r="AV866" s="273"/>
    </row>
    <row r="867" spans="2:48" ht="12.75">
      <c r="B867" s="273"/>
      <c r="C867" s="273"/>
      <c r="D867" s="273"/>
      <c r="E867" s="273"/>
      <c r="F867" s="273"/>
      <c r="G867" s="273"/>
      <c r="H867" s="39"/>
      <c r="I867" s="273"/>
      <c r="J867" s="273"/>
      <c r="K867" s="273"/>
      <c r="L867" s="273"/>
      <c r="M867" s="273"/>
      <c r="N867" s="273"/>
      <c r="O867" s="273"/>
      <c r="P867" s="273"/>
      <c r="Q867" s="39"/>
      <c r="R867" s="273"/>
      <c r="S867" s="273"/>
      <c r="T867" s="273"/>
      <c r="U867" s="273"/>
      <c r="V867" s="273"/>
      <c r="W867" s="273"/>
      <c r="X867" s="39"/>
      <c r="Y867" s="273"/>
      <c r="Z867" s="273"/>
      <c r="AA867" s="273"/>
      <c r="AB867" s="273"/>
      <c r="AC867" s="273"/>
      <c r="AD867" s="273"/>
      <c r="AE867" s="273"/>
      <c r="AF867" s="273"/>
      <c r="AG867" s="273"/>
      <c r="AH867" s="273"/>
      <c r="AI867" s="273"/>
      <c r="AJ867" s="273"/>
      <c r="AK867" s="273"/>
      <c r="AL867" s="273"/>
      <c r="AM867" s="273"/>
      <c r="AN867" s="273"/>
      <c r="AO867" s="273"/>
      <c r="AP867" s="273"/>
      <c r="AQ867" s="273"/>
      <c r="AR867" s="273"/>
      <c r="AS867" s="273"/>
      <c r="AT867" s="273"/>
      <c r="AU867" s="273"/>
      <c r="AV867" s="273"/>
    </row>
    <row r="868" spans="2:48" ht="12.75">
      <c r="B868" s="273"/>
      <c r="C868" s="273"/>
      <c r="D868" s="273"/>
      <c r="E868" s="273"/>
      <c r="F868" s="273"/>
      <c r="G868" s="273"/>
      <c r="H868" s="39"/>
      <c r="I868" s="273"/>
      <c r="J868" s="273"/>
      <c r="K868" s="273"/>
      <c r="L868" s="273"/>
      <c r="M868" s="273"/>
      <c r="N868" s="273"/>
      <c r="O868" s="273"/>
      <c r="P868" s="273"/>
      <c r="Q868" s="39"/>
      <c r="R868" s="273"/>
      <c r="S868" s="273"/>
      <c r="T868" s="273"/>
      <c r="U868" s="273"/>
      <c r="V868" s="273"/>
      <c r="W868" s="273"/>
      <c r="X868" s="39"/>
      <c r="Y868" s="273"/>
      <c r="Z868" s="273"/>
      <c r="AA868" s="273"/>
      <c r="AB868" s="273"/>
      <c r="AC868" s="273"/>
      <c r="AD868" s="273"/>
      <c r="AE868" s="273"/>
      <c r="AF868" s="273"/>
      <c r="AG868" s="273"/>
      <c r="AH868" s="273"/>
      <c r="AI868" s="273"/>
      <c r="AJ868" s="273"/>
      <c r="AK868" s="273"/>
      <c r="AL868" s="273"/>
      <c r="AM868" s="273"/>
      <c r="AN868" s="273"/>
      <c r="AO868" s="273"/>
      <c r="AP868" s="273"/>
      <c r="AQ868" s="273"/>
      <c r="AR868" s="273"/>
      <c r="AS868" s="273"/>
      <c r="AT868" s="273"/>
      <c r="AU868" s="273"/>
      <c r="AV868" s="273"/>
    </row>
    <row r="869" spans="2:48" ht="12.75">
      <c r="B869" s="273"/>
      <c r="C869" s="273"/>
      <c r="D869" s="273"/>
      <c r="E869" s="273"/>
      <c r="F869" s="273"/>
      <c r="G869" s="273"/>
      <c r="H869" s="39"/>
      <c r="I869" s="273"/>
      <c r="J869" s="273"/>
      <c r="K869" s="273"/>
      <c r="L869" s="273"/>
      <c r="M869" s="273"/>
      <c r="N869" s="273"/>
      <c r="O869" s="273"/>
      <c r="P869" s="273"/>
      <c r="Q869" s="39"/>
      <c r="R869" s="273"/>
      <c r="S869" s="273"/>
      <c r="T869" s="273"/>
      <c r="U869" s="273"/>
      <c r="V869" s="273"/>
      <c r="W869" s="273"/>
      <c r="X869" s="39"/>
      <c r="Y869" s="273"/>
      <c r="Z869" s="273"/>
      <c r="AA869" s="273"/>
      <c r="AB869" s="273"/>
      <c r="AC869" s="273"/>
      <c r="AD869" s="273"/>
      <c r="AE869" s="273"/>
      <c r="AF869" s="273"/>
      <c r="AG869" s="273"/>
      <c r="AH869" s="273"/>
      <c r="AI869" s="273"/>
      <c r="AJ869" s="273"/>
      <c r="AK869" s="273"/>
      <c r="AL869" s="273"/>
      <c r="AM869" s="273"/>
      <c r="AN869" s="273"/>
      <c r="AO869" s="273"/>
      <c r="AP869" s="273"/>
      <c r="AQ869" s="273"/>
      <c r="AR869" s="273"/>
      <c r="AS869" s="273"/>
      <c r="AT869" s="273"/>
      <c r="AU869" s="273"/>
      <c r="AV869" s="273"/>
    </row>
    <row r="870" spans="2:48" ht="12.75">
      <c r="B870" s="273"/>
      <c r="C870" s="273"/>
      <c r="D870" s="273"/>
      <c r="E870" s="273"/>
      <c r="F870" s="273"/>
      <c r="G870" s="273"/>
      <c r="H870" s="39"/>
      <c r="I870" s="273"/>
      <c r="J870" s="273"/>
      <c r="K870" s="273"/>
      <c r="L870" s="273"/>
      <c r="M870" s="273"/>
      <c r="N870" s="273"/>
      <c r="O870" s="273"/>
      <c r="P870" s="273"/>
      <c r="Q870" s="39"/>
      <c r="R870" s="273"/>
      <c r="S870" s="273"/>
      <c r="T870" s="273"/>
      <c r="U870" s="273"/>
      <c r="V870" s="273"/>
      <c r="W870" s="273"/>
      <c r="X870" s="39"/>
      <c r="Y870" s="273"/>
      <c r="Z870" s="273"/>
      <c r="AA870" s="273"/>
      <c r="AB870" s="273"/>
      <c r="AC870" s="273"/>
      <c r="AD870" s="273"/>
      <c r="AE870" s="273"/>
      <c r="AF870" s="273"/>
      <c r="AG870" s="273"/>
      <c r="AH870" s="273"/>
      <c r="AI870" s="273"/>
      <c r="AJ870" s="273"/>
      <c r="AK870" s="273"/>
      <c r="AL870" s="273"/>
      <c r="AM870" s="273"/>
      <c r="AN870" s="273"/>
      <c r="AO870" s="273"/>
      <c r="AP870" s="273"/>
      <c r="AQ870" s="273"/>
      <c r="AR870" s="273"/>
      <c r="AS870" s="273"/>
      <c r="AT870" s="273"/>
      <c r="AU870" s="273"/>
      <c r="AV870" s="273"/>
    </row>
    <row r="871" spans="2:48" ht="12.75">
      <c r="B871" s="273"/>
      <c r="C871" s="273"/>
      <c r="D871" s="273"/>
      <c r="E871" s="273"/>
      <c r="F871" s="273"/>
      <c r="G871" s="273"/>
      <c r="H871" s="39"/>
      <c r="I871" s="273"/>
      <c r="J871" s="273"/>
      <c r="K871" s="273"/>
      <c r="L871" s="273"/>
      <c r="M871" s="273"/>
      <c r="N871" s="273"/>
      <c r="O871" s="273"/>
      <c r="P871" s="273"/>
      <c r="Q871" s="39"/>
      <c r="R871" s="273"/>
      <c r="S871" s="273"/>
      <c r="T871" s="273"/>
      <c r="U871" s="273"/>
      <c r="V871" s="273"/>
      <c r="W871" s="273"/>
      <c r="X871" s="39"/>
      <c r="Y871" s="273"/>
      <c r="Z871" s="273"/>
      <c r="AA871" s="273"/>
      <c r="AB871" s="273"/>
      <c r="AC871" s="273"/>
      <c r="AD871" s="273"/>
      <c r="AE871" s="273"/>
      <c r="AF871" s="273"/>
      <c r="AG871" s="273"/>
      <c r="AH871" s="273"/>
      <c r="AI871" s="273"/>
      <c r="AJ871" s="273"/>
      <c r="AK871" s="273"/>
      <c r="AL871" s="273"/>
      <c r="AM871" s="273"/>
      <c r="AN871" s="273"/>
      <c r="AO871" s="273"/>
      <c r="AP871" s="273"/>
      <c r="AQ871" s="273"/>
      <c r="AR871" s="273"/>
      <c r="AS871" s="273"/>
      <c r="AT871" s="273"/>
      <c r="AU871" s="273"/>
      <c r="AV871" s="273"/>
    </row>
    <row r="872" spans="2:48" ht="12.75">
      <c r="B872" s="273"/>
      <c r="C872" s="273"/>
      <c r="D872" s="273"/>
      <c r="E872" s="273"/>
      <c r="F872" s="273"/>
      <c r="G872" s="273"/>
      <c r="H872" s="39"/>
      <c r="I872" s="273"/>
      <c r="J872" s="273"/>
      <c r="K872" s="273"/>
      <c r="L872" s="273"/>
      <c r="M872" s="273"/>
      <c r="N872" s="273"/>
      <c r="O872" s="273"/>
      <c r="P872" s="273"/>
      <c r="Q872" s="39"/>
      <c r="R872" s="273"/>
      <c r="S872" s="273"/>
      <c r="T872" s="273"/>
      <c r="U872" s="273"/>
      <c r="V872" s="273"/>
      <c r="W872" s="273"/>
      <c r="X872" s="39"/>
      <c r="Y872" s="273"/>
      <c r="Z872" s="273"/>
      <c r="AA872" s="273"/>
      <c r="AB872" s="273"/>
      <c r="AC872" s="273"/>
      <c r="AD872" s="273"/>
      <c r="AE872" s="273"/>
      <c r="AF872" s="273"/>
      <c r="AG872" s="273"/>
      <c r="AH872" s="273"/>
      <c r="AI872" s="273"/>
      <c r="AJ872" s="273"/>
      <c r="AK872" s="273"/>
      <c r="AL872" s="273"/>
      <c r="AM872" s="273"/>
      <c r="AN872" s="273"/>
      <c r="AO872" s="273"/>
      <c r="AP872" s="273"/>
      <c r="AQ872" s="273"/>
      <c r="AR872" s="273"/>
      <c r="AS872" s="273"/>
      <c r="AT872" s="273"/>
      <c r="AU872" s="273"/>
      <c r="AV872" s="273"/>
    </row>
    <row r="873" spans="2:48" ht="12.75">
      <c r="B873" s="273"/>
      <c r="C873" s="273"/>
      <c r="D873" s="273"/>
      <c r="E873" s="273"/>
      <c r="F873" s="273"/>
      <c r="G873" s="273"/>
      <c r="H873" s="39"/>
      <c r="I873" s="273"/>
      <c r="J873" s="273"/>
      <c r="K873" s="273"/>
      <c r="L873" s="273"/>
      <c r="M873" s="273"/>
      <c r="N873" s="273"/>
      <c r="O873" s="273"/>
      <c r="P873" s="273"/>
      <c r="Q873" s="39"/>
      <c r="R873" s="273"/>
      <c r="S873" s="273"/>
      <c r="T873" s="273"/>
      <c r="U873" s="273"/>
      <c r="V873" s="273"/>
      <c r="W873" s="273"/>
      <c r="X873" s="39"/>
      <c r="Y873" s="273"/>
      <c r="Z873" s="273"/>
      <c r="AA873" s="273"/>
      <c r="AB873" s="273"/>
      <c r="AC873" s="273"/>
      <c r="AD873" s="273"/>
      <c r="AE873" s="273"/>
      <c r="AF873" s="273"/>
      <c r="AG873" s="273"/>
      <c r="AH873" s="273"/>
      <c r="AI873" s="273"/>
      <c r="AJ873" s="273"/>
      <c r="AK873" s="273"/>
      <c r="AL873" s="273"/>
      <c r="AM873" s="273"/>
      <c r="AN873" s="273"/>
      <c r="AO873" s="273"/>
      <c r="AP873" s="273"/>
      <c r="AQ873" s="273"/>
      <c r="AR873" s="273"/>
      <c r="AS873" s="273"/>
      <c r="AT873" s="273"/>
      <c r="AU873" s="273"/>
      <c r="AV873" s="273"/>
    </row>
    <row r="874" spans="2:48" ht="12.75">
      <c r="B874" s="273"/>
      <c r="C874" s="273"/>
      <c r="D874" s="273"/>
      <c r="E874" s="273"/>
      <c r="F874" s="273"/>
      <c r="G874" s="273"/>
      <c r="H874" s="39"/>
      <c r="I874" s="273"/>
      <c r="J874" s="273"/>
      <c r="K874" s="273"/>
      <c r="L874" s="273"/>
      <c r="M874" s="273"/>
      <c r="N874" s="273"/>
      <c r="O874" s="273"/>
      <c r="P874" s="273"/>
      <c r="Q874" s="39"/>
      <c r="R874" s="273"/>
      <c r="S874" s="273"/>
      <c r="T874" s="273"/>
      <c r="U874" s="273"/>
      <c r="V874" s="273"/>
      <c r="W874" s="273"/>
      <c r="X874" s="39"/>
      <c r="Y874" s="273"/>
      <c r="Z874" s="273"/>
      <c r="AA874" s="273"/>
      <c r="AB874" s="273"/>
      <c r="AC874" s="273"/>
      <c r="AD874" s="273"/>
      <c r="AE874" s="273"/>
      <c r="AF874" s="273"/>
      <c r="AG874" s="273"/>
      <c r="AH874" s="273"/>
      <c r="AI874" s="273"/>
      <c r="AJ874" s="273"/>
      <c r="AK874" s="273"/>
      <c r="AL874" s="273"/>
      <c r="AM874" s="273"/>
      <c r="AN874" s="273"/>
      <c r="AO874" s="273"/>
      <c r="AP874" s="273"/>
      <c r="AQ874" s="273"/>
      <c r="AR874" s="273"/>
      <c r="AS874" s="273"/>
      <c r="AT874" s="273"/>
      <c r="AU874" s="273"/>
      <c r="AV874" s="273"/>
    </row>
    <row r="875" spans="2:48" ht="12.75">
      <c r="B875" s="273"/>
      <c r="C875" s="273"/>
      <c r="D875" s="273"/>
      <c r="E875" s="273"/>
      <c r="F875" s="273"/>
      <c r="G875" s="273"/>
      <c r="H875" s="39"/>
      <c r="I875" s="273"/>
      <c r="J875" s="273"/>
      <c r="K875" s="273"/>
      <c r="L875" s="273"/>
      <c r="M875" s="273"/>
      <c r="N875" s="273"/>
      <c r="O875" s="273"/>
      <c r="P875" s="273"/>
      <c r="Q875" s="39"/>
      <c r="R875" s="273"/>
      <c r="S875" s="273"/>
      <c r="T875" s="273"/>
      <c r="U875" s="273"/>
      <c r="V875" s="273"/>
      <c r="W875" s="273"/>
      <c r="X875" s="39"/>
      <c r="Y875" s="273"/>
      <c r="Z875" s="273"/>
      <c r="AA875" s="273"/>
      <c r="AB875" s="273"/>
      <c r="AC875" s="273"/>
      <c r="AD875" s="273"/>
      <c r="AE875" s="273"/>
      <c r="AF875" s="273"/>
      <c r="AG875" s="273"/>
      <c r="AH875" s="273"/>
      <c r="AI875" s="273"/>
      <c r="AJ875" s="273"/>
      <c r="AK875" s="273"/>
      <c r="AL875" s="273"/>
      <c r="AM875" s="273"/>
      <c r="AN875" s="273"/>
      <c r="AO875" s="273"/>
      <c r="AP875" s="273"/>
      <c r="AQ875" s="273"/>
      <c r="AR875" s="273"/>
      <c r="AS875" s="273"/>
      <c r="AT875" s="273"/>
      <c r="AU875" s="273"/>
      <c r="AV875" s="273"/>
    </row>
    <row r="876" spans="2:48" ht="12.75">
      <c r="B876" s="273"/>
      <c r="C876" s="273"/>
      <c r="D876" s="273"/>
      <c r="E876" s="273"/>
      <c r="F876" s="273"/>
      <c r="G876" s="273"/>
      <c r="H876" s="39"/>
      <c r="I876" s="273"/>
      <c r="J876" s="273"/>
      <c r="K876" s="273"/>
      <c r="L876" s="273"/>
      <c r="M876" s="273"/>
      <c r="N876" s="273"/>
      <c r="O876" s="273"/>
      <c r="P876" s="273"/>
      <c r="Q876" s="39"/>
      <c r="R876" s="273"/>
      <c r="S876" s="273"/>
      <c r="T876" s="273"/>
      <c r="U876" s="273"/>
      <c r="V876" s="273"/>
      <c r="W876" s="273"/>
      <c r="X876" s="39"/>
      <c r="Y876" s="273"/>
      <c r="Z876" s="273"/>
      <c r="AA876" s="273"/>
      <c r="AB876" s="273"/>
      <c r="AC876" s="273"/>
      <c r="AD876" s="273"/>
      <c r="AE876" s="273"/>
      <c r="AF876" s="273"/>
      <c r="AG876" s="273"/>
      <c r="AH876" s="273"/>
      <c r="AI876" s="273"/>
      <c r="AJ876" s="273"/>
      <c r="AK876" s="273"/>
      <c r="AL876" s="273"/>
      <c r="AM876" s="273"/>
      <c r="AN876" s="273"/>
      <c r="AO876" s="273"/>
      <c r="AP876" s="273"/>
      <c r="AQ876" s="273"/>
      <c r="AR876" s="273"/>
      <c r="AS876" s="273"/>
      <c r="AT876" s="273"/>
      <c r="AU876" s="273"/>
      <c r="AV876" s="273"/>
    </row>
    <row r="877" spans="2:48" ht="12.75">
      <c r="B877" s="273"/>
      <c r="C877" s="273"/>
      <c r="D877" s="273"/>
      <c r="E877" s="273"/>
      <c r="F877" s="273"/>
      <c r="G877" s="273"/>
      <c r="H877" s="39"/>
      <c r="I877" s="273"/>
      <c r="J877" s="273"/>
      <c r="K877" s="273"/>
      <c r="L877" s="273"/>
      <c r="M877" s="273"/>
      <c r="N877" s="273"/>
      <c r="O877" s="273"/>
      <c r="P877" s="273"/>
      <c r="Q877" s="39"/>
      <c r="R877" s="273"/>
      <c r="S877" s="273"/>
      <c r="T877" s="273"/>
      <c r="U877" s="273"/>
      <c r="V877" s="273"/>
      <c r="W877" s="273"/>
      <c r="X877" s="39"/>
      <c r="Y877" s="273"/>
      <c r="Z877" s="273"/>
      <c r="AA877" s="273"/>
      <c r="AB877" s="273"/>
      <c r="AC877" s="273"/>
      <c r="AD877" s="273"/>
      <c r="AE877" s="273"/>
      <c r="AF877" s="273"/>
      <c r="AG877" s="273"/>
      <c r="AH877" s="273"/>
      <c r="AI877" s="273"/>
      <c r="AJ877" s="273"/>
      <c r="AK877" s="273"/>
      <c r="AL877" s="273"/>
      <c r="AM877" s="273"/>
      <c r="AN877" s="273"/>
      <c r="AO877" s="273"/>
      <c r="AP877" s="273"/>
      <c r="AQ877" s="273"/>
      <c r="AR877" s="273"/>
      <c r="AS877" s="273"/>
      <c r="AT877" s="273"/>
      <c r="AU877" s="273"/>
      <c r="AV877" s="273"/>
    </row>
    <row r="878" spans="2:48" ht="12.75">
      <c r="B878" s="273"/>
      <c r="C878" s="273"/>
      <c r="D878" s="273"/>
      <c r="E878" s="273"/>
      <c r="F878" s="273"/>
      <c r="G878" s="273"/>
      <c r="H878" s="39"/>
      <c r="I878" s="273"/>
      <c r="J878" s="273"/>
      <c r="K878" s="273"/>
      <c r="L878" s="273"/>
      <c r="M878" s="273"/>
      <c r="N878" s="273"/>
      <c r="O878" s="273"/>
      <c r="P878" s="273"/>
      <c r="Q878" s="39"/>
      <c r="R878" s="273"/>
      <c r="S878" s="273"/>
      <c r="T878" s="273"/>
      <c r="U878" s="273"/>
      <c r="V878" s="273"/>
      <c r="W878" s="273"/>
      <c r="X878" s="39"/>
      <c r="Y878" s="273"/>
      <c r="Z878" s="273"/>
      <c r="AA878" s="273"/>
      <c r="AB878" s="273"/>
      <c r="AC878" s="273"/>
      <c r="AD878" s="273"/>
      <c r="AE878" s="273"/>
      <c r="AF878" s="273"/>
      <c r="AG878" s="273"/>
      <c r="AH878" s="273"/>
      <c r="AI878" s="273"/>
      <c r="AJ878" s="273"/>
      <c r="AK878" s="273"/>
      <c r="AL878" s="273"/>
      <c r="AM878" s="273"/>
      <c r="AN878" s="273"/>
      <c r="AO878" s="273"/>
      <c r="AP878" s="273"/>
      <c r="AQ878" s="273"/>
      <c r="AR878" s="273"/>
      <c r="AS878" s="273"/>
      <c r="AT878" s="273"/>
      <c r="AU878" s="273"/>
      <c r="AV878" s="273"/>
    </row>
    <row r="879" spans="2:48" ht="12.75">
      <c r="B879" s="273"/>
      <c r="C879" s="273"/>
      <c r="D879" s="273"/>
      <c r="E879" s="273"/>
      <c r="F879" s="273"/>
      <c r="G879" s="273"/>
      <c r="H879" s="39"/>
      <c r="I879" s="273"/>
      <c r="J879" s="273"/>
      <c r="K879" s="273"/>
      <c r="L879" s="273"/>
      <c r="M879" s="273"/>
      <c r="N879" s="273"/>
      <c r="O879" s="273"/>
      <c r="P879" s="273"/>
      <c r="Q879" s="39"/>
      <c r="R879" s="273"/>
      <c r="S879" s="273"/>
      <c r="T879" s="273"/>
      <c r="U879" s="273"/>
      <c r="V879" s="273"/>
      <c r="W879" s="273"/>
      <c r="X879" s="39"/>
      <c r="Y879" s="273"/>
      <c r="Z879" s="273"/>
      <c r="AA879" s="273"/>
      <c r="AB879" s="273"/>
      <c r="AC879" s="273"/>
      <c r="AD879" s="273"/>
      <c r="AE879" s="273"/>
      <c r="AF879" s="273"/>
      <c r="AG879" s="273"/>
      <c r="AH879" s="273"/>
      <c r="AI879" s="273"/>
      <c r="AJ879" s="273"/>
      <c r="AK879" s="273"/>
      <c r="AL879" s="273"/>
      <c r="AM879" s="273"/>
      <c r="AN879" s="273"/>
      <c r="AO879" s="273"/>
      <c r="AP879" s="273"/>
      <c r="AQ879" s="273"/>
      <c r="AR879" s="273"/>
      <c r="AS879" s="273"/>
      <c r="AT879" s="273"/>
      <c r="AU879" s="273"/>
      <c r="AV879" s="273"/>
    </row>
    <row r="880" spans="2:48" ht="12.75">
      <c r="B880" s="273"/>
      <c r="C880" s="273"/>
      <c r="D880" s="273"/>
      <c r="E880" s="273"/>
      <c r="F880" s="273"/>
      <c r="G880" s="273"/>
      <c r="H880" s="39"/>
      <c r="I880" s="273"/>
      <c r="J880" s="273"/>
      <c r="K880" s="273"/>
      <c r="L880" s="273"/>
      <c r="M880" s="273"/>
      <c r="N880" s="273"/>
      <c r="O880" s="273"/>
      <c r="P880" s="273"/>
      <c r="Q880" s="39"/>
      <c r="R880" s="273"/>
      <c r="S880" s="273"/>
      <c r="T880" s="273"/>
      <c r="U880" s="273"/>
      <c r="V880" s="273"/>
      <c r="W880" s="273"/>
      <c r="X880" s="39"/>
      <c r="Y880" s="273"/>
      <c r="Z880" s="273"/>
      <c r="AA880" s="273"/>
      <c r="AB880" s="273"/>
      <c r="AC880" s="273"/>
      <c r="AD880" s="273"/>
      <c r="AE880" s="273"/>
      <c r="AF880" s="273"/>
      <c r="AG880" s="273"/>
      <c r="AH880" s="273"/>
      <c r="AI880" s="273"/>
      <c r="AJ880" s="273"/>
      <c r="AK880" s="273"/>
      <c r="AL880" s="273"/>
      <c r="AM880" s="273"/>
      <c r="AN880" s="273"/>
      <c r="AO880" s="273"/>
      <c r="AP880" s="273"/>
      <c r="AQ880" s="273"/>
      <c r="AR880" s="273"/>
      <c r="AS880" s="273"/>
      <c r="AT880" s="273"/>
      <c r="AU880" s="273"/>
      <c r="AV880" s="273"/>
    </row>
    <row r="881" spans="2:48" ht="12.75">
      <c r="B881" s="273"/>
      <c r="C881" s="273"/>
      <c r="D881" s="273"/>
      <c r="E881" s="273"/>
      <c r="F881" s="273"/>
      <c r="G881" s="273"/>
      <c r="H881" s="39"/>
      <c r="I881" s="273"/>
      <c r="J881" s="273"/>
      <c r="K881" s="273"/>
      <c r="L881" s="273"/>
      <c r="M881" s="273"/>
      <c r="N881" s="273"/>
      <c r="O881" s="273"/>
      <c r="P881" s="273"/>
      <c r="Q881" s="39"/>
      <c r="R881" s="273"/>
      <c r="S881" s="273"/>
      <c r="T881" s="273"/>
      <c r="U881" s="273"/>
      <c r="V881" s="273"/>
      <c r="W881" s="273"/>
      <c r="X881" s="39"/>
      <c r="Y881" s="273"/>
      <c r="Z881" s="273"/>
      <c r="AA881" s="273"/>
      <c r="AB881" s="273"/>
      <c r="AC881" s="273"/>
      <c r="AD881" s="273"/>
      <c r="AE881" s="273"/>
      <c r="AF881" s="273"/>
      <c r="AG881" s="273"/>
      <c r="AH881" s="273"/>
      <c r="AI881" s="273"/>
      <c r="AJ881" s="273"/>
      <c r="AK881" s="273"/>
      <c r="AL881" s="273"/>
      <c r="AM881" s="273"/>
      <c r="AN881" s="273"/>
      <c r="AO881" s="273"/>
      <c r="AP881" s="273"/>
      <c r="AQ881" s="273"/>
      <c r="AR881" s="273"/>
      <c r="AS881" s="273"/>
      <c r="AT881" s="273"/>
      <c r="AU881" s="273"/>
      <c r="AV881" s="273"/>
    </row>
    <row r="882" spans="2:48" ht="12.75">
      <c r="B882" s="273"/>
      <c r="C882" s="273"/>
      <c r="D882" s="273"/>
      <c r="E882" s="273"/>
      <c r="F882" s="273"/>
      <c r="G882" s="273"/>
      <c r="H882" s="39"/>
      <c r="I882" s="273"/>
      <c r="J882" s="273"/>
      <c r="K882" s="273"/>
      <c r="L882" s="273"/>
      <c r="M882" s="273"/>
      <c r="N882" s="273"/>
      <c r="O882" s="273"/>
      <c r="P882" s="273"/>
      <c r="Q882" s="39"/>
      <c r="R882" s="273"/>
      <c r="S882" s="273"/>
      <c r="T882" s="273"/>
      <c r="U882" s="273"/>
      <c r="V882" s="273"/>
      <c r="W882" s="273"/>
      <c r="X882" s="39"/>
      <c r="Y882" s="273"/>
      <c r="Z882" s="273"/>
      <c r="AA882" s="273"/>
      <c r="AB882" s="273"/>
      <c r="AC882" s="273"/>
      <c r="AD882" s="273"/>
      <c r="AE882" s="273"/>
      <c r="AF882" s="273"/>
      <c r="AG882" s="273"/>
      <c r="AH882" s="273"/>
      <c r="AI882" s="273"/>
      <c r="AJ882" s="273"/>
      <c r="AK882" s="273"/>
      <c r="AL882" s="273"/>
      <c r="AM882" s="273"/>
      <c r="AN882" s="273"/>
      <c r="AO882" s="273"/>
      <c r="AP882" s="273"/>
      <c r="AQ882" s="273"/>
      <c r="AR882" s="273"/>
      <c r="AS882" s="273"/>
      <c r="AT882" s="273"/>
      <c r="AU882" s="273"/>
      <c r="AV882" s="273"/>
    </row>
    <row r="883" spans="2:48" ht="12.75">
      <c r="B883" s="273"/>
      <c r="C883" s="273"/>
      <c r="D883" s="273"/>
      <c r="E883" s="273"/>
      <c r="F883" s="273"/>
      <c r="G883" s="273"/>
      <c r="H883" s="39"/>
      <c r="I883" s="273"/>
      <c r="J883" s="273"/>
      <c r="K883" s="273"/>
      <c r="L883" s="273"/>
      <c r="M883" s="273"/>
      <c r="N883" s="273"/>
      <c r="O883" s="273"/>
      <c r="P883" s="273"/>
      <c r="Q883" s="39"/>
      <c r="R883" s="273"/>
      <c r="S883" s="273"/>
      <c r="T883" s="273"/>
      <c r="U883" s="273"/>
      <c r="V883" s="273"/>
      <c r="W883" s="273"/>
      <c r="X883" s="39"/>
      <c r="Y883" s="273"/>
      <c r="Z883" s="273"/>
      <c r="AA883" s="273"/>
      <c r="AB883" s="273"/>
      <c r="AC883" s="273"/>
      <c r="AD883" s="273"/>
      <c r="AE883" s="273"/>
      <c r="AF883" s="273"/>
      <c r="AG883" s="273"/>
      <c r="AH883" s="273"/>
      <c r="AI883" s="273"/>
      <c r="AJ883" s="273"/>
      <c r="AK883" s="273"/>
      <c r="AL883" s="273"/>
      <c r="AM883" s="273"/>
      <c r="AN883" s="273"/>
      <c r="AO883" s="273"/>
      <c r="AP883" s="273"/>
      <c r="AQ883" s="273"/>
      <c r="AR883" s="273"/>
      <c r="AS883" s="273"/>
      <c r="AT883" s="273"/>
      <c r="AU883" s="273"/>
      <c r="AV883" s="273"/>
    </row>
    <row r="884" spans="2:48" ht="12.75">
      <c r="B884" s="273"/>
      <c r="C884" s="273"/>
      <c r="D884" s="273"/>
      <c r="E884" s="273"/>
      <c r="F884" s="273"/>
      <c r="G884" s="273"/>
      <c r="H884" s="39"/>
      <c r="I884" s="273"/>
      <c r="J884" s="273"/>
      <c r="K884" s="273"/>
      <c r="L884" s="273"/>
      <c r="M884" s="273"/>
      <c r="N884" s="273"/>
      <c r="O884" s="273"/>
      <c r="P884" s="273"/>
      <c r="Q884" s="39"/>
      <c r="R884" s="273"/>
      <c r="S884" s="273"/>
      <c r="T884" s="273"/>
      <c r="U884" s="273"/>
      <c r="V884" s="273"/>
      <c r="W884" s="273"/>
      <c r="X884" s="39"/>
      <c r="Y884" s="273"/>
      <c r="Z884" s="273"/>
      <c r="AA884" s="273"/>
      <c r="AB884" s="273"/>
      <c r="AC884" s="273"/>
      <c r="AD884" s="273"/>
      <c r="AE884" s="273"/>
      <c r="AF884" s="273"/>
      <c r="AG884" s="273"/>
      <c r="AH884" s="273"/>
      <c r="AI884" s="273"/>
      <c r="AJ884" s="273"/>
      <c r="AK884" s="273"/>
      <c r="AL884" s="273"/>
      <c r="AM884" s="273"/>
      <c r="AN884" s="273"/>
      <c r="AO884" s="273"/>
      <c r="AP884" s="273"/>
      <c r="AQ884" s="273"/>
      <c r="AR884" s="273"/>
      <c r="AS884" s="273"/>
      <c r="AT884" s="273"/>
      <c r="AU884" s="273"/>
      <c r="AV884" s="273"/>
    </row>
    <row r="885" spans="2:48" ht="12.75">
      <c r="B885" s="273"/>
      <c r="C885" s="273"/>
      <c r="D885" s="273"/>
      <c r="E885" s="273"/>
      <c r="F885" s="273"/>
      <c r="G885" s="273"/>
      <c r="H885" s="39"/>
      <c r="I885" s="273"/>
      <c r="J885" s="273"/>
      <c r="K885" s="273"/>
      <c r="L885" s="273"/>
      <c r="M885" s="273"/>
      <c r="N885" s="273"/>
      <c r="O885" s="273"/>
      <c r="P885" s="273"/>
      <c r="Q885" s="39"/>
      <c r="R885" s="273"/>
      <c r="S885" s="273"/>
      <c r="T885" s="273"/>
      <c r="U885" s="273"/>
      <c r="V885" s="273"/>
      <c r="W885" s="273"/>
      <c r="X885" s="39"/>
      <c r="Y885" s="273"/>
      <c r="Z885" s="273"/>
      <c r="AA885" s="273"/>
      <c r="AB885" s="273"/>
      <c r="AC885" s="273"/>
      <c r="AD885" s="273"/>
      <c r="AE885" s="273"/>
      <c r="AF885" s="273"/>
      <c r="AG885" s="273"/>
      <c r="AH885" s="273"/>
      <c r="AI885" s="273"/>
      <c r="AJ885" s="273"/>
      <c r="AK885" s="273"/>
      <c r="AL885" s="273"/>
      <c r="AM885" s="273"/>
      <c r="AN885" s="273"/>
      <c r="AO885" s="273"/>
      <c r="AP885" s="273"/>
      <c r="AQ885" s="273"/>
      <c r="AR885" s="273"/>
      <c r="AS885" s="273"/>
      <c r="AT885" s="273"/>
      <c r="AU885" s="273"/>
      <c r="AV885" s="273"/>
    </row>
    <row r="886" spans="2:48" ht="12.75">
      <c r="B886" s="273"/>
      <c r="C886" s="273"/>
      <c r="D886" s="273"/>
      <c r="E886" s="273"/>
      <c r="F886" s="273"/>
      <c r="G886" s="273"/>
      <c r="H886" s="39"/>
      <c r="I886" s="273"/>
      <c r="J886" s="273"/>
      <c r="K886" s="273"/>
      <c r="L886" s="273"/>
      <c r="M886" s="273"/>
      <c r="N886" s="273"/>
      <c r="O886" s="273"/>
      <c r="P886" s="273"/>
      <c r="Q886" s="39"/>
      <c r="R886" s="273"/>
      <c r="S886" s="273"/>
      <c r="T886" s="273"/>
      <c r="U886" s="273"/>
      <c r="V886" s="273"/>
      <c r="W886" s="273"/>
      <c r="X886" s="39"/>
      <c r="Y886" s="273"/>
      <c r="Z886" s="273"/>
      <c r="AA886" s="273"/>
      <c r="AB886" s="273"/>
      <c r="AC886" s="273"/>
      <c r="AD886" s="273"/>
      <c r="AE886" s="273"/>
      <c r="AF886" s="273"/>
      <c r="AG886" s="273"/>
      <c r="AH886" s="273"/>
      <c r="AI886" s="273"/>
      <c r="AJ886" s="273"/>
      <c r="AK886" s="273"/>
      <c r="AL886" s="273"/>
      <c r="AM886" s="273"/>
      <c r="AN886" s="273"/>
      <c r="AO886" s="273"/>
      <c r="AP886" s="273"/>
      <c r="AQ886" s="273"/>
      <c r="AR886" s="273"/>
      <c r="AS886" s="273"/>
      <c r="AT886" s="273"/>
      <c r="AU886" s="273"/>
      <c r="AV886" s="273"/>
    </row>
    <row r="887" spans="2:48" ht="12.75">
      <c r="B887" s="273"/>
      <c r="C887" s="273"/>
      <c r="D887" s="273"/>
      <c r="E887" s="273"/>
      <c r="F887" s="273"/>
      <c r="G887" s="273"/>
      <c r="H887" s="39"/>
      <c r="I887" s="273"/>
      <c r="J887" s="273"/>
      <c r="K887" s="273"/>
      <c r="L887" s="273"/>
      <c r="M887" s="273"/>
      <c r="N887" s="273"/>
      <c r="O887" s="273"/>
      <c r="P887" s="273"/>
      <c r="Q887" s="39"/>
      <c r="R887" s="273"/>
      <c r="S887" s="273"/>
      <c r="T887" s="273"/>
      <c r="U887" s="273"/>
      <c r="V887" s="273"/>
      <c r="W887" s="273"/>
      <c r="X887" s="39"/>
      <c r="Y887" s="273"/>
      <c r="Z887" s="273"/>
      <c r="AA887" s="273"/>
      <c r="AB887" s="273"/>
      <c r="AC887" s="273"/>
      <c r="AD887" s="273"/>
      <c r="AE887" s="273"/>
      <c r="AF887" s="273"/>
      <c r="AG887" s="273"/>
      <c r="AH887" s="273"/>
      <c r="AI887" s="273"/>
      <c r="AJ887" s="273"/>
      <c r="AK887" s="273"/>
      <c r="AL887" s="273"/>
      <c r="AM887" s="273"/>
      <c r="AN887" s="273"/>
      <c r="AO887" s="273"/>
      <c r="AP887" s="273"/>
      <c r="AQ887" s="273"/>
      <c r="AR887" s="273"/>
      <c r="AS887" s="273"/>
      <c r="AT887" s="273"/>
      <c r="AU887" s="273"/>
      <c r="AV887" s="273"/>
    </row>
    <row r="888" spans="2:48" ht="12.75">
      <c r="B888" s="273"/>
      <c r="C888" s="273"/>
      <c r="D888" s="273"/>
      <c r="E888" s="273"/>
      <c r="F888" s="273"/>
      <c r="G888" s="273"/>
      <c r="H888" s="39"/>
      <c r="I888" s="273"/>
      <c r="J888" s="273"/>
      <c r="K888" s="273"/>
      <c r="L888" s="273"/>
      <c r="M888" s="273"/>
      <c r="N888" s="273"/>
      <c r="O888" s="273"/>
      <c r="P888" s="273"/>
      <c r="Q888" s="39"/>
      <c r="R888" s="273"/>
      <c r="S888" s="273"/>
      <c r="T888" s="273"/>
      <c r="U888" s="273"/>
      <c r="V888" s="273"/>
      <c r="W888" s="273"/>
      <c r="X888" s="39"/>
      <c r="Y888" s="273"/>
      <c r="Z888" s="273"/>
      <c r="AA888" s="273"/>
      <c r="AB888" s="273"/>
      <c r="AC888" s="273"/>
      <c r="AD888" s="273"/>
      <c r="AE888" s="273"/>
      <c r="AF888" s="273"/>
      <c r="AG888" s="273"/>
      <c r="AH888" s="273"/>
      <c r="AI888" s="273"/>
      <c r="AJ888" s="273"/>
      <c r="AK888" s="273"/>
      <c r="AL888" s="273"/>
      <c r="AM888" s="273"/>
      <c r="AN888" s="273"/>
      <c r="AO888" s="273"/>
      <c r="AP888" s="273"/>
      <c r="AQ888" s="273"/>
      <c r="AR888" s="273"/>
      <c r="AS888" s="273"/>
      <c r="AT888" s="273"/>
      <c r="AU888" s="273"/>
      <c r="AV888" s="273"/>
    </row>
    <row r="889" spans="2:48" ht="12.75">
      <c r="B889" s="273"/>
      <c r="C889" s="273"/>
      <c r="D889" s="273"/>
      <c r="E889" s="273"/>
      <c r="F889" s="273"/>
      <c r="G889" s="273"/>
      <c r="H889" s="39"/>
      <c r="I889" s="273"/>
      <c r="J889" s="273"/>
      <c r="K889" s="273"/>
      <c r="L889" s="273"/>
      <c r="M889" s="273"/>
      <c r="N889" s="273"/>
      <c r="O889" s="273"/>
      <c r="P889" s="273"/>
      <c r="Q889" s="39"/>
      <c r="R889" s="273"/>
      <c r="S889" s="273"/>
      <c r="T889" s="273"/>
      <c r="U889" s="273"/>
      <c r="V889" s="273"/>
      <c r="W889" s="273"/>
      <c r="X889" s="39"/>
      <c r="Y889" s="273"/>
      <c r="Z889" s="273"/>
      <c r="AA889" s="273"/>
      <c r="AB889" s="273"/>
      <c r="AC889" s="273"/>
      <c r="AD889" s="273"/>
      <c r="AE889" s="273"/>
      <c r="AF889" s="273"/>
      <c r="AG889" s="273"/>
      <c r="AH889" s="273"/>
      <c r="AI889" s="273"/>
      <c r="AJ889" s="273"/>
      <c r="AK889" s="273"/>
      <c r="AL889" s="273"/>
      <c r="AM889" s="273"/>
      <c r="AN889" s="273"/>
      <c r="AO889" s="273"/>
      <c r="AP889" s="273"/>
      <c r="AQ889" s="273"/>
      <c r="AR889" s="273"/>
      <c r="AS889" s="273"/>
      <c r="AT889" s="273"/>
      <c r="AU889" s="273"/>
      <c r="AV889" s="273"/>
    </row>
    <row r="890" spans="2:48" ht="12.75">
      <c r="B890" s="273"/>
      <c r="C890" s="273"/>
      <c r="D890" s="273"/>
      <c r="E890" s="273"/>
      <c r="F890" s="273"/>
      <c r="G890" s="273"/>
      <c r="H890" s="39"/>
      <c r="I890" s="273"/>
      <c r="J890" s="273"/>
      <c r="K890" s="273"/>
      <c r="L890" s="273"/>
      <c r="M890" s="273"/>
      <c r="N890" s="273"/>
      <c r="O890" s="273"/>
      <c r="P890" s="273"/>
      <c r="Q890" s="39"/>
      <c r="R890" s="273"/>
      <c r="S890" s="273"/>
      <c r="T890" s="273"/>
      <c r="U890" s="273"/>
      <c r="V890" s="273"/>
      <c r="W890" s="273"/>
      <c r="X890" s="39"/>
      <c r="Y890" s="273"/>
      <c r="Z890" s="273"/>
      <c r="AA890" s="273"/>
      <c r="AB890" s="273"/>
      <c r="AC890" s="273"/>
      <c r="AD890" s="273"/>
      <c r="AE890" s="273"/>
      <c r="AF890" s="273"/>
      <c r="AG890" s="273"/>
      <c r="AH890" s="273"/>
      <c r="AI890" s="273"/>
      <c r="AJ890" s="273"/>
      <c r="AK890" s="273"/>
      <c r="AL890" s="273"/>
      <c r="AM890" s="273"/>
      <c r="AN890" s="273"/>
      <c r="AO890" s="273"/>
      <c r="AP890" s="273"/>
      <c r="AQ890" s="273"/>
      <c r="AR890" s="273"/>
      <c r="AS890" s="273"/>
      <c r="AT890" s="273"/>
      <c r="AU890" s="273"/>
      <c r="AV890" s="273"/>
    </row>
    <row r="891" spans="2:48" ht="12.75">
      <c r="B891" s="273"/>
      <c r="C891" s="273"/>
      <c r="D891" s="273"/>
      <c r="E891" s="273"/>
      <c r="F891" s="273"/>
      <c r="G891" s="273"/>
      <c r="H891" s="39"/>
      <c r="I891" s="273"/>
      <c r="J891" s="273"/>
      <c r="K891" s="273"/>
      <c r="L891" s="273"/>
      <c r="M891" s="273"/>
      <c r="N891" s="273"/>
      <c r="O891" s="273"/>
      <c r="P891" s="273"/>
      <c r="Q891" s="39"/>
      <c r="R891" s="273"/>
      <c r="S891" s="273"/>
      <c r="T891" s="273"/>
      <c r="U891" s="273"/>
      <c r="V891" s="273"/>
      <c r="W891" s="273"/>
      <c r="X891" s="39"/>
      <c r="Y891" s="273"/>
      <c r="Z891" s="273"/>
      <c r="AA891" s="273"/>
      <c r="AB891" s="273"/>
      <c r="AC891" s="273"/>
      <c r="AD891" s="273"/>
      <c r="AE891" s="273"/>
      <c r="AF891" s="273"/>
      <c r="AG891" s="273"/>
      <c r="AH891" s="273"/>
      <c r="AI891" s="273"/>
      <c r="AJ891" s="273"/>
      <c r="AK891" s="273"/>
      <c r="AL891" s="273"/>
      <c r="AM891" s="273"/>
      <c r="AN891" s="273"/>
      <c r="AO891" s="273"/>
      <c r="AP891" s="273"/>
      <c r="AQ891" s="273"/>
      <c r="AR891" s="273"/>
      <c r="AS891" s="273"/>
      <c r="AT891" s="273"/>
      <c r="AU891" s="273"/>
      <c r="AV891" s="273"/>
    </row>
    <row r="892" spans="2:48" ht="12.75">
      <c r="B892" s="273"/>
      <c r="C892" s="273"/>
      <c r="D892" s="273"/>
      <c r="E892" s="273"/>
      <c r="F892" s="273"/>
      <c r="G892" s="273"/>
      <c r="H892" s="39"/>
      <c r="I892" s="273"/>
      <c r="J892" s="273"/>
      <c r="K892" s="273"/>
      <c r="L892" s="273"/>
      <c r="M892" s="273"/>
      <c r="N892" s="273"/>
      <c r="O892" s="273"/>
      <c r="P892" s="273"/>
      <c r="Q892" s="39"/>
      <c r="R892" s="273"/>
      <c r="S892" s="273"/>
      <c r="T892" s="273"/>
      <c r="U892" s="273"/>
      <c r="V892" s="273"/>
      <c r="W892" s="273"/>
      <c r="X892" s="39"/>
      <c r="Y892" s="273"/>
      <c r="Z892" s="273"/>
      <c r="AA892" s="273"/>
      <c r="AB892" s="273"/>
      <c r="AC892" s="273"/>
      <c r="AD892" s="273"/>
      <c r="AE892" s="273"/>
      <c r="AF892" s="273"/>
      <c r="AG892" s="273"/>
      <c r="AH892" s="273"/>
      <c r="AI892" s="273"/>
      <c r="AJ892" s="273"/>
      <c r="AK892" s="273"/>
      <c r="AL892" s="273"/>
      <c r="AM892" s="273"/>
      <c r="AN892" s="273"/>
      <c r="AO892" s="273"/>
      <c r="AP892" s="273"/>
      <c r="AQ892" s="273"/>
      <c r="AR892" s="273"/>
      <c r="AS892" s="273"/>
      <c r="AT892" s="273"/>
      <c r="AU892" s="273"/>
      <c r="AV892" s="273"/>
    </row>
    <row r="893" spans="2:48" ht="12.75">
      <c r="B893" s="273"/>
      <c r="C893" s="273"/>
      <c r="D893" s="273"/>
      <c r="E893" s="273"/>
      <c r="F893" s="273"/>
      <c r="G893" s="273"/>
      <c r="H893" s="39"/>
      <c r="I893" s="273"/>
      <c r="J893" s="273"/>
      <c r="K893" s="273"/>
      <c r="L893" s="273"/>
      <c r="M893" s="273"/>
      <c r="N893" s="273"/>
      <c r="O893" s="273"/>
      <c r="P893" s="273"/>
      <c r="Q893" s="39"/>
      <c r="R893" s="273"/>
      <c r="S893" s="273"/>
      <c r="T893" s="273"/>
      <c r="U893" s="273"/>
      <c r="V893" s="273"/>
      <c r="W893" s="273"/>
      <c r="X893" s="39"/>
      <c r="Y893" s="273"/>
      <c r="Z893" s="273"/>
      <c r="AA893" s="273"/>
      <c r="AB893" s="273"/>
      <c r="AC893" s="273"/>
      <c r="AD893" s="273"/>
      <c r="AE893" s="273"/>
      <c r="AF893" s="273"/>
      <c r="AG893" s="273"/>
      <c r="AH893" s="273"/>
      <c r="AI893" s="273"/>
      <c r="AJ893" s="273"/>
      <c r="AK893" s="273"/>
      <c r="AL893" s="273"/>
      <c r="AM893" s="273"/>
      <c r="AN893" s="273"/>
      <c r="AO893" s="273"/>
      <c r="AP893" s="273"/>
      <c r="AQ893" s="273"/>
      <c r="AR893" s="273"/>
      <c r="AS893" s="273"/>
      <c r="AT893" s="273"/>
      <c r="AU893" s="273"/>
      <c r="AV893" s="273"/>
    </row>
    <row r="894" spans="2:48" ht="12.75">
      <c r="B894" s="273"/>
      <c r="C894" s="273"/>
      <c r="D894" s="273"/>
      <c r="E894" s="273"/>
      <c r="F894" s="273"/>
      <c r="G894" s="273"/>
      <c r="H894" s="39"/>
      <c r="I894" s="273"/>
      <c r="J894" s="273"/>
      <c r="K894" s="273"/>
      <c r="L894" s="273"/>
      <c r="M894" s="273"/>
      <c r="N894" s="273"/>
      <c r="O894" s="273"/>
      <c r="P894" s="273"/>
      <c r="Q894" s="39"/>
      <c r="R894" s="273"/>
      <c r="S894" s="273"/>
      <c r="T894" s="273"/>
      <c r="U894" s="273"/>
      <c r="V894" s="273"/>
      <c r="W894" s="273"/>
      <c r="X894" s="39"/>
      <c r="Y894" s="273"/>
      <c r="Z894" s="273"/>
      <c r="AA894" s="273"/>
      <c r="AB894" s="273"/>
      <c r="AC894" s="273"/>
      <c r="AD894" s="273"/>
      <c r="AE894" s="273"/>
      <c r="AF894" s="273"/>
      <c r="AG894" s="273"/>
      <c r="AH894" s="273"/>
      <c r="AI894" s="273"/>
      <c r="AJ894" s="273"/>
      <c r="AK894" s="273"/>
      <c r="AL894" s="273"/>
      <c r="AM894" s="273"/>
      <c r="AN894" s="273"/>
      <c r="AO894" s="273"/>
      <c r="AP894" s="273"/>
      <c r="AQ894" s="273"/>
      <c r="AR894" s="273"/>
      <c r="AS894" s="273"/>
      <c r="AT894" s="273"/>
      <c r="AU894" s="273"/>
      <c r="AV894" s="273"/>
    </row>
    <row r="895" spans="2:48" ht="12.75">
      <c r="B895" s="273"/>
      <c r="C895" s="273"/>
      <c r="D895" s="273"/>
      <c r="E895" s="273"/>
      <c r="F895" s="273"/>
      <c r="G895" s="273"/>
      <c r="H895" s="39"/>
      <c r="I895" s="273"/>
      <c r="J895" s="273"/>
      <c r="K895" s="273"/>
      <c r="L895" s="273"/>
      <c r="M895" s="273"/>
      <c r="N895" s="273"/>
      <c r="O895" s="273"/>
      <c r="P895" s="273"/>
      <c r="Q895" s="39"/>
      <c r="R895" s="273"/>
      <c r="S895" s="273"/>
      <c r="T895" s="273"/>
      <c r="U895" s="273"/>
      <c r="V895" s="273"/>
      <c r="W895" s="273"/>
      <c r="X895" s="39"/>
      <c r="Y895" s="273"/>
      <c r="Z895" s="273"/>
      <c r="AA895" s="273"/>
      <c r="AB895" s="273"/>
      <c r="AC895" s="273"/>
      <c r="AD895" s="273"/>
      <c r="AE895" s="273"/>
      <c r="AF895" s="273"/>
      <c r="AG895" s="273"/>
      <c r="AH895" s="273"/>
      <c r="AI895" s="273"/>
      <c r="AJ895" s="273"/>
      <c r="AK895" s="273"/>
      <c r="AL895" s="273"/>
      <c r="AM895" s="273"/>
      <c r="AN895" s="273"/>
      <c r="AO895" s="273"/>
      <c r="AP895" s="273"/>
      <c r="AQ895" s="273"/>
      <c r="AR895" s="273"/>
      <c r="AS895" s="273"/>
      <c r="AT895" s="273"/>
      <c r="AU895" s="273"/>
      <c r="AV895" s="273"/>
    </row>
    <row r="896" spans="2:48" ht="12.75">
      <c r="B896" s="273"/>
      <c r="C896" s="273"/>
      <c r="D896" s="273"/>
      <c r="E896" s="273"/>
      <c r="F896" s="273"/>
      <c r="G896" s="273"/>
      <c r="H896" s="39"/>
      <c r="I896" s="273"/>
      <c r="J896" s="273"/>
      <c r="K896" s="273"/>
      <c r="L896" s="273"/>
      <c r="M896" s="273"/>
      <c r="N896" s="273"/>
      <c r="O896" s="273"/>
      <c r="P896" s="273"/>
      <c r="Q896" s="39"/>
      <c r="R896" s="273"/>
      <c r="S896" s="273"/>
      <c r="T896" s="273"/>
      <c r="U896" s="273"/>
      <c r="V896" s="273"/>
      <c r="W896" s="273"/>
      <c r="X896" s="39"/>
      <c r="Y896" s="273"/>
      <c r="Z896" s="273"/>
      <c r="AA896" s="273"/>
      <c r="AB896" s="273"/>
      <c r="AC896" s="273"/>
      <c r="AD896" s="273"/>
      <c r="AE896" s="273"/>
      <c r="AF896" s="273"/>
      <c r="AG896" s="273"/>
      <c r="AH896" s="273"/>
      <c r="AI896" s="273"/>
      <c r="AJ896" s="273"/>
      <c r="AK896" s="273"/>
      <c r="AL896" s="273"/>
      <c r="AM896" s="273"/>
      <c r="AN896" s="273"/>
      <c r="AO896" s="273"/>
      <c r="AP896" s="273"/>
      <c r="AQ896" s="273"/>
      <c r="AR896" s="273"/>
      <c r="AS896" s="273"/>
      <c r="AT896" s="273"/>
      <c r="AU896" s="273"/>
      <c r="AV896" s="273"/>
    </row>
    <row r="897" spans="2:48" ht="12.75">
      <c r="B897" s="273"/>
      <c r="C897" s="273"/>
      <c r="D897" s="273"/>
      <c r="E897" s="273"/>
      <c r="F897" s="273"/>
      <c r="G897" s="273"/>
      <c r="H897" s="39"/>
      <c r="I897" s="273"/>
      <c r="J897" s="273"/>
      <c r="K897" s="273"/>
      <c r="L897" s="273"/>
      <c r="M897" s="273"/>
      <c r="N897" s="273"/>
      <c r="O897" s="273"/>
      <c r="P897" s="273"/>
      <c r="Q897" s="39"/>
      <c r="R897" s="273"/>
      <c r="S897" s="273"/>
      <c r="T897" s="273"/>
      <c r="U897" s="273"/>
      <c r="V897" s="273"/>
      <c r="W897" s="273"/>
      <c r="X897" s="39"/>
      <c r="Y897" s="273"/>
      <c r="Z897" s="273"/>
      <c r="AA897" s="273"/>
      <c r="AB897" s="273"/>
      <c r="AC897" s="273"/>
      <c r="AD897" s="273"/>
      <c r="AE897" s="273"/>
      <c r="AF897" s="273"/>
      <c r="AG897" s="273"/>
      <c r="AH897" s="273"/>
      <c r="AI897" s="273"/>
      <c r="AJ897" s="273"/>
      <c r="AK897" s="273"/>
      <c r="AL897" s="273"/>
      <c r="AM897" s="273"/>
      <c r="AN897" s="273"/>
      <c r="AO897" s="273"/>
      <c r="AP897" s="273"/>
      <c r="AQ897" s="273"/>
      <c r="AR897" s="273"/>
      <c r="AS897" s="273"/>
      <c r="AT897" s="273"/>
      <c r="AU897" s="273"/>
      <c r="AV897" s="273"/>
    </row>
    <row r="898" spans="2:48" ht="12.75">
      <c r="B898" s="273"/>
      <c r="C898" s="273"/>
      <c r="D898" s="273"/>
      <c r="E898" s="273"/>
      <c r="F898" s="273"/>
      <c r="G898" s="273"/>
      <c r="H898" s="39"/>
      <c r="I898" s="273"/>
      <c r="J898" s="273"/>
      <c r="K898" s="273"/>
      <c r="L898" s="273"/>
      <c r="M898" s="273"/>
      <c r="N898" s="273"/>
      <c r="O898" s="273"/>
      <c r="P898" s="273"/>
      <c r="Q898" s="39"/>
      <c r="R898" s="273"/>
      <c r="S898" s="273"/>
      <c r="T898" s="273"/>
      <c r="U898" s="273"/>
      <c r="V898" s="273"/>
      <c r="W898" s="273"/>
      <c r="X898" s="39"/>
      <c r="Y898" s="273"/>
      <c r="Z898" s="273"/>
      <c r="AA898" s="273"/>
      <c r="AB898" s="273"/>
      <c r="AC898" s="273"/>
      <c r="AD898" s="273"/>
      <c r="AE898" s="273"/>
      <c r="AF898" s="273"/>
      <c r="AG898" s="273"/>
      <c r="AH898" s="273"/>
      <c r="AI898" s="273"/>
      <c r="AJ898" s="273"/>
      <c r="AK898" s="273"/>
      <c r="AL898" s="273"/>
      <c r="AM898" s="273"/>
      <c r="AN898" s="273"/>
      <c r="AO898" s="273"/>
      <c r="AP898" s="273"/>
      <c r="AQ898" s="273"/>
      <c r="AR898" s="273"/>
      <c r="AS898" s="273"/>
      <c r="AT898" s="273"/>
      <c r="AU898" s="273"/>
      <c r="AV898" s="273"/>
    </row>
    <row r="899" spans="2:48" ht="12.75">
      <c r="B899" s="273"/>
      <c r="C899" s="273"/>
      <c r="D899" s="273"/>
      <c r="E899" s="273"/>
      <c r="F899" s="273"/>
      <c r="G899" s="273"/>
      <c r="H899" s="39"/>
      <c r="I899" s="273"/>
      <c r="J899" s="273"/>
      <c r="K899" s="273"/>
      <c r="L899" s="273"/>
      <c r="M899" s="273"/>
      <c r="N899" s="273"/>
      <c r="O899" s="273"/>
      <c r="P899" s="273"/>
      <c r="Q899" s="39"/>
      <c r="R899" s="273"/>
      <c r="S899" s="273"/>
      <c r="T899" s="273"/>
      <c r="U899" s="273"/>
      <c r="V899" s="273"/>
      <c r="W899" s="273"/>
      <c r="X899" s="39"/>
      <c r="Y899" s="273"/>
      <c r="Z899" s="273"/>
      <c r="AA899" s="273"/>
      <c r="AB899" s="273"/>
      <c r="AC899" s="273"/>
      <c r="AD899" s="273"/>
      <c r="AE899" s="273"/>
      <c r="AF899" s="273"/>
      <c r="AG899" s="273"/>
      <c r="AH899" s="273"/>
      <c r="AI899" s="273"/>
      <c r="AJ899" s="273"/>
      <c r="AK899" s="273"/>
      <c r="AL899" s="273"/>
      <c r="AM899" s="273"/>
      <c r="AN899" s="273"/>
      <c r="AO899" s="273"/>
      <c r="AP899" s="273"/>
      <c r="AQ899" s="273"/>
      <c r="AR899" s="273"/>
      <c r="AS899" s="273"/>
      <c r="AT899" s="273"/>
      <c r="AU899" s="273"/>
      <c r="AV899" s="273"/>
    </row>
    <row r="900" spans="2:48" ht="12.75">
      <c r="B900" s="273"/>
      <c r="C900" s="273"/>
      <c r="D900" s="273"/>
      <c r="E900" s="273"/>
      <c r="F900" s="273"/>
      <c r="G900" s="273"/>
      <c r="H900" s="39"/>
      <c r="I900" s="273"/>
      <c r="J900" s="273"/>
      <c r="K900" s="273"/>
      <c r="L900" s="273"/>
      <c r="M900" s="273"/>
      <c r="N900" s="273"/>
      <c r="O900" s="273"/>
      <c r="P900" s="273"/>
      <c r="Q900" s="39"/>
      <c r="R900" s="273"/>
      <c r="S900" s="273"/>
      <c r="T900" s="273"/>
      <c r="U900" s="273"/>
      <c r="V900" s="273"/>
      <c r="W900" s="273"/>
      <c r="X900" s="39"/>
      <c r="Y900" s="273"/>
      <c r="Z900" s="273"/>
      <c r="AA900" s="273"/>
      <c r="AB900" s="273"/>
      <c r="AC900" s="273"/>
      <c r="AD900" s="273"/>
      <c r="AE900" s="273"/>
      <c r="AF900" s="273"/>
      <c r="AG900" s="273"/>
      <c r="AH900" s="273"/>
      <c r="AI900" s="273"/>
      <c r="AJ900" s="273"/>
      <c r="AK900" s="273"/>
      <c r="AL900" s="273"/>
      <c r="AM900" s="273"/>
      <c r="AN900" s="273"/>
      <c r="AO900" s="273"/>
      <c r="AP900" s="273"/>
      <c r="AQ900" s="273"/>
      <c r="AR900" s="273"/>
      <c r="AS900" s="273"/>
      <c r="AT900" s="273"/>
      <c r="AU900" s="273"/>
      <c r="AV900" s="273"/>
    </row>
    <row r="901" spans="2:48" ht="12.75">
      <c r="B901" s="273"/>
      <c r="C901" s="273"/>
      <c r="D901" s="273"/>
      <c r="E901" s="273"/>
      <c r="F901" s="273"/>
      <c r="G901" s="273"/>
      <c r="H901" s="39"/>
      <c r="I901" s="273"/>
      <c r="J901" s="273"/>
      <c r="K901" s="273"/>
      <c r="L901" s="273"/>
      <c r="M901" s="273"/>
      <c r="N901" s="273"/>
      <c r="O901" s="273"/>
      <c r="P901" s="273"/>
      <c r="Q901" s="39"/>
      <c r="R901" s="273"/>
      <c r="S901" s="273"/>
      <c r="T901" s="273"/>
      <c r="U901" s="273"/>
      <c r="V901" s="273"/>
      <c r="W901" s="273"/>
      <c r="X901" s="39"/>
      <c r="Y901" s="273"/>
      <c r="Z901" s="273"/>
      <c r="AA901" s="273"/>
      <c r="AB901" s="273"/>
      <c r="AC901" s="273"/>
      <c r="AD901" s="273"/>
      <c r="AE901" s="273"/>
      <c r="AF901" s="273"/>
      <c r="AG901" s="273"/>
      <c r="AH901" s="273"/>
      <c r="AI901" s="273"/>
      <c r="AJ901" s="273"/>
      <c r="AK901" s="273"/>
      <c r="AL901" s="273"/>
      <c r="AM901" s="273"/>
      <c r="AN901" s="273"/>
      <c r="AO901" s="273"/>
      <c r="AP901" s="273"/>
      <c r="AQ901" s="273"/>
      <c r="AR901" s="273"/>
      <c r="AS901" s="273"/>
      <c r="AT901" s="273"/>
      <c r="AU901" s="273"/>
      <c r="AV901" s="273"/>
    </row>
    <row r="902" spans="2:48" ht="12.75">
      <c r="B902" s="273"/>
      <c r="C902" s="273"/>
      <c r="D902" s="273"/>
      <c r="E902" s="273"/>
      <c r="F902" s="273"/>
      <c r="G902" s="273"/>
      <c r="H902" s="39"/>
      <c r="I902" s="273"/>
      <c r="J902" s="273"/>
      <c r="K902" s="273"/>
      <c r="L902" s="273"/>
      <c r="M902" s="273"/>
      <c r="N902" s="273"/>
      <c r="O902" s="273"/>
      <c r="P902" s="273"/>
      <c r="Q902" s="39"/>
      <c r="R902" s="273"/>
      <c r="S902" s="273"/>
      <c r="T902" s="273"/>
      <c r="U902" s="273"/>
      <c r="V902" s="273"/>
      <c r="W902" s="273"/>
      <c r="X902" s="39"/>
      <c r="Y902" s="273"/>
      <c r="Z902" s="273"/>
      <c r="AA902" s="273"/>
      <c r="AB902" s="273"/>
      <c r="AC902" s="273"/>
      <c r="AD902" s="273"/>
      <c r="AE902" s="273"/>
      <c r="AF902" s="273"/>
      <c r="AG902" s="273"/>
      <c r="AH902" s="273"/>
      <c r="AI902" s="273"/>
      <c r="AJ902" s="273"/>
      <c r="AK902" s="273"/>
      <c r="AL902" s="273"/>
      <c r="AM902" s="273"/>
      <c r="AN902" s="273"/>
      <c r="AO902" s="273"/>
      <c r="AP902" s="273"/>
      <c r="AQ902" s="273"/>
      <c r="AR902" s="273"/>
      <c r="AS902" s="273"/>
      <c r="AT902" s="273"/>
      <c r="AU902" s="273"/>
      <c r="AV902" s="273"/>
    </row>
    <row r="903" spans="2:48" ht="12.75">
      <c r="B903" s="273"/>
      <c r="C903" s="273"/>
      <c r="D903" s="273"/>
      <c r="E903" s="273"/>
      <c r="F903" s="273"/>
      <c r="G903" s="273"/>
      <c r="H903" s="39"/>
      <c r="I903" s="273"/>
      <c r="J903" s="273"/>
      <c r="K903" s="273"/>
      <c r="L903" s="273"/>
      <c r="M903" s="273"/>
      <c r="N903" s="273"/>
      <c r="O903" s="273"/>
      <c r="P903" s="273"/>
      <c r="Q903" s="39"/>
      <c r="R903" s="273"/>
      <c r="S903" s="273"/>
      <c r="T903" s="273"/>
      <c r="U903" s="273"/>
      <c r="V903" s="273"/>
      <c r="W903" s="273"/>
      <c r="X903" s="39"/>
      <c r="Y903" s="273"/>
      <c r="Z903" s="273"/>
      <c r="AA903" s="273"/>
      <c r="AB903" s="273"/>
      <c r="AC903" s="273"/>
      <c r="AD903" s="273"/>
      <c r="AE903" s="273"/>
      <c r="AF903" s="273"/>
      <c r="AG903" s="273"/>
      <c r="AH903" s="273"/>
      <c r="AI903" s="273"/>
      <c r="AJ903" s="273"/>
      <c r="AK903" s="273"/>
      <c r="AL903" s="273"/>
      <c r="AM903" s="273"/>
      <c r="AN903" s="273"/>
      <c r="AO903" s="273"/>
      <c r="AP903" s="273"/>
      <c r="AQ903" s="273"/>
      <c r="AR903" s="273"/>
      <c r="AS903" s="273"/>
      <c r="AT903" s="273"/>
      <c r="AU903" s="273"/>
      <c r="AV903" s="273"/>
    </row>
    <row r="904" spans="2:48" ht="12.75">
      <c r="B904" s="273"/>
      <c r="C904" s="273"/>
      <c r="D904" s="273"/>
      <c r="E904" s="273"/>
      <c r="F904" s="273"/>
      <c r="G904" s="273"/>
      <c r="H904" s="39"/>
      <c r="I904" s="273"/>
      <c r="J904" s="273"/>
      <c r="K904" s="273"/>
      <c r="L904" s="273"/>
      <c r="M904" s="273"/>
      <c r="N904" s="273"/>
      <c r="O904" s="273"/>
      <c r="P904" s="273"/>
      <c r="Q904" s="39"/>
      <c r="R904" s="273"/>
      <c r="S904" s="273"/>
      <c r="T904" s="273"/>
      <c r="U904" s="273"/>
      <c r="V904" s="273"/>
      <c r="W904" s="273"/>
      <c r="X904" s="39"/>
      <c r="Y904" s="273"/>
      <c r="Z904" s="273"/>
      <c r="AA904" s="273"/>
      <c r="AB904" s="273"/>
      <c r="AC904" s="273"/>
      <c r="AD904" s="273"/>
      <c r="AE904" s="273"/>
      <c r="AF904" s="273"/>
      <c r="AG904" s="273"/>
      <c r="AH904" s="273"/>
      <c r="AI904" s="273"/>
      <c r="AJ904" s="273"/>
      <c r="AK904" s="273"/>
      <c r="AL904" s="273"/>
      <c r="AM904" s="273"/>
      <c r="AN904" s="273"/>
      <c r="AO904" s="273"/>
      <c r="AP904" s="273"/>
      <c r="AQ904" s="273"/>
      <c r="AR904" s="273"/>
      <c r="AS904" s="273"/>
      <c r="AT904" s="273"/>
      <c r="AU904" s="273"/>
      <c r="AV904" s="273"/>
    </row>
    <row r="905" spans="2:48" ht="12.75">
      <c r="B905" s="273"/>
      <c r="C905" s="273"/>
      <c r="D905" s="273"/>
      <c r="E905" s="273"/>
      <c r="F905" s="273"/>
      <c r="G905" s="273"/>
      <c r="H905" s="39"/>
      <c r="I905" s="273"/>
      <c r="J905" s="273"/>
      <c r="K905" s="273"/>
      <c r="L905" s="273"/>
      <c r="M905" s="273"/>
      <c r="N905" s="273"/>
      <c r="O905" s="273"/>
      <c r="P905" s="273"/>
      <c r="Q905" s="39"/>
      <c r="R905" s="273"/>
      <c r="S905" s="273"/>
      <c r="T905" s="273"/>
      <c r="U905" s="273"/>
      <c r="V905" s="273"/>
      <c r="W905" s="273"/>
      <c r="X905" s="39"/>
      <c r="Y905" s="273"/>
      <c r="Z905" s="273"/>
      <c r="AA905" s="273"/>
      <c r="AB905" s="273"/>
      <c r="AC905" s="273"/>
      <c r="AD905" s="273"/>
      <c r="AE905" s="273"/>
      <c r="AF905" s="273"/>
      <c r="AG905" s="273"/>
      <c r="AH905" s="273"/>
      <c r="AI905" s="273"/>
      <c r="AJ905" s="273"/>
      <c r="AK905" s="273"/>
      <c r="AL905" s="273"/>
      <c r="AM905" s="273"/>
      <c r="AN905" s="273"/>
      <c r="AO905" s="273"/>
      <c r="AP905" s="273"/>
      <c r="AQ905" s="273"/>
      <c r="AR905" s="273"/>
      <c r="AS905" s="273"/>
      <c r="AT905" s="273"/>
      <c r="AU905" s="273"/>
      <c r="AV905" s="273"/>
    </row>
    <row r="906" spans="2:48" ht="12.75">
      <c r="B906" s="273"/>
      <c r="C906" s="273"/>
      <c r="D906" s="273"/>
      <c r="E906" s="273"/>
      <c r="F906" s="273"/>
      <c r="G906" s="273"/>
      <c r="H906" s="39"/>
      <c r="I906" s="273"/>
      <c r="J906" s="273"/>
      <c r="K906" s="273"/>
      <c r="L906" s="273"/>
      <c r="M906" s="273"/>
      <c r="N906" s="273"/>
      <c r="O906" s="273"/>
      <c r="P906" s="273"/>
      <c r="Q906" s="39"/>
      <c r="R906" s="273"/>
      <c r="S906" s="273"/>
      <c r="T906" s="273"/>
      <c r="U906" s="273"/>
      <c r="V906" s="273"/>
      <c r="W906" s="273"/>
      <c r="X906" s="39"/>
      <c r="Y906" s="273"/>
      <c r="Z906" s="273"/>
      <c r="AA906" s="273"/>
      <c r="AB906" s="273"/>
      <c r="AC906" s="273"/>
      <c r="AD906" s="273"/>
      <c r="AE906" s="273"/>
      <c r="AF906" s="273"/>
      <c r="AG906" s="273"/>
      <c r="AH906" s="273"/>
      <c r="AI906" s="273"/>
      <c r="AJ906" s="273"/>
      <c r="AK906" s="273"/>
      <c r="AL906" s="273"/>
      <c r="AM906" s="273"/>
      <c r="AN906" s="273"/>
      <c r="AO906" s="273"/>
      <c r="AP906" s="273"/>
      <c r="AQ906" s="273"/>
      <c r="AR906" s="273"/>
      <c r="AS906" s="273"/>
      <c r="AT906" s="273"/>
      <c r="AU906" s="273"/>
      <c r="AV906" s="273"/>
    </row>
    <row r="907" spans="2:48" ht="12.75">
      <c r="B907" s="273"/>
      <c r="C907" s="273"/>
      <c r="D907" s="273"/>
      <c r="E907" s="273"/>
      <c r="F907" s="273"/>
      <c r="G907" s="273"/>
      <c r="H907" s="39"/>
      <c r="I907" s="273"/>
      <c r="J907" s="273"/>
      <c r="K907" s="273"/>
      <c r="L907" s="273"/>
      <c r="M907" s="273"/>
      <c r="N907" s="273"/>
      <c r="O907" s="273"/>
      <c r="P907" s="273"/>
      <c r="Q907" s="39"/>
      <c r="R907" s="273"/>
      <c r="S907" s="273"/>
      <c r="T907" s="273"/>
      <c r="U907" s="273"/>
      <c r="V907" s="273"/>
      <c r="W907" s="273"/>
      <c r="X907" s="39"/>
      <c r="Y907" s="273"/>
      <c r="Z907" s="273"/>
      <c r="AA907" s="273"/>
      <c r="AB907" s="273"/>
      <c r="AC907" s="273"/>
      <c r="AD907" s="273"/>
      <c r="AE907" s="273"/>
      <c r="AF907" s="273"/>
      <c r="AG907" s="273"/>
      <c r="AH907" s="273"/>
      <c r="AI907" s="273"/>
      <c r="AJ907" s="273"/>
      <c r="AK907" s="273"/>
      <c r="AL907" s="273"/>
      <c r="AM907" s="273"/>
      <c r="AN907" s="273"/>
      <c r="AO907" s="273"/>
      <c r="AP907" s="273"/>
      <c r="AQ907" s="273"/>
      <c r="AR907" s="273"/>
      <c r="AS907" s="273"/>
      <c r="AT907" s="273"/>
      <c r="AU907" s="273"/>
      <c r="AV907" s="273"/>
    </row>
    <row r="908" spans="2:48" ht="12.75">
      <c r="B908" s="273"/>
      <c r="C908" s="273"/>
      <c r="D908" s="273"/>
      <c r="E908" s="273"/>
      <c r="F908" s="273"/>
      <c r="G908" s="273"/>
      <c r="H908" s="39"/>
      <c r="I908" s="273"/>
      <c r="J908" s="273"/>
      <c r="K908" s="273"/>
      <c r="L908" s="273"/>
      <c r="M908" s="273"/>
      <c r="N908" s="273"/>
      <c r="O908" s="273"/>
      <c r="P908" s="273"/>
      <c r="Q908" s="39"/>
      <c r="R908" s="273"/>
      <c r="S908" s="273"/>
      <c r="T908" s="273"/>
      <c r="U908" s="273"/>
      <c r="V908" s="273"/>
      <c r="W908" s="273"/>
      <c r="X908" s="39"/>
      <c r="Y908" s="273"/>
      <c r="Z908" s="273"/>
      <c r="AA908" s="273"/>
      <c r="AB908" s="273"/>
      <c r="AC908" s="273"/>
      <c r="AD908" s="273"/>
      <c r="AE908" s="273"/>
      <c r="AF908" s="273"/>
      <c r="AG908" s="273"/>
      <c r="AH908" s="273"/>
      <c r="AI908" s="273"/>
      <c r="AJ908" s="273"/>
      <c r="AK908" s="273"/>
      <c r="AL908" s="273"/>
      <c r="AM908" s="273"/>
      <c r="AN908" s="273"/>
      <c r="AO908" s="273"/>
      <c r="AP908" s="273"/>
      <c r="AQ908" s="273"/>
      <c r="AR908" s="273"/>
      <c r="AS908" s="273"/>
      <c r="AT908" s="273"/>
      <c r="AU908" s="273"/>
      <c r="AV908" s="273"/>
    </row>
    <row r="909" spans="2:48" ht="12.75">
      <c r="B909" s="273"/>
      <c r="C909" s="273"/>
      <c r="D909" s="273"/>
      <c r="E909" s="273"/>
      <c r="F909" s="273"/>
      <c r="G909" s="273"/>
      <c r="H909" s="39"/>
      <c r="I909" s="273"/>
      <c r="J909" s="273"/>
      <c r="K909" s="273"/>
      <c r="L909" s="273"/>
      <c r="M909" s="273"/>
      <c r="N909" s="273"/>
      <c r="O909" s="273"/>
      <c r="P909" s="273"/>
      <c r="Q909" s="39"/>
      <c r="R909" s="273"/>
      <c r="S909" s="273"/>
      <c r="T909" s="273"/>
      <c r="U909" s="273"/>
      <c r="V909" s="273"/>
      <c r="W909" s="273"/>
      <c r="X909" s="39"/>
      <c r="Y909" s="273"/>
      <c r="Z909" s="273"/>
      <c r="AA909" s="273"/>
      <c r="AB909" s="273"/>
      <c r="AC909" s="273"/>
      <c r="AD909" s="273"/>
      <c r="AE909" s="273"/>
      <c r="AF909" s="273"/>
      <c r="AG909" s="273"/>
      <c r="AH909" s="273"/>
      <c r="AI909" s="273"/>
      <c r="AJ909" s="273"/>
      <c r="AK909" s="273"/>
      <c r="AL909" s="273"/>
      <c r="AM909" s="273"/>
      <c r="AN909" s="273"/>
      <c r="AO909" s="273"/>
      <c r="AP909" s="273"/>
      <c r="AQ909" s="273"/>
      <c r="AR909" s="273"/>
      <c r="AS909" s="273"/>
      <c r="AT909" s="273"/>
      <c r="AU909" s="273"/>
      <c r="AV909" s="273"/>
    </row>
    <row r="910" spans="2:48" ht="12.75">
      <c r="B910" s="273"/>
      <c r="C910" s="273"/>
      <c r="D910" s="273"/>
      <c r="E910" s="273"/>
      <c r="F910" s="273"/>
      <c r="G910" s="273"/>
      <c r="H910" s="39"/>
      <c r="I910" s="273"/>
      <c r="J910" s="273"/>
      <c r="K910" s="273"/>
      <c r="L910" s="273"/>
      <c r="M910" s="273"/>
      <c r="N910" s="273"/>
      <c r="O910" s="273"/>
      <c r="P910" s="273"/>
      <c r="Q910" s="39"/>
      <c r="R910" s="273"/>
      <c r="S910" s="273"/>
      <c r="T910" s="273"/>
      <c r="U910" s="273"/>
      <c r="V910" s="273"/>
      <c r="W910" s="273"/>
      <c r="X910" s="39"/>
      <c r="Y910" s="273"/>
      <c r="Z910" s="273"/>
      <c r="AA910" s="273"/>
      <c r="AB910" s="273"/>
      <c r="AC910" s="273"/>
      <c r="AD910" s="273"/>
      <c r="AE910" s="273"/>
      <c r="AF910" s="273"/>
      <c r="AG910" s="273"/>
      <c r="AH910" s="273"/>
      <c r="AI910" s="273"/>
      <c r="AJ910" s="273"/>
      <c r="AK910" s="273"/>
      <c r="AL910" s="273"/>
      <c r="AM910" s="273"/>
      <c r="AN910" s="273"/>
      <c r="AO910" s="273"/>
      <c r="AP910" s="273"/>
      <c r="AQ910" s="273"/>
      <c r="AR910" s="273"/>
      <c r="AS910" s="273"/>
      <c r="AT910" s="273"/>
      <c r="AU910" s="273"/>
      <c r="AV910" s="273"/>
    </row>
    <row r="911" spans="2:48" ht="12.75">
      <c r="B911" s="273"/>
      <c r="C911" s="273"/>
      <c r="D911" s="273"/>
      <c r="E911" s="273"/>
      <c r="F911" s="273"/>
      <c r="G911" s="273"/>
      <c r="H911" s="39"/>
      <c r="I911" s="273"/>
      <c r="J911" s="273"/>
      <c r="K911" s="273"/>
      <c r="L911" s="273"/>
      <c r="M911" s="273"/>
      <c r="N911" s="273"/>
      <c r="O911" s="273"/>
      <c r="P911" s="273"/>
      <c r="Q911" s="39"/>
      <c r="R911" s="273"/>
      <c r="S911" s="273"/>
      <c r="T911" s="273"/>
      <c r="U911" s="273"/>
      <c r="V911" s="273"/>
      <c r="W911" s="273"/>
      <c r="X911" s="39"/>
      <c r="Y911" s="273"/>
      <c r="Z911" s="273"/>
      <c r="AA911" s="273"/>
      <c r="AB911" s="273"/>
      <c r="AC911" s="273"/>
      <c r="AD911" s="273"/>
      <c r="AE911" s="273"/>
      <c r="AF911" s="273"/>
      <c r="AG911" s="273"/>
      <c r="AH911" s="273"/>
      <c r="AI911" s="273"/>
      <c r="AJ911" s="273"/>
      <c r="AK911" s="273"/>
      <c r="AL911" s="273"/>
      <c r="AM911" s="273"/>
      <c r="AN911" s="273"/>
      <c r="AO911" s="273"/>
      <c r="AP911" s="273"/>
      <c r="AQ911" s="273"/>
      <c r="AR911" s="273"/>
      <c r="AS911" s="273"/>
      <c r="AT911" s="273"/>
      <c r="AU911" s="273"/>
      <c r="AV911" s="273"/>
    </row>
    <row r="912" spans="2:48" ht="12.75">
      <c r="B912" s="273"/>
      <c r="C912" s="273"/>
      <c r="D912" s="273"/>
      <c r="E912" s="273"/>
      <c r="F912" s="273"/>
      <c r="G912" s="273"/>
      <c r="H912" s="39"/>
      <c r="I912" s="273"/>
      <c r="J912" s="273"/>
      <c r="K912" s="273"/>
      <c r="L912" s="273"/>
      <c r="M912" s="273"/>
      <c r="N912" s="273"/>
      <c r="O912" s="273"/>
      <c r="P912" s="273"/>
      <c r="Q912" s="39"/>
      <c r="R912" s="273"/>
      <c r="S912" s="273"/>
      <c r="T912" s="273"/>
      <c r="U912" s="273"/>
      <c r="V912" s="273"/>
      <c r="W912" s="273"/>
      <c r="X912" s="39"/>
      <c r="Y912" s="273"/>
      <c r="Z912" s="273"/>
      <c r="AA912" s="273"/>
      <c r="AB912" s="273"/>
      <c r="AC912" s="273"/>
      <c r="AD912" s="273"/>
      <c r="AE912" s="273"/>
      <c r="AF912" s="273"/>
      <c r="AG912" s="273"/>
      <c r="AH912" s="273"/>
      <c r="AI912" s="273"/>
      <c r="AJ912" s="273"/>
      <c r="AK912" s="273"/>
      <c r="AL912" s="273"/>
      <c r="AM912" s="273"/>
      <c r="AN912" s="273"/>
      <c r="AO912" s="273"/>
      <c r="AP912" s="273"/>
      <c r="AQ912" s="273"/>
      <c r="AR912" s="273"/>
      <c r="AS912" s="273"/>
      <c r="AT912" s="273"/>
      <c r="AU912" s="273"/>
      <c r="AV912" s="273"/>
    </row>
    <row r="913" spans="2:48" ht="12.75">
      <c r="B913" s="273"/>
      <c r="C913" s="273"/>
      <c r="D913" s="273"/>
      <c r="E913" s="273"/>
      <c r="F913" s="273"/>
      <c r="G913" s="273"/>
      <c r="H913" s="39"/>
      <c r="I913" s="273"/>
      <c r="J913" s="273"/>
      <c r="K913" s="273"/>
      <c r="L913" s="273"/>
      <c r="M913" s="273"/>
      <c r="N913" s="273"/>
      <c r="O913" s="273"/>
      <c r="P913" s="273"/>
      <c r="Q913" s="39"/>
      <c r="R913" s="273"/>
      <c r="S913" s="273"/>
      <c r="T913" s="273"/>
      <c r="U913" s="273"/>
      <c r="V913" s="273"/>
      <c r="W913" s="273"/>
      <c r="X913" s="39"/>
      <c r="Y913" s="273"/>
      <c r="Z913" s="273"/>
      <c r="AA913" s="273"/>
      <c r="AB913" s="273"/>
      <c r="AC913" s="273"/>
      <c r="AD913" s="273"/>
      <c r="AE913" s="273"/>
      <c r="AF913" s="273"/>
      <c r="AG913" s="273"/>
      <c r="AH913" s="273"/>
      <c r="AI913" s="273"/>
      <c r="AJ913" s="273"/>
      <c r="AK913" s="273"/>
      <c r="AL913" s="273"/>
      <c r="AM913" s="273"/>
      <c r="AN913" s="273"/>
      <c r="AO913" s="273"/>
      <c r="AP913" s="273"/>
      <c r="AQ913" s="273"/>
      <c r="AR913" s="273"/>
      <c r="AS913" s="273"/>
      <c r="AT913" s="273"/>
      <c r="AU913" s="273"/>
      <c r="AV913" s="273"/>
    </row>
    <row r="914" spans="2:48" ht="12.75">
      <c r="B914" s="273"/>
      <c r="C914" s="273"/>
      <c r="D914" s="273"/>
      <c r="E914" s="273"/>
      <c r="F914" s="273"/>
      <c r="G914" s="273"/>
      <c r="H914" s="39"/>
      <c r="I914" s="273"/>
      <c r="J914" s="273"/>
      <c r="K914" s="273"/>
      <c r="L914" s="273"/>
      <c r="M914" s="273"/>
      <c r="N914" s="273"/>
      <c r="O914" s="273"/>
      <c r="P914" s="273"/>
      <c r="Q914" s="39"/>
      <c r="R914" s="273"/>
      <c r="S914" s="273"/>
      <c r="T914" s="273"/>
      <c r="U914" s="273"/>
      <c r="V914" s="273"/>
      <c r="W914" s="273"/>
      <c r="X914" s="39"/>
      <c r="Y914" s="273"/>
      <c r="Z914" s="273"/>
      <c r="AA914" s="273"/>
      <c r="AB914" s="273"/>
      <c r="AC914" s="273"/>
      <c r="AD914" s="273"/>
      <c r="AE914" s="273"/>
      <c r="AF914" s="273"/>
      <c r="AG914" s="273"/>
      <c r="AH914" s="273"/>
      <c r="AI914" s="273"/>
      <c r="AJ914" s="273"/>
      <c r="AK914" s="273"/>
      <c r="AL914" s="273"/>
      <c r="AM914" s="273"/>
      <c r="AN914" s="273"/>
      <c r="AO914" s="273"/>
      <c r="AP914" s="273"/>
      <c r="AQ914" s="273"/>
      <c r="AR914" s="273"/>
      <c r="AS914" s="273"/>
      <c r="AT914" s="273"/>
      <c r="AU914" s="273"/>
      <c r="AV914" s="273"/>
    </row>
    <row r="915" spans="2:48" ht="12.75">
      <c r="B915" s="273"/>
      <c r="C915" s="273"/>
      <c r="D915" s="273"/>
      <c r="E915" s="273"/>
      <c r="F915" s="273"/>
      <c r="G915" s="273"/>
      <c r="H915" s="39"/>
      <c r="I915" s="273"/>
      <c r="J915" s="273"/>
      <c r="K915" s="273"/>
      <c r="L915" s="273"/>
      <c r="M915" s="273"/>
      <c r="N915" s="273"/>
      <c r="O915" s="273"/>
      <c r="P915" s="273"/>
      <c r="Q915" s="39"/>
      <c r="R915" s="273"/>
      <c r="S915" s="273"/>
      <c r="T915" s="273"/>
      <c r="U915" s="273"/>
      <c r="V915" s="273"/>
      <c r="W915" s="273"/>
      <c r="X915" s="39"/>
      <c r="Y915" s="273"/>
      <c r="Z915" s="273"/>
      <c r="AA915" s="273"/>
      <c r="AB915" s="273"/>
      <c r="AC915" s="273"/>
      <c r="AD915" s="273"/>
      <c r="AE915" s="273"/>
      <c r="AF915" s="273"/>
      <c r="AG915" s="273"/>
      <c r="AH915" s="273"/>
      <c r="AI915" s="273"/>
      <c r="AJ915" s="273"/>
      <c r="AK915" s="273"/>
      <c r="AL915" s="273"/>
      <c r="AM915" s="273"/>
      <c r="AN915" s="273"/>
      <c r="AO915" s="273"/>
      <c r="AP915" s="273"/>
      <c r="AQ915" s="273"/>
      <c r="AR915" s="273"/>
      <c r="AS915" s="273"/>
      <c r="AT915" s="273"/>
      <c r="AU915" s="273"/>
      <c r="AV915" s="273"/>
    </row>
    <row r="916" spans="2:48" ht="12.75">
      <c r="B916" s="273"/>
      <c r="C916" s="273"/>
      <c r="D916" s="273"/>
      <c r="E916" s="273"/>
      <c r="F916" s="273"/>
      <c r="G916" s="273"/>
      <c r="H916" s="39"/>
      <c r="I916" s="273"/>
      <c r="J916" s="273"/>
      <c r="K916" s="273"/>
      <c r="L916" s="273"/>
      <c r="M916" s="273"/>
      <c r="N916" s="273"/>
      <c r="O916" s="273"/>
      <c r="P916" s="273"/>
      <c r="Q916" s="39"/>
      <c r="R916" s="273"/>
      <c r="S916" s="273"/>
      <c r="T916" s="273"/>
      <c r="U916" s="273"/>
      <c r="V916" s="273"/>
      <c r="W916" s="273"/>
      <c r="X916" s="39"/>
      <c r="Y916" s="273"/>
      <c r="Z916" s="273"/>
      <c r="AA916" s="273"/>
      <c r="AB916" s="273"/>
      <c r="AC916" s="273"/>
      <c r="AD916" s="273"/>
      <c r="AE916" s="273"/>
      <c r="AF916" s="273"/>
      <c r="AG916" s="273"/>
      <c r="AH916" s="273"/>
      <c r="AI916" s="273"/>
      <c r="AJ916" s="273"/>
      <c r="AK916" s="273"/>
      <c r="AL916" s="273"/>
      <c r="AM916" s="273"/>
      <c r="AN916" s="273"/>
      <c r="AO916" s="273"/>
      <c r="AP916" s="273"/>
      <c r="AQ916" s="273"/>
      <c r="AR916" s="273"/>
      <c r="AS916" s="273"/>
      <c r="AT916" s="273"/>
      <c r="AU916" s="273"/>
      <c r="AV916" s="273"/>
    </row>
    <row r="917" spans="2:48" ht="12.75">
      <c r="B917" s="273"/>
      <c r="C917" s="273"/>
      <c r="D917" s="273"/>
      <c r="E917" s="273"/>
      <c r="F917" s="273"/>
      <c r="G917" s="273"/>
      <c r="H917" s="39"/>
      <c r="I917" s="273"/>
      <c r="J917" s="273"/>
      <c r="K917" s="273"/>
      <c r="L917" s="273"/>
      <c r="M917" s="273"/>
      <c r="N917" s="273"/>
      <c r="O917" s="273"/>
      <c r="P917" s="273"/>
      <c r="Q917" s="39"/>
      <c r="R917" s="273"/>
      <c r="S917" s="273"/>
      <c r="T917" s="273"/>
      <c r="U917" s="273"/>
      <c r="V917" s="273"/>
      <c r="W917" s="273"/>
      <c r="X917" s="39"/>
      <c r="Y917" s="273"/>
      <c r="Z917" s="273"/>
      <c r="AA917" s="273"/>
      <c r="AB917" s="273"/>
      <c r="AC917" s="273"/>
      <c r="AD917" s="273"/>
      <c r="AE917" s="273"/>
      <c r="AF917" s="273"/>
      <c r="AG917" s="273"/>
      <c r="AH917" s="273"/>
      <c r="AI917" s="273"/>
      <c r="AJ917" s="273"/>
      <c r="AK917" s="273"/>
      <c r="AL917" s="273"/>
      <c r="AM917" s="273"/>
      <c r="AN917" s="273"/>
      <c r="AO917" s="273"/>
      <c r="AP917" s="273"/>
      <c r="AQ917" s="273"/>
      <c r="AR917" s="273"/>
      <c r="AS917" s="273"/>
      <c r="AT917" s="273"/>
      <c r="AU917" s="273"/>
      <c r="AV917" s="273"/>
    </row>
    <row r="918" spans="2:48" ht="12.75">
      <c r="B918" s="273"/>
      <c r="C918" s="273"/>
      <c r="D918" s="273"/>
      <c r="E918" s="273"/>
      <c r="F918" s="273"/>
      <c r="G918" s="273"/>
      <c r="H918" s="39"/>
      <c r="I918" s="273"/>
      <c r="J918" s="273"/>
      <c r="K918" s="273"/>
      <c r="L918" s="273"/>
      <c r="M918" s="273"/>
      <c r="N918" s="273"/>
      <c r="O918" s="273"/>
      <c r="P918" s="273"/>
      <c r="Q918" s="39"/>
      <c r="R918" s="273"/>
      <c r="S918" s="273"/>
      <c r="T918" s="273"/>
      <c r="U918" s="273"/>
      <c r="V918" s="273"/>
      <c r="W918" s="273"/>
      <c r="X918" s="39"/>
      <c r="Y918" s="273"/>
      <c r="Z918" s="273"/>
      <c r="AA918" s="273"/>
      <c r="AB918" s="273"/>
      <c r="AC918" s="273"/>
      <c r="AD918" s="273"/>
      <c r="AE918" s="273"/>
      <c r="AF918" s="273"/>
      <c r="AG918" s="273"/>
      <c r="AH918" s="273"/>
      <c r="AI918" s="273"/>
      <c r="AJ918" s="273"/>
      <c r="AK918" s="273"/>
      <c r="AL918" s="273"/>
      <c r="AM918" s="273"/>
      <c r="AN918" s="273"/>
      <c r="AO918" s="273"/>
      <c r="AP918" s="273"/>
      <c r="AQ918" s="273"/>
      <c r="AR918" s="273"/>
      <c r="AS918" s="273"/>
      <c r="AT918" s="273"/>
      <c r="AU918" s="273"/>
      <c r="AV918" s="273"/>
    </row>
    <row r="919" spans="2:48" ht="12.75">
      <c r="B919" s="273"/>
      <c r="C919" s="273"/>
      <c r="D919" s="273"/>
      <c r="E919" s="273"/>
      <c r="F919" s="273"/>
      <c r="G919" s="273"/>
      <c r="H919" s="39"/>
      <c r="I919" s="273"/>
      <c r="J919" s="273"/>
      <c r="K919" s="273"/>
      <c r="L919" s="273"/>
      <c r="M919" s="273"/>
      <c r="N919" s="273"/>
      <c r="O919" s="273"/>
      <c r="P919" s="273"/>
      <c r="Q919" s="39"/>
      <c r="R919" s="273"/>
      <c r="S919" s="273"/>
      <c r="T919" s="273"/>
      <c r="U919" s="273"/>
      <c r="V919" s="273"/>
      <c r="W919" s="273"/>
      <c r="X919" s="39"/>
      <c r="Y919" s="273"/>
      <c r="Z919" s="273"/>
      <c r="AA919" s="273"/>
      <c r="AB919" s="273"/>
      <c r="AC919" s="273"/>
      <c r="AD919" s="273"/>
      <c r="AE919" s="273"/>
      <c r="AF919" s="273"/>
      <c r="AG919" s="273"/>
      <c r="AH919" s="273"/>
      <c r="AI919" s="273"/>
      <c r="AJ919" s="273"/>
      <c r="AK919" s="273"/>
      <c r="AL919" s="273"/>
      <c r="AM919" s="273"/>
      <c r="AN919" s="273"/>
      <c r="AO919" s="273"/>
      <c r="AP919" s="273"/>
      <c r="AQ919" s="273"/>
      <c r="AR919" s="273"/>
      <c r="AS919" s="273"/>
      <c r="AT919" s="273"/>
      <c r="AU919" s="273"/>
      <c r="AV919" s="273"/>
    </row>
    <row r="920" spans="2:48" ht="12.75">
      <c r="B920" s="273"/>
      <c r="C920" s="273"/>
      <c r="D920" s="273"/>
      <c r="E920" s="273"/>
      <c r="F920" s="273"/>
      <c r="G920" s="273"/>
      <c r="H920" s="39"/>
      <c r="I920" s="273"/>
      <c r="J920" s="273"/>
      <c r="K920" s="273"/>
      <c r="L920" s="273"/>
      <c r="M920" s="273"/>
      <c r="N920" s="273"/>
      <c r="O920" s="273"/>
      <c r="P920" s="273"/>
      <c r="Q920" s="39"/>
      <c r="R920" s="273"/>
      <c r="S920" s="273"/>
      <c r="T920" s="273"/>
      <c r="U920" s="273"/>
      <c r="V920" s="273"/>
      <c r="W920" s="273"/>
      <c r="X920" s="39"/>
      <c r="Y920" s="273"/>
      <c r="Z920" s="273"/>
      <c r="AA920" s="273"/>
      <c r="AB920" s="273"/>
      <c r="AC920" s="273"/>
      <c r="AD920" s="273"/>
      <c r="AE920" s="273"/>
      <c r="AF920" s="273"/>
      <c r="AG920" s="273"/>
      <c r="AH920" s="273"/>
      <c r="AI920" s="273"/>
      <c r="AJ920" s="273"/>
      <c r="AK920" s="273"/>
      <c r="AL920" s="273"/>
      <c r="AM920" s="273"/>
      <c r="AN920" s="273"/>
      <c r="AO920" s="273"/>
      <c r="AP920" s="273"/>
      <c r="AQ920" s="273"/>
      <c r="AR920" s="273"/>
      <c r="AS920" s="273"/>
      <c r="AT920" s="273"/>
      <c r="AU920" s="273"/>
      <c r="AV920" s="273"/>
    </row>
    <row r="921" spans="2:48" ht="12.75">
      <c r="B921" s="273"/>
      <c r="C921" s="273"/>
      <c r="D921" s="273"/>
      <c r="E921" s="273"/>
      <c r="F921" s="273"/>
      <c r="G921" s="273"/>
      <c r="H921" s="39"/>
      <c r="I921" s="273"/>
      <c r="J921" s="273"/>
      <c r="K921" s="273"/>
      <c r="L921" s="273"/>
      <c r="M921" s="273"/>
      <c r="N921" s="273"/>
      <c r="O921" s="273"/>
      <c r="P921" s="273"/>
      <c r="Q921" s="39"/>
      <c r="R921" s="273"/>
      <c r="S921" s="273"/>
      <c r="T921" s="273"/>
      <c r="U921" s="273"/>
      <c r="V921" s="273"/>
      <c r="W921" s="273"/>
      <c r="X921" s="39"/>
      <c r="Y921" s="273"/>
      <c r="Z921" s="273"/>
      <c r="AA921" s="273"/>
      <c r="AB921" s="273"/>
      <c r="AC921" s="273"/>
      <c r="AD921" s="273"/>
      <c r="AE921" s="273"/>
      <c r="AF921" s="273"/>
      <c r="AG921" s="273"/>
      <c r="AH921" s="273"/>
      <c r="AI921" s="273"/>
      <c r="AJ921" s="273"/>
      <c r="AK921" s="273"/>
      <c r="AL921" s="273"/>
      <c r="AM921" s="273"/>
      <c r="AN921" s="273"/>
      <c r="AO921" s="273"/>
      <c r="AP921" s="273"/>
      <c r="AQ921" s="273"/>
      <c r="AR921" s="273"/>
      <c r="AS921" s="273"/>
      <c r="AT921" s="273"/>
      <c r="AU921" s="273"/>
      <c r="AV921" s="273"/>
    </row>
    <row r="922" spans="2:48" ht="12.75">
      <c r="B922" s="273"/>
      <c r="C922" s="273"/>
      <c r="D922" s="273"/>
      <c r="E922" s="273"/>
      <c r="F922" s="273"/>
      <c r="G922" s="273"/>
      <c r="H922" s="39"/>
      <c r="I922" s="273"/>
      <c r="J922" s="273"/>
      <c r="K922" s="273"/>
      <c r="L922" s="273"/>
      <c r="M922" s="273"/>
      <c r="N922" s="273"/>
      <c r="O922" s="273"/>
      <c r="P922" s="273"/>
      <c r="Q922" s="39"/>
      <c r="R922" s="273"/>
      <c r="S922" s="273"/>
      <c r="T922" s="273"/>
      <c r="U922" s="273"/>
      <c r="V922" s="273"/>
      <c r="W922" s="273"/>
      <c r="X922" s="39"/>
      <c r="Y922" s="273"/>
      <c r="Z922" s="273"/>
      <c r="AA922" s="273"/>
      <c r="AB922" s="273"/>
      <c r="AC922" s="273"/>
      <c r="AD922" s="273"/>
      <c r="AE922" s="273"/>
      <c r="AF922" s="273"/>
      <c r="AG922" s="273"/>
      <c r="AH922" s="273"/>
      <c r="AI922" s="273"/>
      <c r="AJ922" s="273"/>
      <c r="AK922" s="273"/>
      <c r="AL922" s="273"/>
      <c r="AM922" s="273"/>
      <c r="AN922" s="273"/>
      <c r="AO922" s="273"/>
      <c r="AP922" s="273"/>
      <c r="AQ922" s="273"/>
      <c r="AR922" s="273"/>
      <c r="AS922" s="273"/>
      <c r="AT922" s="273"/>
      <c r="AU922" s="273"/>
      <c r="AV922" s="273"/>
    </row>
    <row r="923" spans="2:48" ht="12.75">
      <c r="B923" s="273"/>
      <c r="C923" s="273"/>
      <c r="D923" s="273"/>
      <c r="E923" s="273"/>
      <c r="F923" s="273"/>
      <c r="G923" s="273"/>
      <c r="H923" s="39"/>
      <c r="I923" s="273"/>
      <c r="J923" s="273"/>
      <c r="K923" s="273"/>
      <c r="L923" s="273"/>
      <c r="M923" s="273"/>
      <c r="N923" s="273"/>
      <c r="O923" s="273"/>
      <c r="P923" s="273"/>
      <c r="Q923" s="39"/>
      <c r="R923" s="273"/>
      <c r="S923" s="273"/>
      <c r="T923" s="273"/>
      <c r="U923" s="273"/>
      <c r="V923" s="273"/>
      <c r="W923" s="273"/>
      <c r="X923" s="39"/>
      <c r="Y923" s="273"/>
      <c r="Z923" s="273"/>
      <c r="AA923" s="273"/>
      <c r="AB923" s="273"/>
      <c r="AC923" s="273"/>
      <c r="AD923" s="273"/>
      <c r="AE923" s="273"/>
      <c r="AF923" s="273"/>
      <c r="AG923" s="273"/>
      <c r="AH923" s="273"/>
      <c r="AI923" s="273"/>
      <c r="AJ923" s="273"/>
      <c r="AK923" s="273"/>
      <c r="AL923" s="273"/>
      <c r="AM923" s="273"/>
      <c r="AN923" s="273"/>
      <c r="AO923" s="273"/>
      <c r="AP923" s="273"/>
      <c r="AQ923" s="273"/>
      <c r="AR923" s="273"/>
      <c r="AS923" s="273"/>
      <c r="AT923" s="273"/>
      <c r="AU923" s="273"/>
      <c r="AV923" s="273"/>
    </row>
    <row r="924" spans="2:48" ht="12.75">
      <c r="B924" s="273"/>
      <c r="C924" s="273"/>
      <c r="D924" s="273"/>
      <c r="E924" s="273"/>
      <c r="F924" s="273"/>
      <c r="G924" s="273"/>
      <c r="H924" s="39"/>
      <c r="I924" s="273"/>
      <c r="J924" s="273"/>
      <c r="K924" s="273"/>
      <c r="L924" s="273"/>
      <c r="M924" s="273"/>
      <c r="N924" s="273"/>
      <c r="O924" s="273"/>
      <c r="P924" s="273"/>
      <c r="Q924" s="39"/>
      <c r="R924" s="273"/>
      <c r="S924" s="273"/>
      <c r="T924" s="273"/>
      <c r="U924" s="273"/>
      <c r="V924" s="273"/>
      <c r="W924" s="273"/>
      <c r="X924" s="39"/>
      <c r="Y924" s="273"/>
      <c r="Z924" s="273"/>
      <c r="AA924" s="273"/>
      <c r="AB924" s="273"/>
      <c r="AC924" s="273"/>
      <c r="AD924" s="273"/>
      <c r="AE924" s="273"/>
      <c r="AF924" s="273"/>
      <c r="AG924" s="273"/>
      <c r="AH924" s="273"/>
      <c r="AI924" s="273"/>
      <c r="AJ924" s="273"/>
      <c r="AK924" s="273"/>
      <c r="AL924" s="273"/>
      <c r="AM924" s="273"/>
      <c r="AN924" s="273"/>
      <c r="AO924" s="273"/>
      <c r="AP924" s="273"/>
      <c r="AQ924" s="273"/>
      <c r="AR924" s="273"/>
      <c r="AS924" s="273"/>
      <c r="AT924" s="273"/>
      <c r="AU924" s="273"/>
      <c r="AV924" s="273"/>
    </row>
    <row r="925" spans="2:48" ht="12.75">
      <c r="B925" s="273"/>
      <c r="C925" s="273"/>
      <c r="D925" s="273"/>
      <c r="E925" s="273"/>
      <c r="F925" s="273"/>
      <c r="G925" s="273"/>
      <c r="H925" s="39"/>
      <c r="I925" s="273"/>
      <c r="J925" s="273"/>
      <c r="K925" s="273"/>
      <c r="L925" s="273"/>
      <c r="M925" s="273"/>
      <c r="N925" s="273"/>
      <c r="O925" s="273"/>
      <c r="P925" s="273"/>
      <c r="Q925" s="39"/>
      <c r="R925" s="273"/>
      <c r="S925" s="273"/>
      <c r="T925" s="273"/>
      <c r="U925" s="273"/>
      <c r="V925" s="273"/>
      <c r="W925" s="273"/>
      <c r="X925" s="39"/>
      <c r="Y925" s="273"/>
      <c r="Z925" s="273"/>
      <c r="AA925" s="273"/>
      <c r="AB925" s="273"/>
      <c r="AC925" s="273"/>
      <c r="AD925" s="273"/>
      <c r="AE925" s="273"/>
      <c r="AF925" s="273"/>
      <c r="AG925" s="273"/>
      <c r="AH925" s="273"/>
      <c r="AI925" s="273"/>
      <c r="AJ925" s="273"/>
      <c r="AK925" s="273"/>
      <c r="AL925" s="273"/>
      <c r="AM925" s="273"/>
      <c r="AN925" s="273"/>
      <c r="AO925" s="273"/>
      <c r="AP925" s="273"/>
      <c r="AQ925" s="273"/>
      <c r="AR925" s="273"/>
      <c r="AS925" s="273"/>
      <c r="AT925" s="273"/>
      <c r="AU925" s="273"/>
      <c r="AV925" s="273"/>
    </row>
    <row r="926" spans="2:48" ht="12.75">
      <c r="B926" s="273"/>
      <c r="C926" s="273"/>
      <c r="D926" s="273"/>
      <c r="E926" s="273"/>
      <c r="F926" s="273"/>
      <c r="G926" s="273"/>
      <c r="H926" s="39"/>
      <c r="I926" s="273"/>
      <c r="J926" s="273"/>
      <c r="K926" s="273"/>
      <c r="L926" s="273"/>
      <c r="M926" s="273"/>
      <c r="N926" s="273"/>
      <c r="O926" s="273"/>
      <c r="P926" s="273"/>
      <c r="Q926" s="39"/>
      <c r="R926" s="273"/>
      <c r="S926" s="273"/>
      <c r="T926" s="273"/>
      <c r="U926" s="273"/>
      <c r="V926" s="273"/>
      <c r="W926" s="273"/>
      <c r="X926" s="39"/>
      <c r="Y926" s="273"/>
      <c r="Z926" s="273"/>
      <c r="AA926" s="273"/>
      <c r="AB926" s="273"/>
      <c r="AC926" s="273"/>
      <c r="AD926" s="273"/>
      <c r="AE926" s="273"/>
      <c r="AF926" s="273"/>
      <c r="AG926" s="273"/>
      <c r="AH926" s="273"/>
      <c r="AI926" s="273"/>
      <c r="AJ926" s="273"/>
      <c r="AK926" s="273"/>
      <c r="AL926" s="273"/>
      <c r="AM926" s="273"/>
      <c r="AN926" s="273"/>
      <c r="AO926" s="273"/>
      <c r="AP926" s="273"/>
      <c r="AQ926" s="273"/>
      <c r="AR926" s="273"/>
      <c r="AS926" s="273"/>
      <c r="AT926" s="273"/>
      <c r="AU926" s="273"/>
      <c r="AV926" s="273"/>
    </row>
    <row r="927" spans="2:48" ht="12.75">
      <c r="B927" s="273"/>
      <c r="C927" s="273"/>
      <c r="D927" s="273"/>
      <c r="E927" s="273"/>
      <c r="F927" s="273"/>
      <c r="G927" s="273"/>
      <c r="H927" s="39"/>
      <c r="I927" s="273"/>
      <c r="J927" s="273"/>
      <c r="K927" s="273"/>
      <c r="L927" s="273"/>
      <c r="M927" s="273"/>
      <c r="N927" s="273"/>
      <c r="O927" s="273"/>
      <c r="P927" s="273"/>
      <c r="Q927" s="39"/>
      <c r="R927" s="273"/>
      <c r="S927" s="273"/>
      <c r="T927" s="273"/>
      <c r="U927" s="273"/>
      <c r="V927" s="273"/>
      <c r="W927" s="273"/>
      <c r="X927" s="39"/>
      <c r="Y927" s="273"/>
      <c r="Z927" s="273"/>
      <c r="AA927" s="273"/>
      <c r="AB927" s="273"/>
      <c r="AC927" s="273"/>
      <c r="AD927" s="273"/>
      <c r="AE927" s="273"/>
      <c r="AF927" s="273"/>
      <c r="AG927" s="273"/>
      <c r="AH927" s="273"/>
      <c r="AI927" s="273"/>
      <c r="AJ927" s="273"/>
      <c r="AK927" s="273"/>
      <c r="AL927" s="273"/>
      <c r="AM927" s="273"/>
      <c r="AN927" s="273"/>
      <c r="AO927" s="273"/>
      <c r="AP927" s="273"/>
      <c r="AQ927" s="273"/>
      <c r="AR927" s="273"/>
      <c r="AS927" s="273"/>
      <c r="AT927" s="273"/>
      <c r="AU927" s="273"/>
      <c r="AV927" s="273"/>
    </row>
    <row r="928" spans="2:48" ht="12.75">
      <c r="B928" s="273"/>
      <c r="C928" s="273"/>
      <c r="D928" s="273"/>
      <c r="E928" s="273"/>
      <c r="F928" s="273"/>
      <c r="G928" s="273"/>
      <c r="H928" s="39"/>
      <c r="I928" s="273"/>
      <c r="J928" s="273"/>
      <c r="K928" s="273"/>
      <c r="L928" s="273"/>
      <c r="M928" s="273"/>
      <c r="N928" s="273"/>
      <c r="O928" s="273"/>
      <c r="P928" s="273"/>
      <c r="Q928" s="39"/>
      <c r="R928" s="273"/>
      <c r="S928" s="273"/>
      <c r="T928" s="273"/>
      <c r="U928" s="273"/>
      <c r="V928" s="273"/>
      <c r="W928" s="273"/>
      <c r="X928" s="39"/>
      <c r="Y928" s="273"/>
      <c r="Z928" s="273"/>
      <c r="AA928" s="273"/>
      <c r="AB928" s="273"/>
      <c r="AC928" s="273"/>
      <c r="AD928" s="273"/>
      <c r="AE928" s="273"/>
      <c r="AF928" s="273"/>
      <c r="AG928" s="273"/>
      <c r="AH928" s="273"/>
      <c r="AI928" s="273"/>
      <c r="AJ928" s="273"/>
      <c r="AK928" s="273"/>
      <c r="AL928" s="273"/>
      <c r="AM928" s="273"/>
      <c r="AN928" s="273"/>
      <c r="AO928" s="273"/>
      <c r="AP928" s="273"/>
      <c r="AQ928" s="273"/>
      <c r="AR928" s="273"/>
      <c r="AS928" s="273"/>
      <c r="AT928" s="273"/>
      <c r="AU928" s="273"/>
      <c r="AV928" s="273"/>
    </row>
    <row r="929" spans="2:48" ht="12.75">
      <c r="B929" s="273"/>
      <c r="C929" s="273"/>
      <c r="D929" s="273"/>
      <c r="E929" s="273"/>
      <c r="F929" s="273"/>
      <c r="G929" s="273"/>
      <c r="H929" s="39"/>
      <c r="I929" s="273"/>
      <c r="J929" s="273"/>
      <c r="K929" s="273"/>
      <c r="L929" s="273"/>
      <c r="M929" s="273"/>
      <c r="N929" s="273"/>
      <c r="O929" s="273"/>
      <c r="P929" s="273"/>
      <c r="Q929" s="39"/>
      <c r="R929" s="273"/>
      <c r="S929" s="273"/>
      <c r="T929" s="273"/>
      <c r="U929" s="273"/>
      <c r="V929" s="273"/>
      <c r="W929" s="273"/>
      <c r="X929" s="39"/>
      <c r="Y929" s="273"/>
      <c r="Z929" s="273"/>
      <c r="AA929" s="273"/>
      <c r="AB929" s="273"/>
      <c r="AC929" s="273"/>
      <c r="AD929" s="273"/>
      <c r="AE929" s="273"/>
      <c r="AF929" s="273"/>
      <c r="AG929" s="273"/>
      <c r="AH929" s="273"/>
      <c r="AI929" s="273"/>
      <c r="AJ929" s="273"/>
      <c r="AK929" s="273"/>
      <c r="AL929" s="273"/>
      <c r="AM929" s="273"/>
      <c r="AN929" s="273"/>
      <c r="AO929" s="273"/>
      <c r="AP929" s="273"/>
      <c r="AQ929" s="273"/>
      <c r="AR929" s="273"/>
      <c r="AS929" s="273"/>
      <c r="AT929" s="273"/>
      <c r="AU929" s="273"/>
      <c r="AV929" s="273"/>
    </row>
    <row r="930" spans="2:48" ht="12.75">
      <c r="B930" s="273"/>
      <c r="C930" s="273"/>
      <c r="D930" s="273"/>
      <c r="E930" s="273"/>
      <c r="F930" s="273"/>
      <c r="G930" s="273"/>
      <c r="H930" s="39"/>
      <c r="I930" s="273"/>
      <c r="J930" s="273"/>
      <c r="K930" s="273"/>
      <c r="L930" s="273"/>
      <c r="M930" s="273"/>
      <c r="N930" s="273"/>
      <c r="O930" s="273"/>
      <c r="P930" s="273"/>
      <c r="Q930" s="39"/>
      <c r="R930" s="273"/>
      <c r="S930" s="273"/>
      <c r="T930" s="273"/>
      <c r="U930" s="273"/>
      <c r="V930" s="273"/>
      <c r="W930" s="273"/>
      <c r="X930" s="39"/>
      <c r="Y930" s="273"/>
      <c r="Z930" s="273"/>
      <c r="AA930" s="273"/>
      <c r="AB930" s="273"/>
      <c r="AC930" s="273"/>
      <c r="AD930" s="273"/>
      <c r="AE930" s="273"/>
      <c r="AF930" s="273"/>
      <c r="AG930" s="273"/>
      <c r="AH930" s="273"/>
      <c r="AI930" s="273"/>
      <c r="AJ930" s="273"/>
      <c r="AK930" s="273"/>
      <c r="AL930" s="273"/>
      <c r="AM930" s="273"/>
      <c r="AN930" s="273"/>
      <c r="AO930" s="273"/>
      <c r="AP930" s="273"/>
      <c r="AQ930" s="273"/>
      <c r="AR930" s="273"/>
      <c r="AS930" s="273"/>
      <c r="AT930" s="273"/>
      <c r="AU930" s="273"/>
      <c r="AV930" s="273"/>
    </row>
    <row r="931" spans="2:48" ht="12.75">
      <c r="B931" s="273"/>
      <c r="C931" s="273"/>
      <c r="D931" s="273"/>
      <c r="E931" s="273"/>
      <c r="F931" s="273"/>
      <c r="G931" s="273"/>
      <c r="H931" s="39"/>
      <c r="I931" s="273"/>
      <c r="J931" s="273"/>
      <c r="K931" s="273"/>
      <c r="L931" s="273"/>
      <c r="M931" s="273"/>
      <c r="N931" s="273"/>
      <c r="O931" s="273"/>
      <c r="P931" s="273"/>
      <c r="Q931" s="39"/>
      <c r="R931" s="273"/>
      <c r="S931" s="273"/>
      <c r="T931" s="273"/>
      <c r="U931" s="273"/>
      <c r="V931" s="273"/>
      <c r="W931" s="273"/>
      <c r="X931" s="39"/>
      <c r="Y931" s="273"/>
      <c r="Z931" s="273"/>
      <c r="AA931" s="273"/>
      <c r="AB931" s="273"/>
      <c r="AC931" s="273"/>
      <c r="AD931" s="273"/>
      <c r="AE931" s="273"/>
      <c r="AF931" s="273"/>
      <c r="AG931" s="273"/>
      <c r="AH931" s="273"/>
      <c r="AI931" s="273"/>
      <c r="AJ931" s="273"/>
      <c r="AK931" s="273"/>
      <c r="AL931" s="273"/>
      <c r="AM931" s="273"/>
      <c r="AN931" s="273"/>
      <c r="AO931" s="273"/>
      <c r="AP931" s="273"/>
      <c r="AQ931" s="273"/>
      <c r="AR931" s="273"/>
      <c r="AS931" s="273"/>
      <c r="AT931" s="273"/>
      <c r="AU931" s="273"/>
      <c r="AV931" s="273"/>
    </row>
    <row r="932" spans="2:48" ht="12.75">
      <c r="B932" s="273"/>
      <c r="C932" s="273"/>
      <c r="D932" s="273"/>
      <c r="E932" s="273"/>
      <c r="F932" s="273"/>
      <c r="G932" s="273"/>
      <c r="H932" s="39"/>
      <c r="I932" s="273"/>
      <c r="J932" s="273"/>
      <c r="K932" s="273"/>
      <c r="L932" s="273"/>
      <c r="M932" s="273"/>
      <c r="N932" s="273"/>
      <c r="O932" s="273"/>
      <c r="P932" s="273"/>
      <c r="Q932" s="39"/>
      <c r="R932" s="273"/>
      <c r="S932" s="273"/>
      <c r="T932" s="273"/>
      <c r="U932" s="273"/>
      <c r="V932" s="273"/>
      <c r="W932" s="273"/>
      <c r="X932" s="39"/>
      <c r="Y932" s="273"/>
      <c r="Z932" s="273"/>
      <c r="AA932" s="273"/>
      <c r="AB932" s="273"/>
      <c r="AC932" s="273"/>
      <c r="AD932" s="273"/>
      <c r="AE932" s="273"/>
      <c r="AF932" s="273"/>
      <c r="AG932" s="273"/>
      <c r="AH932" s="273"/>
      <c r="AI932" s="273"/>
      <c r="AJ932" s="273"/>
      <c r="AK932" s="273"/>
      <c r="AL932" s="273"/>
      <c r="AM932" s="273"/>
      <c r="AN932" s="273"/>
      <c r="AO932" s="273"/>
      <c r="AP932" s="273"/>
      <c r="AQ932" s="273"/>
      <c r="AR932" s="273"/>
      <c r="AS932" s="273"/>
      <c r="AT932" s="273"/>
      <c r="AU932" s="273"/>
      <c r="AV932" s="273"/>
    </row>
    <row r="933" spans="2:48" ht="12.75">
      <c r="B933" s="273"/>
      <c r="C933" s="273"/>
      <c r="D933" s="273"/>
      <c r="E933" s="273"/>
      <c r="F933" s="273"/>
      <c r="G933" s="273"/>
      <c r="H933" s="39"/>
      <c r="I933" s="273"/>
      <c r="J933" s="273"/>
      <c r="K933" s="273"/>
      <c r="L933" s="273"/>
      <c r="M933" s="273"/>
      <c r="N933" s="273"/>
      <c r="O933" s="273"/>
      <c r="P933" s="273"/>
      <c r="Q933" s="39"/>
      <c r="R933" s="273"/>
      <c r="S933" s="273"/>
      <c r="T933" s="273"/>
      <c r="U933" s="273"/>
      <c r="V933" s="273"/>
      <c r="W933" s="273"/>
      <c r="X933" s="39"/>
      <c r="Y933" s="273"/>
      <c r="Z933" s="273"/>
      <c r="AA933" s="273"/>
      <c r="AB933" s="273"/>
      <c r="AC933" s="273"/>
      <c r="AD933" s="273"/>
      <c r="AE933" s="273"/>
      <c r="AF933" s="273"/>
      <c r="AG933" s="273"/>
      <c r="AH933" s="273"/>
      <c r="AI933" s="273"/>
      <c r="AJ933" s="273"/>
      <c r="AK933" s="273"/>
      <c r="AL933" s="273"/>
      <c r="AM933" s="273"/>
      <c r="AN933" s="273"/>
      <c r="AO933" s="273"/>
      <c r="AP933" s="273"/>
      <c r="AQ933" s="273"/>
      <c r="AR933" s="273"/>
      <c r="AS933" s="273"/>
      <c r="AT933" s="273"/>
      <c r="AU933" s="273"/>
      <c r="AV933" s="273"/>
    </row>
    <row r="934" spans="2:48" ht="12.75">
      <c r="B934" s="273"/>
      <c r="C934" s="273"/>
      <c r="D934" s="273"/>
      <c r="E934" s="273"/>
      <c r="F934" s="273"/>
      <c r="G934" s="273"/>
      <c r="H934" s="39"/>
      <c r="I934" s="273"/>
      <c r="J934" s="273"/>
      <c r="K934" s="273"/>
      <c r="L934" s="273"/>
      <c r="M934" s="273"/>
      <c r="N934" s="273"/>
      <c r="O934" s="273"/>
      <c r="P934" s="273"/>
      <c r="Q934" s="39"/>
      <c r="R934" s="273"/>
      <c r="S934" s="273"/>
      <c r="T934" s="273"/>
      <c r="U934" s="273"/>
      <c r="V934" s="273"/>
      <c r="W934" s="273"/>
      <c r="X934" s="39"/>
      <c r="Y934" s="273"/>
      <c r="Z934" s="273"/>
      <c r="AA934" s="273"/>
      <c r="AB934" s="273"/>
      <c r="AC934" s="273"/>
      <c r="AD934" s="273"/>
      <c r="AE934" s="273"/>
      <c r="AF934" s="273"/>
      <c r="AG934" s="273"/>
      <c r="AH934" s="273"/>
      <c r="AI934" s="273"/>
      <c r="AJ934" s="273"/>
      <c r="AK934" s="273"/>
      <c r="AL934" s="273"/>
      <c r="AM934" s="273"/>
      <c r="AN934" s="273"/>
      <c r="AO934" s="273"/>
      <c r="AP934" s="273"/>
      <c r="AQ934" s="273"/>
      <c r="AR934" s="273"/>
      <c r="AS934" s="273"/>
      <c r="AT934" s="273"/>
      <c r="AU934" s="273"/>
      <c r="AV934" s="273"/>
    </row>
    <row r="935" spans="2:48" ht="12.75">
      <c r="B935" s="273"/>
      <c r="C935" s="273"/>
      <c r="D935" s="273"/>
      <c r="E935" s="273"/>
      <c r="F935" s="273"/>
      <c r="G935" s="273"/>
      <c r="H935" s="39"/>
      <c r="I935" s="273"/>
      <c r="J935" s="273"/>
      <c r="K935" s="273"/>
      <c r="L935" s="273"/>
      <c r="M935" s="273"/>
      <c r="N935" s="273"/>
      <c r="O935" s="273"/>
      <c r="P935" s="273"/>
      <c r="Q935" s="39"/>
      <c r="R935" s="273"/>
      <c r="S935" s="273"/>
      <c r="T935" s="273"/>
      <c r="U935" s="273"/>
      <c r="V935" s="273"/>
      <c r="W935" s="273"/>
      <c r="X935" s="39"/>
      <c r="Y935" s="273"/>
      <c r="Z935" s="273"/>
      <c r="AA935" s="273"/>
      <c r="AB935" s="273"/>
      <c r="AC935" s="273"/>
      <c r="AD935" s="273"/>
      <c r="AE935" s="273"/>
      <c r="AF935" s="273"/>
      <c r="AG935" s="273"/>
      <c r="AH935" s="273"/>
      <c r="AI935" s="273"/>
      <c r="AJ935" s="273"/>
      <c r="AK935" s="273"/>
      <c r="AL935" s="273"/>
      <c r="AM935" s="273"/>
      <c r="AN935" s="273"/>
      <c r="AO935" s="273"/>
      <c r="AP935" s="273"/>
      <c r="AQ935" s="273"/>
      <c r="AR935" s="273"/>
      <c r="AS935" s="273"/>
      <c r="AT935" s="273"/>
      <c r="AU935" s="273"/>
      <c r="AV935" s="273"/>
    </row>
    <row r="936" spans="2:48" ht="12.75">
      <c r="B936" s="273"/>
      <c r="C936" s="273"/>
      <c r="D936" s="273"/>
      <c r="E936" s="273"/>
      <c r="F936" s="273"/>
      <c r="G936" s="273"/>
      <c r="H936" s="39"/>
      <c r="I936" s="273"/>
      <c r="J936" s="273"/>
      <c r="K936" s="273"/>
      <c r="L936" s="273"/>
      <c r="M936" s="273"/>
      <c r="N936" s="273"/>
      <c r="O936" s="273"/>
      <c r="P936" s="273"/>
      <c r="Q936" s="39"/>
      <c r="R936" s="273"/>
      <c r="S936" s="273"/>
      <c r="T936" s="273"/>
      <c r="U936" s="273"/>
      <c r="V936" s="273"/>
      <c r="W936" s="273"/>
      <c r="X936" s="39"/>
      <c r="Y936" s="273"/>
      <c r="Z936" s="273"/>
      <c r="AA936" s="273"/>
      <c r="AB936" s="273"/>
      <c r="AC936" s="273"/>
      <c r="AD936" s="273"/>
      <c r="AE936" s="273"/>
      <c r="AF936" s="273"/>
      <c r="AG936" s="273"/>
      <c r="AH936" s="273"/>
      <c r="AI936" s="273"/>
      <c r="AJ936" s="273"/>
      <c r="AK936" s="273"/>
      <c r="AL936" s="273"/>
      <c r="AM936" s="273"/>
      <c r="AN936" s="273"/>
      <c r="AO936" s="273"/>
      <c r="AP936" s="273"/>
      <c r="AQ936" s="273"/>
      <c r="AR936" s="273"/>
      <c r="AS936" s="273"/>
      <c r="AT936" s="273"/>
      <c r="AU936" s="273"/>
      <c r="AV936" s="273"/>
    </row>
    <row r="937" spans="2:48" ht="12.75">
      <c r="B937" s="273"/>
      <c r="C937" s="273"/>
      <c r="D937" s="273"/>
      <c r="E937" s="273"/>
      <c r="F937" s="273"/>
      <c r="G937" s="273"/>
      <c r="H937" s="39"/>
      <c r="I937" s="273"/>
      <c r="J937" s="273"/>
      <c r="K937" s="273"/>
      <c r="L937" s="273"/>
      <c r="M937" s="273"/>
      <c r="N937" s="273"/>
      <c r="O937" s="273"/>
      <c r="P937" s="273"/>
      <c r="Q937" s="39"/>
      <c r="R937" s="273"/>
      <c r="S937" s="273"/>
      <c r="T937" s="273"/>
      <c r="U937" s="273"/>
      <c r="V937" s="273"/>
      <c r="W937" s="273"/>
      <c r="X937" s="39"/>
      <c r="Y937" s="273"/>
      <c r="Z937" s="273"/>
      <c r="AA937" s="273"/>
      <c r="AB937" s="273"/>
      <c r="AC937" s="273"/>
      <c r="AD937" s="273"/>
      <c r="AE937" s="273"/>
      <c r="AF937" s="273"/>
      <c r="AG937" s="273"/>
      <c r="AH937" s="273"/>
      <c r="AI937" s="273"/>
      <c r="AJ937" s="273"/>
      <c r="AK937" s="273"/>
      <c r="AL937" s="273"/>
      <c r="AM937" s="273"/>
      <c r="AN937" s="273"/>
      <c r="AO937" s="273"/>
      <c r="AP937" s="273"/>
      <c r="AQ937" s="273"/>
      <c r="AR937" s="273"/>
      <c r="AS937" s="273"/>
      <c r="AT937" s="273"/>
      <c r="AU937" s="273"/>
      <c r="AV937" s="273"/>
    </row>
    <row r="938" spans="2:48" ht="12.75">
      <c r="B938" s="273"/>
      <c r="C938" s="273"/>
      <c r="D938" s="273"/>
      <c r="E938" s="273"/>
      <c r="F938" s="273"/>
      <c r="G938" s="273"/>
      <c r="H938" s="39"/>
      <c r="I938" s="273"/>
      <c r="J938" s="273"/>
      <c r="K938" s="273"/>
      <c r="L938" s="273"/>
      <c r="M938" s="273"/>
      <c r="N938" s="273"/>
      <c r="O938" s="273"/>
      <c r="P938" s="273"/>
      <c r="Q938" s="39"/>
      <c r="R938" s="273"/>
      <c r="S938" s="273"/>
      <c r="T938" s="273"/>
      <c r="U938" s="273"/>
      <c r="V938" s="273"/>
      <c r="W938" s="273"/>
      <c r="X938" s="39"/>
      <c r="Y938" s="273"/>
      <c r="Z938" s="273"/>
      <c r="AA938" s="273"/>
      <c r="AB938" s="273"/>
      <c r="AC938" s="273"/>
      <c r="AD938" s="273"/>
      <c r="AE938" s="273"/>
      <c r="AF938" s="273"/>
      <c r="AG938" s="273"/>
      <c r="AH938" s="273"/>
      <c r="AI938" s="273"/>
      <c r="AJ938" s="273"/>
      <c r="AK938" s="273"/>
      <c r="AL938" s="273"/>
      <c r="AM938" s="273"/>
      <c r="AN938" s="273"/>
      <c r="AO938" s="273"/>
      <c r="AP938" s="273"/>
      <c r="AQ938" s="273"/>
      <c r="AR938" s="273"/>
      <c r="AS938" s="273"/>
      <c r="AT938" s="273"/>
      <c r="AU938" s="273"/>
      <c r="AV938" s="273"/>
    </row>
    <row r="939" spans="2:48" ht="12.75">
      <c r="B939" s="273"/>
      <c r="C939" s="273"/>
      <c r="D939" s="273"/>
      <c r="E939" s="273"/>
      <c r="F939" s="273"/>
      <c r="G939" s="273"/>
      <c r="H939" s="39"/>
      <c r="I939" s="273"/>
      <c r="J939" s="273"/>
      <c r="K939" s="273"/>
      <c r="L939" s="273"/>
      <c r="M939" s="273"/>
      <c r="N939" s="273"/>
      <c r="O939" s="273"/>
      <c r="P939" s="273"/>
      <c r="Q939" s="39"/>
      <c r="R939" s="273"/>
      <c r="S939" s="273"/>
      <c r="T939" s="273"/>
      <c r="U939" s="273"/>
      <c r="V939" s="273"/>
      <c r="W939" s="273"/>
      <c r="X939" s="39"/>
      <c r="Y939" s="273"/>
      <c r="Z939" s="273"/>
      <c r="AA939" s="273"/>
      <c r="AB939" s="273"/>
      <c r="AC939" s="273"/>
      <c r="AD939" s="273"/>
      <c r="AE939" s="273"/>
      <c r="AF939" s="273"/>
      <c r="AG939" s="273"/>
      <c r="AH939" s="273"/>
      <c r="AI939" s="273"/>
      <c r="AJ939" s="273"/>
      <c r="AK939" s="273"/>
      <c r="AL939" s="273"/>
      <c r="AM939" s="273"/>
      <c r="AN939" s="273"/>
      <c r="AO939" s="273"/>
      <c r="AP939" s="273"/>
      <c r="AQ939" s="273"/>
      <c r="AR939" s="273"/>
      <c r="AS939" s="273"/>
      <c r="AT939" s="273"/>
      <c r="AU939" s="273"/>
      <c r="AV939" s="273"/>
    </row>
    <row r="940" spans="2:48" ht="12.75">
      <c r="B940" s="273"/>
      <c r="C940" s="273"/>
      <c r="D940" s="273"/>
      <c r="E940" s="273"/>
      <c r="F940" s="273"/>
      <c r="G940" s="273"/>
      <c r="H940" s="39"/>
      <c r="I940" s="273"/>
      <c r="J940" s="273"/>
      <c r="K940" s="273"/>
      <c r="L940" s="273"/>
      <c r="M940" s="273"/>
      <c r="N940" s="273"/>
      <c r="O940" s="273"/>
      <c r="P940" s="273"/>
      <c r="Q940" s="39"/>
      <c r="R940" s="273"/>
      <c r="S940" s="273"/>
      <c r="T940" s="273"/>
      <c r="U940" s="273"/>
      <c r="V940" s="273"/>
      <c r="W940" s="273"/>
      <c r="X940" s="39"/>
      <c r="Y940" s="273"/>
      <c r="Z940" s="273"/>
      <c r="AA940" s="273"/>
      <c r="AB940" s="273"/>
      <c r="AC940" s="273"/>
      <c r="AD940" s="273"/>
      <c r="AE940" s="273"/>
      <c r="AF940" s="273"/>
      <c r="AG940" s="273"/>
      <c r="AH940" s="273"/>
      <c r="AI940" s="273"/>
      <c r="AJ940" s="273"/>
      <c r="AK940" s="273"/>
      <c r="AL940" s="273"/>
      <c r="AM940" s="273"/>
      <c r="AN940" s="273"/>
      <c r="AO940" s="273"/>
      <c r="AP940" s="273"/>
      <c r="AQ940" s="273"/>
      <c r="AR940" s="273"/>
      <c r="AS940" s="273"/>
      <c r="AT940" s="273"/>
      <c r="AU940" s="273"/>
      <c r="AV940" s="273"/>
    </row>
    <row r="941" spans="2:48" ht="12.75">
      <c r="B941" s="273"/>
      <c r="C941" s="273"/>
      <c r="D941" s="273"/>
      <c r="E941" s="273"/>
      <c r="F941" s="273"/>
      <c r="G941" s="273"/>
      <c r="H941" s="39"/>
      <c r="I941" s="273"/>
      <c r="J941" s="273"/>
      <c r="K941" s="273"/>
      <c r="L941" s="273"/>
      <c r="M941" s="273"/>
      <c r="N941" s="273"/>
      <c r="O941" s="273"/>
      <c r="P941" s="273"/>
      <c r="Q941" s="39"/>
      <c r="R941" s="273"/>
      <c r="S941" s="273"/>
      <c r="T941" s="273"/>
      <c r="U941" s="273"/>
      <c r="V941" s="273"/>
      <c r="W941" s="273"/>
      <c r="X941" s="39"/>
      <c r="Y941" s="273"/>
      <c r="Z941" s="273"/>
      <c r="AA941" s="273"/>
      <c r="AB941" s="273"/>
      <c r="AC941" s="273"/>
      <c r="AD941" s="273"/>
      <c r="AE941" s="273"/>
      <c r="AF941" s="273"/>
      <c r="AG941" s="273"/>
      <c r="AH941" s="273"/>
      <c r="AI941" s="273"/>
      <c r="AJ941" s="273"/>
      <c r="AK941" s="273"/>
      <c r="AL941" s="273"/>
      <c r="AM941" s="273"/>
      <c r="AN941" s="273"/>
      <c r="AO941" s="273"/>
      <c r="AP941" s="273"/>
      <c r="AQ941" s="273"/>
      <c r="AR941" s="273"/>
      <c r="AS941" s="273"/>
      <c r="AT941" s="273"/>
      <c r="AU941" s="273"/>
      <c r="AV941" s="273"/>
    </row>
    <row r="942" spans="2:48" ht="12.75">
      <c r="B942" s="273"/>
      <c r="C942" s="273"/>
      <c r="D942" s="273"/>
      <c r="E942" s="273"/>
      <c r="F942" s="273"/>
      <c r="G942" s="273"/>
      <c r="H942" s="39"/>
      <c r="I942" s="273"/>
      <c r="J942" s="273"/>
      <c r="K942" s="273"/>
      <c r="L942" s="273"/>
      <c r="M942" s="273"/>
      <c r="N942" s="273"/>
      <c r="O942" s="273"/>
      <c r="P942" s="273"/>
      <c r="Q942" s="39"/>
      <c r="R942" s="273"/>
      <c r="S942" s="273"/>
      <c r="T942" s="273"/>
      <c r="U942" s="273"/>
      <c r="V942" s="273"/>
      <c r="W942" s="273"/>
      <c r="X942" s="39"/>
      <c r="Y942" s="273"/>
      <c r="Z942" s="273"/>
      <c r="AA942" s="273"/>
      <c r="AB942" s="273"/>
      <c r="AC942" s="273"/>
      <c r="AD942" s="273"/>
      <c r="AE942" s="273"/>
      <c r="AF942" s="273"/>
      <c r="AG942" s="273"/>
      <c r="AH942" s="273"/>
      <c r="AI942" s="273"/>
      <c r="AJ942" s="273"/>
      <c r="AK942" s="273"/>
      <c r="AL942" s="273"/>
      <c r="AM942" s="273"/>
      <c r="AN942" s="273"/>
      <c r="AO942" s="273"/>
      <c r="AP942" s="273"/>
      <c r="AQ942" s="273"/>
      <c r="AR942" s="273"/>
      <c r="AS942" s="273"/>
      <c r="AT942" s="273"/>
      <c r="AU942" s="273"/>
      <c r="AV942" s="273"/>
    </row>
    <row r="943" spans="2:48" ht="12.75">
      <c r="B943" s="273"/>
      <c r="C943" s="273"/>
      <c r="D943" s="273"/>
      <c r="E943" s="273"/>
      <c r="F943" s="273"/>
      <c r="G943" s="273"/>
      <c r="H943" s="39"/>
      <c r="I943" s="273"/>
      <c r="J943" s="273"/>
      <c r="K943" s="273"/>
      <c r="L943" s="273"/>
      <c r="M943" s="273"/>
      <c r="N943" s="273"/>
      <c r="O943" s="273"/>
      <c r="P943" s="273"/>
      <c r="Q943" s="39"/>
      <c r="R943" s="273"/>
      <c r="S943" s="273"/>
      <c r="T943" s="273"/>
      <c r="U943" s="273"/>
      <c r="V943" s="273"/>
      <c r="W943" s="273"/>
      <c r="X943" s="39"/>
      <c r="Y943" s="273"/>
      <c r="Z943" s="273"/>
      <c r="AA943" s="273"/>
      <c r="AB943" s="273"/>
      <c r="AC943" s="273"/>
      <c r="AD943" s="273"/>
      <c r="AE943" s="273"/>
      <c r="AF943" s="273"/>
      <c r="AG943" s="273"/>
      <c r="AH943" s="273"/>
      <c r="AI943" s="273"/>
      <c r="AJ943" s="273"/>
      <c r="AK943" s="273"/>
      <c r="AL943" s="273"/>
      <c r="AM943" s="273"/>
      <c r="AN943" s="273"/>
      <c r="AO943" s="273"/>
      <c r="AP943" s="273"/>
      <c r="AQ943" s="273"/>
      <c r="AR943" s="273"/>
      <c r="AS943" s="273"/>
      <c r="AT943" s="273"/>
      <c r="AU943" s="273"/>
      <c r="AV943" s="273"/>
    </row>
    <row r="944" spans="2:48" ht="12.75">
      <c r="B944" s="273"/>
      <c r="C944" s="273"/>
      <c r="D944" s="273"/>
      <c r="E944" s="273"/>
      <c r="F944" s="273"/>
      <c r="G944" s="273"/>
      <c r="H944" s="39"/>
      <c r="I944" s="273"/>
      <c r="J944" s="273"/>
      <c r="K944" s="273"/>
      <c r="L944" s="273"/>
      <c r="M944" s="273"/>
      <c r="N944" s="273"/>
      <c r="O944" s="273"/>
      <c r="P944" s="273"/>
      <c r="Q944" s="39"/>
      <c r="R944" s="273"/>
      <c r="S944" s="273"/>
      <c r="T944" s="273"/>
      <c r="U944" s="273"/>
      <c r="V944" s="273"/>
      <c r="W944" s="273"/>
      <c r="X944" s="39"/>
      <c r="Y944" s="273"/>
      <c r="Z944" s="273"/>
      <c r="AA944" s="273"/>
      <c r="AB944" s="273"/>
      <c r="AC944" s="273"/>
      <c r="AD944" s="273"/>
      <c r="AE944" s="273"/>
      <c r="AF944" s="273"/>
      <c r="AG944" s="273"/>
      <c r="AH944" s="273"/>
      <c r="AI944" s="273"/>
      <c r="AJ944" s="273"/>
      <c r="AK944" s="273"/>
      <c r="AL944" s="273"/>
      <c r="AM944" s="273"/>
      <c r="AN944" s="273"/>
      <c r="AO944" s="273"/>
      <c r="AP944" s="273"/>
      <c r="AQ944" s="273"/>
      <c r="AR944" s="273"/>
      <c r="AS944" s="273"/>
      <c r="AT944" s="273"/>
      <c r="AU944" s="273"/>
      <c r="AV944" s="273"/>
    </row>
    <row r="945" spans="2:48" ht="12.75">
      <c r="B945" s="273"/>
      <c r="C945" s="273"/>
      <c r="D945" s="273"/>
      <c r="E945" s="273"/>
      <c r="F945" s="273"/>
      <c r="G945" s="273"/>
      <c r="H945" s="39"/>
      <c r="I945" s="273"/>
      <c r="J945" s="273"/>
      <c r="K945" s="273"/>
      <c r="L945" s="273"/>
      <c r="M945" s="273"/>
      <c r="N945" s="273"/>
      <c r="O945" s="273"/>
      <c r="P945" s="273"/>
      <c r="Q945" s="39"/>
      <c r="R945" s="273"/>
      <c r="S945" s="273"/>
      <c r="T945" s="273"/>
      <c r="U945" s="273"/>
      <c r="V945" s="273"/>
      <c r="W945" s="273"/>
      <c r="X945" s="39"/>
      <c r="Y945" s="273"/>
      <c r="Z945" s="273"/>
      <c r="AA945" s="273"/>
      <c r="AB945" s="273"/>
      <c r="AC945" s="273"/>
      <c r="AD945" s="273"/>
      <c r="AE945" s="273"/>
      <c r="AF945" s="273"/>
      <c r="AG945" s="273"/>
      <c r="AH945" s="273"/>
      <c r="AI945" s="273"/>
      <c r="AJ945" s="273"/>
      <c r="AK945" s="273"/>
      <c r="AL945" s="273"/>
      <c r="AM945" s="273"/>
      <c r="AN945" s="273"/>
      <c r="AO945" s="273"/>
      <c r="AP945" s="273"/>
      <c r="AQ945" s="273"/>
      <c r="AR945" s="273"/>
      <c r="AS945" s="273"/>
      <c r="AT945" s="273"/>
      <c r="AU945" s="273"/>
      <c r="AV945" s="273"/>
    </row>
    <row r="946" spans="2:48" ht="12.75">
      <c r="B946" s="273"/>
      <c r="C946" s="273"/>
      <c r="D946" s="273"/>
      <c r="E946" s="273"/>
      <c r="F946" s="273"/>
      <c r="G946" s="273"/>
      <c r="H946" s="39"/>
      <c r="I946" s="273"/>
      <c r="J946" s="273"/>
      <c r="K946" s="273"/>
      <c r="L946" s="273"/>
      <c r="M946" s="273"/>
      <c r="N946" s="273"/>
      <c r="O946" s="273"/>
      <c r="P946" s="273"/>
      <c r="Q946" s="39"/>
      <c r="R946" s="273"/>
      <c r="S946" s="273"/>
      <c r="T946" s="273"/>
      <c r="U946" s="273"/>
      <c r="V946" s="273"/>
      <c r="W946" s="273"/>
      <c r="X946" s="39"/>
      <c r="Y946" s="273"/>
      <c r="Z946" s="273"/>
      <c r="AA946" s="273"/>
      <c r="AB946" s="273"/>
      <c r="AC946" s="273"/>
      <c r="AD946" s="273"/>
      <c r="AE946" s="273"/>
      <c r="AF946" s="273"/>
      <c r="AG946" s="273"/>
      <c r="AH946" s="273"/>
      <c r="AI946" s="273"/>
      <c r="AJ946" s="273"/>
      <c r="AK946" s="273"/>
      <c r="AL946" s="273"/>
      <c r="AM946" s="273"/>
      <c r="AN946" s="273"/>
      <c r="AO946" s="273"/>
      <c r="AP946" s="273"/>
      <c r="AQ946" s="273"/>
      <c r="AR946" s="273"/>
      <c r="AS946" s="273"/>
      <c r="AT946" s="273"/>
      <c r="AU946" s="273"/>
      <c r="AV946" s="273"/>
    </row>
    <row r="947" spans="2:48" ht="12.75">
      <c r="B947" s="273"/>
      <c r="C947" s="273"/>
      <c r="D947" s="273"/>
      <c r="E947" s="273"/>
      <c r="F947" s="273"/>
      <c r="G947" s="273"/>
      <c r="H947" s="39"/>
      <c r="I947" s="273"/>
      <c r="J947" s="273"/>
      <c r="K947" s="273"/>
      <c r="L947" s="273"/>
      <c r="M947" s="273"/>
      <c r="N947" s="273"/>
      <c r="O947" s="273"/>
      <c r="P947" s="273"/>
      <c r="Q947" s="39"/>
      <c r="R947" s="273"/>
      <c r="S947" s="273"/>
      <c r="T947" s="273"/>
      <c r="U947" s="273"/>
      <c r="V947" s="273"/>
      <c r="W947" s="273"/>
      <c r="X947" s="39"/>
      <c r="Y947" s="273"/>
      <c r="Z947" s="273"/>
      <c r="AA947" s="273"/>
      <c r="AB947" s="273"/>
      <c r="AC947" s="273"/>
      <c r="AD947" s="273"/>
      <c r="AE947" s="273"/>
      <c r="AF947" s="273"/>
      <c r="AG947" s="273"/>
      <c r="AH947" s="273"/>
      <c r="AI947" s="273"/>
      <c r="AJ947" s="273"/>
      <c r="AK947" s="273"/>
      <c r="AL947" s="273"/>
      <c r="AM947" s="273"/>
      <c r="AN947" s="273"/>
      <c r="AO947" s="273"/>
      <c r="AP947" s="273"/>
      <c r="AQ947" s="273"/>
      <c r="AR947" s="273"/>
      <c r="AS947" s="273"/>
      <c r="AT947" s="273"/>
      <c r="AU947" s="273"/>
      <c r="AV947" s="273"/>
    </row>
    <row r="948" spans="2:48" ht="12.75">
      <c r="B948" s="273"/>
      <c r="C948" s="273"/>
      <c r="D948" s="273"/>
      <c r="E948" s="273"/>
      <c r="F948" s="273"/>
      <c r="G948" s="273"/>
      <c r="H948" s="39"/>
      <c r="I948" s="273"/>
      <c r="J948" s="273"/>
      <c r="K948" s="273"/>
      <c r="L948" s="273"/>
      <c r="M948" s="273"/>
      <c r="N948" s="273"/>
      <c r="O948" s="273"/>
      <c r="P948" s="273"/>
      <c r="Q948" s="39"/>
      <c r="R948" s="273"/>
      <c r="S948" s="273"/>
      <c r="T948" s="273"/>
      <c r="U948" s="273"/>
      <c r="V948" s="273"/>
      <c r="W948" s="273"/>
      <c r="X948" s="39"/>
      <c r="Y948" s="273"/>
      <c r="Z948" s="273"/>
      <c r="AA948" s="273"/>
      <c r="AB948" s="273"/>
      <c r="AC948" s="273"/>
      <c r="AD948" s="273"/>
      <c r="AE948" s="273"/>
      <c r="AF948" s="273"/>
      <c r="AG948" s="273"/>
      <c r="AH948" s="273"/>
      <c r="AI948" s="273"/>
      <c r="AJ948" s="273"/>
      <c r="AK948" s="273"/>
      <c r="AL948" s="273"/>
      <c r="AM948" s="273"/>
      <c r="AN948" s="273"/>
      <c r="AO948" s="273"/>
      <c r="AP948" s="273"/>
      <c r="AQ948" s="273"/>
      <c r="AR948" s="273"/>
      <c r="AS948" s="273"/>
      <c r="AT948" s="273"/>
      <c r="AU948" s="273"/>
      <c r="AV948" s="273"/>
    </row>
    <row r="949" spans="2:48" ht="12.75">
      <c r="B949" s="273"/>
      <c r="C949" s="273"/>
      <c r="D949" s="273"/>
      <c r="E949" s="273"/>
      <c r="F949" s="273"/>
      <c r="G949" s="273"/>
      <c r="H949" s="39"/>
      <c r="I949" s="273"/>
      <c r="J949" s="273"/>
      <c r="K949" s="273"/>
      <c r="L949" s="273"/>
      <c r="M949" s="273"/>
      <c r="N949" s="273"/>
      <c r="O949" s="273"/>
      <c r="P949" s="273"/>
      <c r="Q949" s="39"/>
      <c r="R949" s="273"/>
      <c r="S949" s="273"/>
      <c r="T949" s="273"/>
      <c r="U949" s="273"/>
      <c r="V949" s="273"/>
      <c r="W949" s="273"/>
      <c r="X949" s="39"/>
      <c r="Y949" s="273"/>
      <c r="Z949" s="273"/>
      <c r="AA949" s="273"/>
      <c r="AB949" s="273"/>
      <c r="AC949" s="273"/>
      <c r="AD949" s="273"/>
      <c r="AE949" s="273"/>
      <c r="AF949" s="273"/>
      <c r="AG949" s="273"/>
      <c r="AH949" s="273"/>
      <c r="AI949" s="273"/>
      <c r="AJ949" s="273"/>
      <c r="AK949" s="273"/>
      <c r="AL949" s="273"/>
      <c r="AM949" s="273"/>
      <c r="AN949" s="273"/>
      <c r="AO949" s="273"/>
      <c r="AP949" s="273"/>
      <c r="AQ949" s="273"/>
      <c r="AR949" s="273"/>
      <c r="AS949" s="273"/>
      <c r="AT949" s="273"/>
      <c r="AU949" s="273"/>
      <c r="AV949" s="273"/>
    </row>
    <row r="950" spans="2:48" ht="12.75">
      <c r="B950" s="273"/>
      <c r="C950" s="273"/>
      <c r="D950" s="273"/>
      <c r="E950" s="273"/>
      <c r="F950" s="273"/>
      <c r="G950" s="273"/>
      <c r="H950" s="39"/>
      <c r="I950" s="273"/>
      <c r="J950" s="273"/>
      <c r="K950" s="273"/>
      <c r="L950" s="273"/>
      <c r="M950" s="273"/>
      <c r="N950" s="273"/>
      <c r="O950" s="273"/>
      <c r="P950" s="273"/>
      <c r="Q950" s="39"/>
      <c r="R950" s="273"/>
      <c r="S950" s="273"/>
      <c r="T950" s="273"/>
      <c r="U950" s="273"/>
      <c r="V950" s="273"/>
      <c r="W950" s="273"/>
      <c r="X950" s="39"/>
      <c r="Y950" s="273"/>
      <c r="Z950" s="273"/>
      <c r="AA950" s="273"/>
      <c r="AB950" s="273"/>
      <c r="AC950" s="273"/>
      <c r="AD950" s="273"/>
      <c r="AE950" s="273"/>
      <c r="AF950" s="273"/>
      <c r="AG950" s="273"/>
      <c r="AH950" s="273"/>
      <c r="AI950" s="273"/>
      <c r="AJ950" s="273"/>
      <c r="AK950" s="273"/>
      <c r="AL950" s="273"/>
      <c r="AM950" s="273"/>
      <c r="AN950" s="273"/>
      <c r="AO950" s="273"/>
      <c r="AP950" s="273"/>
      <c r="AQ950" s="273"/>
      <c r="AR950" s="273"/>
      <c r="AS950" s="273"/>
      <c r="AT950" s="273"/>
      <c r="AU950" s="273"/>
      <c r="AV950" s="273"/>
    </row>
    <row r="951" spans="2:48" ht="12.75">
      <c r="B951" s="273"/>
      <c r="C951" s="273"/>
      <c r="D951" s="273"/>
      <c r="E951" s="273"/>
      <c r="F951" s="273"/>
      <c r="G951" s="273"/>
      <c r="H951" s="39"/>
      <c r="I951" s="273"/>
      <c r="J951" s="273"/>
      <c r="K951" s="273"/>
      <c r="L951" s="273"/>
      <c r="M951" s="273"/>
      <c r="N951" s="273"/>
      <c r="O951" s="273"/>
      <c r="P951" s="273"/>
      <c r="Q951" s="39"/>
      <c r="R951" s="273"/>
      <c r="S951" s="273"/>
      <c r="T951" s="273"/>
      <c r="U951" s="273"/>
      <c r="V951" s="273"/>
      <c r="W951" s="273"/>
      <c r="X951" s="39"/>
      <c r="Y951" s="273"/>
      <c r="Z951" s="273"/>
      <c r="AA951" s="273"/>
      <c r="AB951" s="273"/>
      <c r="AC951" s="273"/>
      <c r="AD951" s="273"/>
      <c r="AE951" s="273"/>
      <c r="AF951" s="273"/>
      <c r="AG951" s="273"/>
      <c r="AH951" s="273"/>
      <c r="AI951" s="273"/>
      <c r="AJ951" s="273"/>
      <c r="AK951" s="273"/>
      <c r="AL951" s="273"/>
      <c r="AM951" s="273"/>
      <c r="AN951" s="273"/>
      <c r="AO951" s="273"/>
      <c r="AP951" s="273"/>
      <c r="AQ951" s="273"/>
      <c r="AR951" s="273"/>
      <c r="AS951" s="273"/>
      <c r="AT951" s="273"/>
      <c r="AU951" s="273"/>
      <c r="AV951" s="273"/>
    </row>
    <row r="952" spans="2:48" ht="12.75">
      <c r="B952" s="273"/>
      <c r="C952" s="273"/>
      <c r="D952" s="273"/>
      <c r="E952" s="273"/>
      <c r="F952" s="273"/>
      <c r="G952" s="273"/>
      <c r="H952" s="39"/>
      <c r="I952" s="273"/>
      <c r="J952" s="273"/>
      <c r="K952" s="273"/>
      <c r="L952" s="273"/>
      <c r="M952" s="273"/>
      <c r="N952" s="273"/>
      <c r="O952" s="273"/>
      <c r="P952" s="273"/>
      <c r="Q952" s="39"/>
      <c r="R952" s="273"/>
      <c r="S952" s="273"/>
      <c r="T952" s="273"/>
      <c r="U952" s="273"/>
      <c r="V952" s="273"/>
      <c r="W952" s="273"/>
      <c r="X952" s="39"/>
      <c r="Y952" s="273"/>
      <c r="Z952" s="273"/>
      <c r="AA952" s="273"/>
      <c r="AB952" s="273"/>
      <c r="AC952" s="273"/>
      <c r="AD952" s="273"/>
      <c r="AE952" s="273"/>
      <c r="AF952" s="273"/>
      <c r="AG952" s="273"/>
      <c r="AH952" s="273"/>
      <c r="AI952" s="273"/>
      <c r="AJ952" s="273"/>
      <c r="AK952" s="273"/>
      <c r="AL952" s="273"/>
      <c r="AM952" s="273"/>
      <c r="AN952" s="273"/>
      <c r="AO952" s="273"/>
      <c r="AP952" s="273"/>
      <c r="AQ952" s="273"/>
      <c r="AR952" s="273"/>
      <c r="AS952" s="273"/>
      <c r="AT952" s="273"/>
      <c r="AU952" s="273"/>
      <c r="AV952" s="273"/>
    </row>
    <row r="953" spans="2:48" ht="12.75">
      <c r="B953" s="273"/>
      <c r="C953" s="273"/>
      <c r="D953" s="273"/>
      <c r="E953" s="273"/>
      <c r="F953" s="273"/>
      <c r="G953" s="273"/>
      <c r="H953" s="39"/>
      <c r="I953" s="273"/>
      <c r="J953" s="273"/>
      <c r="K953" s="273"/>
      <c r="L953" s="273"/>
      <c r="M953" s="273"/>
      <c r="N953" s="273"/>
      <c r="O953" s="273"/>
      <c r="P953" s="273"/>
      <c r="Q953" s="39"/>
      <c r="R953" s="273"/>
      <c r="S953" s="273"/>
      <c r="T953" s="273"/>
      <c r="U953" s="273"/>
      <c r="V953" s="273"/>
      <c r="W953" s="273"/>
      <c r="X953" s="39"/>
      <c r="Y953" s="273"/>
      <c r="Z953" s="273"/>
      <c r="AA953" s="273"/>
      <c r="AB953" s="273"/>
      <c r="AC953" s="273"/>
      <c r="AD953" s="273"/>
      <c r="AE953" s="273"/>
      <c r="AF953" s="273"/>
      <c r="AG953" s="273"/>
      <c r="AH953" s="273"/>
      <c r="AI953" s="273"/>
      <c r="AJ953" s="273"/>
      <c r="AK953" s="273"/>
      <c r="AL953" s="273"/>
      <c r="AM953" s="273"/>
      <c r="AN953" s="273"/>
      <c r="AO953" s="273"/>
      <c r="AP953" s="273"/>
      <c r="AQ953" s="273"/>
      <c r="AR953" s="273"/>
      <c r="AS953" s="273"/>
      <c r="AT953" s="273"/>
      <c r="AU953" s="273"/>
      <c r="AV953" s="273"/>
    </row>
    <row r="954" spans="2:48" ht="12.75">
      <c r="B954" s="273"/>
      <c r="C954" s="273"/>
      <c r="D954" s="273"/>
      <c r="E954" s="273"/>
      <c r="F954" s="273"/>
      <c r="G954" s="273"/>
      <c r="H954" s="39"/>
      <c r="I954" s="273"/>
      <c r="J954" s="273"/>
      <c r="K954" s="273"/>
      <c r="L954" s="273"/>
      <c r="M954" s="273"/>
      <c r="N954" s="273"/>
      <c r="O954" s="273"/>
      <c r="P954" s="273"/>
      <c r="Q954" s="39"/>
      <c r="R954" s="273"/>
      <c r="S954" s="273"/>
      <c r="T954" s="273"/>
      <c r="U954" s="273"/>
      <c r="V954" s="273"/>
      <c r="W954" s="273"/>
      <c r="X954" s="39"/>
      <c r="Y954" s="273"/>
      <c r="Z954" s="273"/>
      <c r="AA954" s="273"/>
      <c r="AB954" s="273"/>
      <c r="AC954" s="273"/>
      <c r="AD954" s="273"/>
      <c r="AE954" s="273"/>
      <c r="AF954" s="273"/>
      <c r="AG954" s="273"/>
      <c r="AH954" s="273"/>
      <c r="AI954" s="273"/>
      <c r="AJ954" s="273"/>
      <c r="AK954" s="273"/>
      <c r="AL954" s="273"/>
      <c r="AM954" s="273"/>
      <c r="AN954" s="273"/>
      <c r="AO954" s="273"/>
      <c r="AP954" s="273"/>
      <c r="AQ954" s="273"/>
      <c r="AR954" s="273"/>
      <c r="AS954" s="273"/>
      <c r="AT954" s="273"/>
      <c r="AU954" s="273"/>
      <c r="AV954" s="273"/>
    </row>
    <row r="955" spans="2:48" ht="12.75">
      <c r="B955" s="273"/>
      <c r="C955" s="273"/>
      <c r="D955" s="273"/>
      <c r="E955" s="273"/>
      <c r="F955" s="273"/>
      <c r="G955" s="273"/>
      <c r="H955" s="39"/>
      <c r="I955" s="273"/>
      <c r="J955" s="273"/>
      <c r="K955" s="273"/>
      <c r="L955" s="273"/>
      <c r="M955" s="273"/>
      <c r="N955" s="273"/>
      <c r="O955" s="273"/>
      <c r="P955" s="273"/>
      <c r="Q955" s="39"/>
      <c r="R955" s="273"/>
      <c r="S955" s="273"/>
      <c r="T955" s="273"/>
      <c r="U955" s="273"/>
      <c r="V955" s="273"/>
      <c r="W955" s="273"/>
      <c r="X955" s="39"/>
      <c r="Y955" s="273"/>
      <c r="Z955" s="273"/>
      <c r="AA955" s="273"/>
      <c r="AB955" s="273"/>
      <c r="AC955" s="273"/>
      <c r="AD955" s="273"/>
      <c r="AE955" s="273"/>
      <c r="AF955" s="273"/>
      <c r="AG955" s="273"/>
      <c r="AH955" s="273"/>
      <c r="AI955" s="273"/>
      <c r="AJ955" s="273"/>
      <c r="AK955" s="273"/>
      <c r="AL955" s="273"/>
      <c r="AM955" s="273"/>
      <c r="AN955" s="273"/>
      <c r="AO955" s="273"/>
      <c r="AP955" s="273"/>
      <c r="AQ955" s="273"/>
      <c r="AR955" s="273"/>
      <c r="AS955" s="273"/>
      <c r="AT955" s="273"/>
      <c r="AU955" s="273"/>
      <c r="AV955" s="273"/>
    </row>
    <row r="956" spans="2:48" ht="12.75">
      <c r="B956" s="273"/>
      <c r="C956" s="273"/>
      <c r="D956" s="273"/>
      <c r="E956" s="273"/>
      <c r="F956" s="273"/>
      <c r="G956" s="273"/>
      <c r="H956" s="39"/>
      <c r="I956" s="273"/>
      <c r="J956" s="273"/>
      <c r="K956" s="273"/>
      <c r="L956" s="273"/>
      <c r="M956" s="273"/>
      <c r="N956" s="273"/>
      <c r="O956" s="273"/>
      <c r="P956" s="273"/>
      <c r="Q956" s="39"/>
      <c r="R956" s="273"/>
      <c r="S956" s="273"/>
      <c r="T956" s="273"/>
      <c r="U956" s="273"/>
      <c r="V956" s="273"/>
      <c r="W956" s="273"/>
      <c r="X956" s="39"/>
      <c r="Y956" s="273"/>
      <c r="Z956" s="273"/>
      <c r="AA956" s="273"/>
      <c r="AB956" s="273"/>
      <c r="AC956" s="273"/>
      <c r="AD956" s="273"/>
      <c r="AE956" s="273"/>
      <c r="AF956" s="273"/>
      <c r="AG956" s="273"/>
      <c r="AH956" s="273"/>
      <c r="AI956" s="273"/>
      <c r="AJ956" s="273"/>
      <c r="AK956" s="273"/>
      <c r="AL956" s="273"/>
      <c r="AM956" s="273"/>
      <c r="AN956" s="273"/>
      <c r="AO956" s="273"/>
      <c r="AP956" s="273"/>
      <c r="AQ956" s="273"/>
      <c r="AR956" s="273"/>
      <c r="AS956" s="273"/>
      <c r="AT956" s="273"/>
      <c r="AU956" s="273"/>
      <c r="AV956" s="273"/>
    </row>
    <row r="957" spans="2:48" ht="12.75">
      <c r="B957" s="273"/>
      <c r="C957" s="273"/>
      <c r="D957" s="273"/>
      <c r="E957" s="273"/>
      <c r="F957" s="273"/>
      <c r="G957" s="273"/>
      <c r="H957" s="39"/>
      <c r="I957" s="273"/>
      <c r="J957" s="273"/>
      <c r="K957" s="273"/>
      <c r="L957" s="273"/>
      <c r="M957" s="273"/>
      <c r="N957" s="273"/>
      <c r="O957" s="273"/>
      <c r="P957" s="273"/>
      <c r="Q957" s="39"/>
      <c r="R957" s="273"/>
      <c r="S957" s="273"/>
      <c r="T957" s="273"/>
      <c r="U957" s="273"/>
      <c r="V957" s="273"/>
      <c r="W957" s="273"/>
      <c r="X957" s="39"/>
      <c r="Y957" s="273"/>
      <c r="Z957" s="273"/>
      <c r="AA957" s="273"/>
      <c r="AB957" s="273"/>
      <c r="AC957" s="273"/>
      <c r="AD957" s="273"/>
      <c r="AE957" s="273"/>
      <c r="AF957" s="273"/>
      <c r="AG957" s="273"/>
      <c r="AH957" s="273"/>
      <c r="AI957" s="273"/>
      <c r="AJ957" s="273"/>
      <c r="AK957" s="273"/>
      <c r="AL957" s="273"/>
      <c r="AM957" s="273"/>
      <c r="AN957" s="273"/>
      <c r="AO957" s="273"/>
      <c r="AP957" s="273"/>
      <c r="AQ957" s="273"/>
      <c r="AR957" s="273"/>
      <c r="AS957" s="273"/>
      <c r="AT957" s="273"/>
      <c r="AU957" s="273"/>
      <c r="AV957" s="273"/>
    </row>
    <row r="958" spans="2:48" ht="12.75">
      <c r="B958" s="273"/>
      <c r="C958" s="273"/>
      <c r="D958" s="273"/>
      <c r="E958" s="273"/>
      <c r="F958" s="273"/>
      <c r="G958" s="273"/>
      <c r="H958" s="39"/>
      <c r="I958" s="273"/>
      <c r="J958" s="273"/>
      <c r="K958" s="273"/>
      <c r="L958" s="273"/>
      <c r="M958" s="273"/>
      <c r="N958" s="273"/>
      <c r="O958" s="273"/>
      <c r="P958" s="273"/>
      <c r="Q958" s="39"/>
      <c r="R958" s="273"/>
      <c r="S958" s="273"/>
      <c r="T958" s="273"/>
      <c r="U958" s="273"/>
      <c r="V958" s="273"/>
      <c r="W958" s="273"/>
      <c r="X958" s="39"/>
      <c r="Y958" s="273"/>
      <c r="Z958" s="273"/>
      <c r="AA958" s="273"/>
      <c r="AB958" s="273"/>
      <c r="AC958" s="273"/>
      <c r="AD958" s="273"/>
      <c r="AE958" s="273"/>
      <c r="AF958" s="273"/>
      <c r="AG958" s="273"/>
      <c r="AH958" s="273"/>
      <c r="AI958" s="273"/>
      <c r="AJ958" s="273"/>
      <c r="AK958" s="273"/>
      <c r="AL958" s="273"/>
      <c r="AM958" s="273"/>
      <c r="AN958" s="273"/>
      <c r="AO958" s="273"/>
      <c r="AP958" s="273"/>
      <c r="AQ958" s="273"/>
      <c r="AR958" s="273"/>
      <c r="AS958" s="273"/>
      <c r="AT958" s="273"/>
      <c r="AU958" s="273"/>
      <c r="AV958" s="273"/>
    </row>
    <row r="959" spans="2:48" ht="12.75">
      <c r="B959" s="273"/>
      <c r="C959" s="273"/>
      <c r="D959" s="273"/>
      <c r="E959" s="273"/>
      <c r="F959" s="273"/>
      <c r="G959" s="273"/>
      <c r="H959" s="39"/>
      <c r="I959" s="273"/>
      <c r="J959" s="273"/>
      <c r="K959" s="273"/>
      <c r="L959" s="273"/>
      <c r="M959" s="273"/>
      <c r="N959" s="273"/>
      <c r="O959" s="273"/>
      <c r="P959" s="273"/>
      <c r="Q959" s="39"/>
      <c r="R959" s="273"/>
      <c r="S959" s="273"/>
      <c r="T959" s="273"/>
      <c r="U959" s="273"/>
      <c r="V959" s="273"/>
      <c r="W959" s="273"/>
      <c r="X959" s="39"/>
      <c r="Y959" s="273"/>
      <c r="Z959" s="273"/>
      <c r="AA959" s="273"/>
      <c r="AB959" s="273"/>
      <c r="AC959" s="273"/>
      <c r="AD959" s="273"/>
      <c r="AE959" s="273"/>
      <c r="AF959" s="273"/>
      <c r="AG959" s="273"/>
      <c r="AH959" s="273"/>
      <c r="AI959" s="273"/>
      <c r="AJ959" s="273"/>
      <c r="AK959" s="273"/>
      <c r="AL959" s="273"/>
      <c r="AM959" s="273"/>
      <c r="AN959" s="273"/>
      <c r="AO959" s="273"/>
      <c r="AP959" s="273"/>
      <c r="AQ959" s="273"/>
      <c r="AR959" s="273"/>
      <c r="AS959" s="273"/>
      <c r="AT959" s="273"/>
      <c r="AU959" s="273"/>
      <c r="AV959" s="273"/>
    </row>
    <row r="960" spans="2:48" ht="12.75">
      <c r="B960" s="273"/>
      <c r="C960" s="273"/>
      <c r="D960" s="273"/>
      <c r="E960" s="273"/>
      <c r="F960" s="273"/>
      <c r="G960" s="273"/>
      <c r="H960" s="39"/>
      <c r="I960" s="273"/>
      <c r="J960" s="273"/>
      <c r="K960" s="273"/>
      <c r="L960" s="273"/>
      <c r="M960" s="273"/>
      <c r="N960" s="273"/>
      <c r="O960" s="273"/>
      <c r="P960" s="273"/>
      <c r="Q960" s="39"/>
      <c r="R960" s="273"/>
      <c r="S960" s="273"/>
      <c r="T960" s="273"/>
      <c r="U960" s="273"/>
      <c r="V960" s="273"/>
      <c r="W960" s="273"/>
      <c r="X960" s="39"/>
      <c r="Y960" s="273"/>
      <c r="Z960" s="273"/>
      <c r="AA960" s="273"/>
      <c r="AB960" s="273"/>
      <c r="AC960" s="273"/>
      <c r="AD960" s="273"/>
      <c r="AE960" s="273"/>
      <c r="AF960" s="273"/>
      <c r="AG960" s="273"/>
      <c r="AH960" s="273"/>
      <c r="AI960" s="273"/>
      <c r="AJ960" s="273"/>
      <c r="AK960" s="273"/>
      <c r="AL960" s="273"/>
      <c r="AM960" s="273"/>
      <c r="AN960" s="273"/>
      <c r="AO960" s="273"/>
      <c r="AP960" s="273"/>
      <c r="AQ960" s="273"/>
      <c r="AR960" s="273"/>
      <c r="AS960" s="273"/>
      <c r="AT960" s="273"/>
      <c r="AU960" s="273"/>
      <c r="AV960" s="273"/>
    </row>
    <row r="961" spans="2:48" ht="12.75">
      <c r="B961" s="273"/>
      <c r="C961" s="273"/>
      <c r="D961" s="273"/>
      <c r="E961" s="273"/>
      <c r="F961" s="273"/>
      <c r="G961" s="273"/>
      <c r="H961" s="39"/>
      <c r="I961" s="273"/>
      <c r="J961" s="273"/>
      <c r="K961" s="273"/>
      <c r="L961" s="273"/>
      <c r="M961" s="273"/>
      <c r="N961" s="273"/>
      <c r="O961" s="273"/>
      <c r="P961" s="273"/>
      <c r="Q961" s="39"/>
      <c r="R961" s="273"/>
      <c r="S961" s="273"/>
      <c r="T961" s="273"/>
      <c r="U961" s="273"/>
      <c r="V961" s="273"/>
      <c r="W961" s="273"/>
      <c r="X961" s="39"/>
      <c r="Y961" s="273"/>
      <c r="Z961" s="273"/>
      <c r="AA961" s="273"/>
      <c r="AB961" s="273"/>
      <c r="AC961" s="273"/>
      <c r="AD961" s="273"/>
      <c r="AE961" s="273"/>
      <c r="AF961" s="273"/>
      <c r="AG961" s="273"/>
      <c r="AH961" s="273"/>
      <c r="AI961" s="273"/>
      <c r="AJ961" s="273"/>
      <c r="AK961" s="273"/>
      <c r="AL961" s="273"/>
      <c r="AM961" s="273"/>
      <c r="AN961" s="273"/>
      <c r="AO961" s="273"/>
      <c r="AP961" s="273"/>
      <c r="AQ961" s="273"/>
      <c r="AR961" s="273"/>
      <c r="AS961" s="273"/>
      <c r="AT961" s="273"/>
      <c r="AU961" s="273"/>
      <c r="AV961" s="273"/>
    </row>
    <row r="962" spans="2:48" ht="12.75">
      <c r="B962" s="273"/>
      <c r="C962" s="273"/>
      <c r="D962" s="273"/>
      <c r="E962" s="273"/>
      <c r="F962" s="273"/>
      <c r="G962" s="273"/>
      <c r="H962" s="39"/>
      <c r="I962" s="273"/>
      <c r="J962" s="273"/>
      <c r="K962" s="273"/>
      <c r="L962" s="273"/>
      <c r="M962" s="273"/>
      <c r="N962" s="273"/>
      <c r="O962" s="273"/>
      <c r="P962" s="273"/>
      <c r="Q962" s="39"/>
      <c r="R962" s="273"/>
      <c r="S962" s="273"/>
      <c r="T962" s="273"/>
      <c r="U962" s="273"/>
      <c r="V962" s="273"/>
      <c r="W962" s="273"/>
      <c r="X962" s="39"/>
      <c r="Y962" s="273"/>
      <c r="Z962" s="273"/>
      <c r="AA962" s="273"/>
      <c r="AB962" s="273"/>
      <c r="AC962" s="273"/>
      <c r="AD962" s="273"/>
      <c r="AE962" s="273"/>
      <c r="AF962" s="273"/>
      <c r="AG962" s="273"/>
      <c r="AH962" s="273"/>
      <c r="AI962" s="273"/>
      <c r="AJ962" s="273"/>
      <c r="AK962" s="273"/>
      <c r="AL962" s="273"/>
      <c r="AM962" s="273"/>
      <c r="AN962" s="273"/>
      <c r="AO962" s="273"/>
      <c r="AP962" s="273"/>
      <c r="AQ962" s="273"/>
      <c r="AR962" s="273"/>
      <c r="AS962" s="273"/>
      <c r="AT962" s="273"/>
      <c r="AU962" s="273"/>
      <c r="AV962" s="273"/>
    </row>
    <row r="963" spans="2:48" ht="12.75">
      <c r="B963" s="273"/>
      <c r="C963" s="273"/>
      <c r="D963" s="273"/>
      <c r="E963" s="273"/>
      <c r="F963" s="273"/>
      <c r="G963" s="273"/>
      <c r="H963" s="39"/>
      <c r="I963" s="273"/>
      <c r="J963" s="273"/>
      <c r="K963" s="273"/>
      <c r="L963" s="273"/>
      <c r="M963" s="273"/>
      <c r="N963" s="273"/>
      <c r="O963" s="273"/>
      <c r="P963" s="273"/>
      <c r="Q963" s="39"/>
      <c r="R963" s="273"/>
      <c r="S963" s="273"/>
      <c r="T963" s="273"/>
      <c r="U963" s="273"/>
      <c r="V963" s="273"/>
      <c r="W963" s="273"/>
      <c r="X963" s="39"/>
      <c r="Y963" s="273"/>
      <c r="Z963" s="273"/>
      <c r="AA963" s="273"/>
      <c r="AB963" s="273"/>
      <c r="AC963" s="273"/>
      <c r="AD963" s="273"/>
      <c r="AE963" s="273"/>
      <c r="AF963" s="273"/>
      <c r="AG963" s="273"/>
      <c r="AH963" s="273"/>
      <c r="AI963" s="273"/>
      <c r="AJ963" s="273"/>
      <c r="AK963" s="273"/>
      <c r="AL963" s="273"/>
      <c r="AM963" s="273"/>
      <c r="AN963" s="273"/>
      <c r="AO963" s="273"/>
      <c r="AP963" s="273"/>
      <c r="AQ963" s="273"/>
      <c r="AR963" s="273"/>
      <c r="AS963" s="273"/>
      <c r="AT963" s="273"/>
      <c r="AU963" s="273"/>
      <c r="AV963" s="273"/>
    </row>
    <row r="964" spans="2:48" ht="12.75">
      <c r="B964" s="273"/>
      <c r="C964" s="273"/>
      <c r="D964" s="273"/>
      <c r="E964" s="273"/>
      <c r="F964" s="273"/>
      <c r="G964" s="273"/>
      <c r="H964" s="39"/>
      <c r="I964" s="273"/>
      <c r="J964" s="273"/>
      <c r="K964" s="273"/>
      <c r="L964" s="273"/>
      <c r="M964" s="273"/>
      <c r="N964" s="273"/>
      <c r="O964" s="273"/>
      <c r="P964" s="273"/>
      <c r="Q964" s="39"/>
      <c r="R964" s="273"/>
      <c r="S964" s="273"/>
      <c r="T964" s="273"/>
      <c r="U964" s="273"/>
      <c r="V964" s="273"/>
      <c r="W964" s="273"/>
      <c r="X964" s="39"/>
      <c r="Y964" s="273"/>
      <c r="Z964" s="273"/>
      <c r="AA964" s="273"/>
      <c r="AB964" s="273"/>
      <c r="AC964" s="273"/>
      <c r="AD964" s="273"/>
      <c r="AE964" s="273"/>
      <c r="AF964" s="273"/>
      <c r="AG964" s="273"/>
      <c r="AH964" s="273"/>
      <c r="AI964" s="273"/>
      <c r="AJ964" s="273"/>
      <c r="AK964" s="273"/>
      <c r="AL964" s="273"/>
      <c r="AM964" s="273"/>
      <c r="AN964" s="273"/>
      <c r="AO964" s="273"/>
      <c r="AP964" s="273"/>
      <c r="AQ964" s="273"/>
      <c r="AR964" s="273"/>
      <c r="AS964" s="273"/>
      <c r="AT964" s="273"/>
      <c r="AU964" s="273"/>
      <c r="AV964" s="273"/>
    </row>
    <row r="965" spans="2:48" ht="12.75">
      <c r="B965" s="273"/>
      <c r="C965" s="273"/>
      <c r="D965" s="273"/>
      <c r="E965" s="273"/>
      <c r="F965" s="273"/>
      <c r="G965" s="273"/>
      <c r="H965" s="39"/>
      <c r="I965" s="273"/>
      <c r="J965" s="273"/>
      <c r="K965" s="273"/>
      <c r="L965" s="273"/>
      <c r="M965" s="273"/>
      <c r="N965" s="273"/>
      <c r="O965" s="273"/>
      <c r="P965" s="273"/>
      <c r="Q965" s="39"/>
      <c r="R965" s="273"/>
      <c r="S965" s="273"/>
      <c r="T965" s="273"/>
      <c r="U965" s="273"/>
      <c r="V965" s="273"/>
      <c r="W965" s="273"/>
      <c r="X965" s="39"/>
      <c r="Y965" s="273"/>
      <c r="Z965" s="273"/>
      <c r="AA965" s="273"/>
      <c r="AB965" s="273"/>
      <c r="AC965" s="273"/>
      <c r="AD965" s="273"/>
      <c r="AE965" s="273"/>
      <c r="AF965" s="273"/>
      <c r="AG965" s="273"/>
      <c r="AH965" s="273"/>
      <c r="AI965" s="273"/>
      <c r="AJ965" s="273"/>
      <c r="AK965" s="273"/>
      <c r="AL965" s="273"/>
      <c r="AM965" s="273"/>
      <c r="AN965" s="273"/>
      <c r="AO965" s="273"/>
      <c r="AP965" s="273"/>
      <c r="AQ965" s="273"/>
      <c r="AR965" s="273"/>
      <c r="AS965" s="273"/>
      <c r="AT965" s="273"/>
      <c r="AU965" s="273"/>
      <c r="AV965" s="273"/>
    </row>
    <row r="966" spans="2:48" ht="12.75">
      <c r="B966" s="273"/>
      <c r="C966" s="273"/>
      <c r="D966" s="273"/>
      <c r="E966" s="273"/>
      <c r="F966" s="273"/>
      <c r="G966" s="273"/>
      <c r="H966" s="39"/>
      <c r="I966" s="273"/>
      <c r="J966" s="273"/>
      <c r="K966" s="273"/>
      <c r="L966" s="273"/>
      <c r="M966" s="273"/>
      <c r="N966" s="273"/>
      <c r="O966" s="273"/>
      <c r="P966" s="273"/>
      <c r="Q966" s="39"/>
      <c r="R966" s="273"/>
      <c r="S966" s="273"/>
      <c r="T966" s="273"/>
      <c r="U966" s="273"/>
      <c r="V966" s="273"/>
      <c r="W966" s="273"/>
      <c r="X966" s="39"/>
      <c r="Y966" s="273"/>
      <c r="Z966" s="273"/>
      <c r="AA966" s="273"/>
      <c r="AB966" s="273"/>
      <c r="AC966" s="273"/>
      <c r="AD966" s="273"/>
      <c r="AE966" s="273"/>
      <c r="AF966" s="273"/>
      <c r="AG966" s="273"/>
      <c r="AH966" s="273"/>
      <c r="AI966" s="273"/>
      <c r="AJ966" s="273"/>
      <c r="AK966" s="273"/>
      <c r="AL966" s="273"/>
      <c r="AM966" s="273"/>
      <c r="AN966" s="273"/>
      <c r="AO966" s="273"/>
      <c r="AP966" s="273"/>
      <c r="AQ966" s="273"/>
      <c r="AR966" s="273"/>
      <c r="AS966" s="273"/>
      <c r="AT966" s="273"/>
      <c r="AU966" s="273"/>
      <c r="AV966" s="273"/>
    </row>
    <row r="967" spans="2:48" ht="12.75">
      <c r="B967" s="273"/>
      <c r="C967" s="273"/>
      <c r="D967" s="273"/>
      <c r="E967" s="273"/>
      <c r="F967" s="273"/>
      <c r="G967" s="273"/>
      <c r="H967" s="39"/>
      <c r="I967" s="273"/>
      <c r="J967" s="273"/>
      <c r="K967" s="273"/>
      <c r="L967" s="273"/>
      <c r="M967" s="273"/>
      <c r="N967" s="273"/>
      <c r="O967" s="273"/>
      <c r="P967" s="273"/>
      <c r="Q967" s="39"/>
      <c r="R967" s="273"/>
      <c r="S967" s="273"/>
      <c r="T967" s="273"/>
      <c r="U967" s="273"/>
      <c r="V967" s="273"/>
      <c r="W967" s="273"/>
      <c r="X967" s="39"/>
      <c r="Y967" s="273"/>
      <c r="Z967" s="273"/>
      <c r="AA967" s="273"/>
      <c r="AB967" s="273"/>
      <c r="AC967" s="273"/>
      <c r="AD967" s="273"/>
      <c r="AE967" s="273"/>
      <c r="AF967" s="273"/>
      <c r="AG967" s="273"/>
      <c r="AH967" s="273"/>
      <c r="AI967" s="273"/>
      <c r="AJ967" s="273"/>
      <c r="AK967" s="273"/>
      <c r="AL967" s="273"/>
      <c r="AM967" s="273"/>
      <c r="AN967" s="273"/>
      <c r="AO967" s="273"/>
      <c r="AP967" s="273"/>
      <c r="AQ967" s="273"/>
      <c r="AR967" s="273"/>
      <c r="AS967" s="273"/>
      <c r="AT967" s="273"/>
      <c r="AU967" s="273"/>
      <c r="AV967" s="273"/>
    </row>
    <row r="968" spans="2:48" ht="12.75">
      <c r="B968" s="273"/>
      <c r="C968" s="273"/>
      <c r="D968" s="273"/>
      <c r="E968" s="273"/>
      <c r="F968" s="273"/>
      <c r="G968" s="273"/>
      <c r="H968" s="39"/>
      <c r="I968" s="273"/>
      <c r="J968" s="273"/>
      <c r="K968" s="273"/>
      <c r="L968" s="273"/>
      <c r="M968" s="273"/>
      <c r="N968" s="273"/>
      <c r="O968" s="273"/>
      <c r="P968" s="273"/>
      <c r="Q968" s="39"/>
      <c r="R968" s="273"/>
      <c r="S968" s="273"/>
      <c r="T968" s="273"/>
      <c r="U968" s="273"/>
      <c r="V968" s="273"/>
      <c r="W968" s="273"/>
      <c r="X968" s="39"/>
      <c r="Y968" s="273"/>
      <c r="Z968" s="273"/>
      <c r="AA968" s="273"/>
      <c r="AB968" s="273"/>
      <c r="AC968" s="273"/>
      <c r="AD968" s="273"/>
      <c r="AE968" s="273"/>
      <c r="AF968" s="273"/>
      <c r="AG968" s="273"/>
      <c r="AH968" s="273"/>
      <c r="AI968" s="273"/>
      <c r="AJ968" s="273"/>
      <c r="AK968" s="273"/>
      <c r="AL968" s="273"/>
      <c r="AM968" s="273"/>
      <c r="AN968" s="273"/>
      <c r="AO968" s="273"/>
      <c r="AP968" s="273"/>
      <c r="AQ968" s="273"/>
      <c r="AR968" s="273"/>
      <c r="AS968" s="273"/>
      <c r="AT968" s="273"/>
      <c r="AU968" s="273"/>
      <c r="AV968" s="273"/>
    </row>
    <row r="969" spans="2:48" ht="12.75">
      <c r="B969" s="273"/>
      <c r="C969" s="273"/>
      <c r="D969" s="273"/>
      <c r="E969" s="273"/>
      <c r="F969" s="273"/>
      <c r="G969" s="273"/>
      <c r="H969" s="39"/>
      <c r="I969" s="273"/>
      <c r="J969" s="273"/>
      <c r="K969" s="273"/>
      <c r="L969" s="273"/>
      <c r="M969" s="273"/>
      <c r="N969" s="273"/>
      <c r="O969" s="273"/>
      <c r="P969" s="273"/>
      <c r="Q969" s="39"/>
      <c r="R969" s="273"/>
      <c r="S969" s="273"/>
      <c r="T969" s="273"/>
      <c r="U969" s="273"/>
      <c r="V969" s="273"/>
      <c r="W969" s="273"/>
      <c r="X969" s="39"/>
      <c r="Y969" s="273"/>
      <c r="Z969" s="273"/>
      <c r="AA969" s="273"/>
      <c r="AB969" s="273"/>
      <c r="AC969" s="273"/>
      <c r="AD969" s="273"/>
      <c r="AE969" s="273"/>
      <c r="AF969" s="273"/>
      <c r="AG969" s="273"/>
      <c r="AH969" s="273"/>
      <c r="AI969" s="273"/>
      <c r="AJ969" s="273"/>
      <c r="AK969" s="273"/>
      <c r="AL969" s="273"/>
      <c r="AM969" s="273"/>
      <c r="AN969" s="273"/>
      <c r="AO969" s="273"/>
      <c r="AP969" s="273"/>
      <c r="AQ969" s="273"/>
      <c r="AR969" s="273"/>
      <c r="AS969" s="273"/>
      <c r="AT969" s="273"/>
      <c r="AU969" s="273"/>
      <c r="AV969" s="273"/>
    </row>
    <row r="970" spans="2:48" ht="12.75">
      <c r="B970" s="273"/>
      <c r="C970" s="273"/>
      <c r="D970" s="273"/>
      <c r="E970" s="273"/>
      <c r="F970" s="273"/>
      <c r="G970" s="273"/>
      <c r="H970" s="39"/>
      <c r="I970" s="273"/>
      <c r="J970" s="273"/>
      <c r="K970" s="273"/>
      <c r="L970" s="273"/>
      <c r="M970" s="273"/>
      <c r="N970" s="273"/>
      <c r="O970" s="273"/>
      <c r="P970" s="273"/>
      <c r="Q970" s="39"/>
      <c r="R970" s="273"/>
      <c r="S970" s="273"/>
      <c r="T970" s="273"/>
      <c r="U970" s="273"/>
      <c r="V970" s="273"/>
      <c r="W970" s="273"/>
      <c r="X970" s="39"/>
      <c r="Y970" s="273"/>
      <c r="Z970" s="273"/>
      <c r="AA970" s="273"/>
      <c r="AB970" s="273"/>
      <c r="AC970" s="273"/>
      <c r="AD970" s="273"/>
      <c r="AE970" s="273"/>
      <c r="AF970" s="273"/>
      <c r="AG970" s="273"/>
      <c r="AH970" s="273"/>
      <c r="AI970" s="273"/>
      <c r="AJ970" s="273"/>
      <c r="AK970" s="273"/>
      <c r="AL970" s="273"/>
      <c r="AM970" s="273"/>
      <c r="AN970" s="273"/>
      <c r="AO970" s="273"/>
      <c r="AP970" s="273"/>
      <c r="AQ970" s="273"/>
      <c r="AR970" s="273"/>
      <c r="AS970" s="273"/>
      <c r="AT970" s="273"/>
      <c r="AU970" s="273"/>
      <c r="AV970" s="273"/>
    </row>
    <row r="971" spans="2:48" ht="12.75">
      <c r="B971" s="273"/>
      <c r="C971" s="273"/>
      <c r="D971" s="273"/>
      <c r="E971" s="273"/>
      <c r="F971" s="273"/>
      <c r="G971" s="273"/>
      <c r="H971" s="39"/>
      <c r="I971" s="273"/>
      <c r="J971" s="273"/>
      <c r="K971" s="273"/>
      <c r="L971" s="273"/>
      <c r="M971" s="273"/>
      <c r="N971" s="273"/>
      <c r="O971" s="273"/>
      <c r="P971" s="273"/>
      <c r="Q971" s="39"/>
      <c r="R971" s="273"/>
      <c r="S971" s="273"/>
      <c r="T971" s="273"/>
      <c r="U971" s="273"/>
      <c r="V971" s="273"/>
      <c r="W971" s="273"/>
      <c r="X971" s="39"/>
      <c r="Y971" s="273"/>
      <c r="Z971" s="273"/>
      <c r="AA971" s="273"/>
      <c r="AB971" s="273"/>
      <c r="AC971" s="273"/>
      <c r="AD971" s="273"/>
      <c r="AE971" s="273"/>
      <c r="AF971" s="273"/>
      <c r="AG971" s="273"/>
      <c r="AH971" s="273"/>
      <c r="AI971" s="273"/>
      <c r="AJ971" s="273"/>
      <c r="AK971" s="273"/>
      <c r="AL971" s="273"/>
      <c r="AM971" s="273"/>
      <c r="AN971" s="273"/>
      <c r="AO971" s="273"/>
      <c r="AP971" s="273"/>
      <c r="AQ971" s="273"/>
      <c r="AR971" s="273"/>
      <c r="AS971" s="273"/>
      <c r="AT971" s="273"/>
      <c r="AU971" s="273"/>
      <c r="AV971" s="273"/>
    </row>
    <row r="972" spans="2:48" ht="12.75">
      <c r="B972" s="273"/>
      <c r="C972" s="273"/>
      <c r="D972" s="273"/>
      <c r="E972" s="273"/>
      <c r="F972" s="273"/>
      <c r="G972" s="273"/>
      <c r="H972" s="39"/>
      <c r="I972" s="273"/>
      <c r="J972" s="273"/>
      <c r="K972" s="273"/>
      <c r="L972" s="273"/>
      <c r="M972" s="273"/>
      <c r="N972" s="273"/>
      <c r="O972" s="273"/>
      <c r="P972" s="273"/>
      <c r="Q972" s="39"/>
      <c r="R972" s="273"/>
      <c r="S972" s="273"/>
      <c r="T972" s="273"/>
      <c r="U972" s="273"/>
      <c r="V972" s="273"/>
      <c r="W972" s="273"/>
      <c r="X972" s="39"/>
      <c r="Y972" s="273"/>
      <c r="Z972" s="273"/>
      <c r="AA972" s="273"/>
      <c r="AB972" s="273"/>
      <c r="AC972" s="273"/>
      <c r="AD972" s="273"/>
      <c r="AE972" s="273"/>
      <c r="AF972" s="273"/>
      <c r="AG972" s="273"/>
      <c r="AH972" s="273"/>
      <c r="AI972" s="273"/>
      <c r="AJ972" s="273"/>
      <c r="AK972" s="273"/>
      <c r="AL972" s="273"/>
      <c r="AM972" s="273"/>
      <c r="AN972" s="273"/>
      <c r="AO972" s="273"/>
      <c r="AP972" s="273"/>
      <c r="AQ972" s="273"/>
      <c r="AR972" s="273"/>
      <c r="AS972" s="273"/>
      <c r="AT972" s="273"/>
      <c r="AU972" s="273"/>
      <c r="AV972" s="273"/>
    </row>
    <row r="973" spans="2:48" ht="12.75">
      <c r="B973" s="273"/>
      <c r="C973" s="273"/>
      <c r="D973" s="273"/>
      <c r="E973" s="273"/>
      <c r="F973" s="273"/>
      <c r="G973" s="273"/>
      <c r="H973" s="39"/>
      <c r="I973" s="273"/>
      <c r="J973" s="273"/>
      <c r="K973" s="273"/>
      <c r="L973" s="273"/>
      <c r="M973" s="273"/>
      <c r="N973" s="273"/>
      <c r="O973" s="273"/>
      <c r="P973" s="273"/>
      <c r="Q973" s="39"/>
      <c r="R973" s="273"/>
      <c r="S973" s="273"/>
      <c r="T973" s="273"/>
      <c r="U973" s="273"/>
      <c r="V973" s="273"/>
      <c r="W973" s="273"/>
      <c r="X973" s="39"/>
      <c r="Y973" s="273"/>
      <c r="Z973" s="273"/>
      <c r="AA973" s="273"/>
      <c r="AB973" s="273"/>
      <c r="AC973" s="273"/>
      <c r="AD973" s="273"/>
      <c r="AE973" s="273"/>
      <c r="AF973" s="273"/>
      <c r="AG973" s="273"/>
      <c r="AH973" s="273"/>
      <c r="AI973" s="273"/>
      <c r="AJ973" s="273"/>
      <c r="AK973" s="273"/>
      <c r="AL973" s="273"/>
      <c r="AM973" s="273"/>
      <c r="AN973" s="273"/>
      <c r="AO973" s="273"/>
      <c r="AP973" s="273"/>
      <c r="AQ973" s="273"/>
      <c r="AR973" s="273"/>
      <c r="AS973" s="273"/>
      <c r="AT973" s="273"/>
      <c r="AU973" s="273"/>
      <c r="AV973" s="273"/>
    </row>
    <row r="974" spans="2:48" ht="12.75">
      <c r="B974" s="273"/>
      <c r="C974" s="273"/>
      <c r="D974" s="273"/>
      <c r="E974" s="273"/>
      <c r="F974" s="273"/>
      <c r="G974" s="273"/>
      <c r="H974" s="39"/>
      <c r="I974" s="273"/>
      <c r="J974" s="273"/>
      <c r="K974" s="273"/>
      <c r="L974" s="273"/>
      <c r="M974" s="273"/>
      <c r="N974" s="273"/>
      <c r="O974" s="273"/>
      <c r="P974" s="273"/>
      <c r="Q974" s="39"/>
      <c r="R974" s="273"/>
      <c r="S974" s="273"/>
      <c r="T974" s="273"/>
      <c r="U974" s="273"/>
      <c r="V974" s="273"/>
      <c r="W974" s="273"/>
      <c r="X974" s="39"/>
      <c r="Y974" s="273"/>
      <c r="Z974" s="273"/>
      <c r="AA974" s="273"/>
      <c r="AB974" s="273"/>
      <c r="AC974" s="273"/>
      <c r="AD974" s="273"/>
      <c r="AE974" s="273"/>
      <c r="AF974" s="273"/>
      <c r="AG974" s="273"/>
      <c r="AH974" s="273"/>
      <c r="AI974" s="273"/>
      <c r="AJ974" s="273"/>
      <c r="AK974" s="273"/>
      <c r="AL974" s="273"/>
      <c r="AM974" s="273"/>
      <c r="AN974" s="273"/>
      <c r="AO974" s="273"/>
      <c r="AP974" s="273"/>
      <c r="AQ974" s="273"/>
      <c r="AR974" s="273"/>
      <c r="AS974" s="273"/>
      <c r="AT974" s="273"/>
      <c r="AU974" s="273"/>
      <c r="AV974" s="273"/>
    </row>
    <row r="975" spans="2:48" ht="12.75">
      <c r="B975" s="273"/>
      <c r="C975" s="273"/>
      <c r="D975" s="273"/>
      <c r="E975" s="273"/>
      <c r="F975" s="273"/>
      <c r="G975" s="273"/>
      <c r="H975" s="39"/>
      <c r="I975" s="273"/>
      <c r="J975" s="273"/>
      <c r="K975" s="273"/>
      <c r="L975" s="273"/>
      <c r="M975" s="273"/>
      <c r="N975" s="273"/>
      <c r="O975" s="273"/>
      <c r="P975" s="273"/>
      <c r="Q975" s="39"/>
      <c r="R975" s="273"/>
      <c r="S975" s="273"/>
      <c r="T975" s="273"/>
      <c r="U975" s="273"/>
      <c r="V975" s="273"/>
      <c r="W975" s="273"/>
      <c r="X975" s="39"/>
      <c r="Y975" s="273"/>
      <c r="Z975" s="273"/>
      <c r="AA975" s="273"/>
      <c r="AB975" s="273"/>
      <c r="AC975" s="273"/>
      <c r="AD975" s="273"/>
      <c r="AE975" s="273"/>
      <c r="AF975" s="273"/>
      <c r="AG975" s="273"/>
      <c r="AH975" s="273"/>
      <c r="AI975" s="273"/>
      <c r="AJ975" s="273"/>
      <c r="AK975" s="273"/>
      <c r="AL975" s="273"/>
      <c r="AM975" s="273"/>
      <c r="AN975" s="273"/>
      <c r="AO975" s="273"/>
      <c r="AP975" s="273"/>
      <c r="AQ975" s="273"/>
      <c r="AR975" s="273"/>
      <c r="AS975" s="273"/>
      <c r="AT975" s="273"/>
      <c r="AU975" s="273"/>
      <c r="AV975" s="273"/>
    </row>
    <row r="976" spans="2:48" ht="12.75">
      <c r="B976" s="273"/>
      <c r="C976" s="273"/>
      <c r="D976" s="273"/>
      <c r="E976" s="273"/>
      <c r="F976" s="273"/>
      <c r="G976" s="273"/>
      <c r="H976" s="39"/>
      <c r="I976" s="273"/>
      <c r="J976" s="273"/>
      <c r="K976" s="273"/>
      <c r="L976" s="273"/>
      <c r="M976" s="273"/>
      <c r="N976" s="273"/>
      <c r="O976" s="273"/>
      <c r="P976" s="273"/>
      <c r="Q976" s="39"/>
      <c r="R976" s="273"/>
      <c r="S976" s="273"/>
      <c r="T976" s="273"/>
      <c r="U976" s="273"/>
      <c r="V976" s="273"/>
      <c r="W976" s="273"/>
      <c r="X976" s="39"/>
      <c r="Y976" s="273"/>
      <c r="Z976" s="273"/>
      <c r="AA976" s="273"/>
      <c r="AB976" s="273"/>
      <c r="AC976" s="273"/>
      <c r="AD976" s="273"/>
      <c r="AE976" s="273"/>
      <c r="AF976" s="273"/>
      <c r="AG976" s="273"/>
      <c r="AH976" s="273"/>
      <c r="AI976" s="273"/>
      <c r="AJ976" s="273"/>
      <c r="AK976" s="273"/>
      <c r="AL976" s="273"/>
      <c r="AM976" s="273"/>
      <c r="AN976" s="273"/>
      <c r="AO976" s="273"/>
      <c r="AP976" s="273"/>
      <c r="AQ976" s="273"/>
      <c r="AR976" s="273"/>
      <c r="AS976" s="273"/>
      <c r="AT976" s="273"/>
      <c r="AU976" s="273"/>
      <c r="AV976" s="273"/>
    </row>
    <row r="977" spans="2:48" ht="12.75">
      <c r="B977" s="273"/>
      <c r="C977" s="273"/>
      <c r="D977" s="273"/>
      <c r="E977" s="273"/>
      <c r="F977" s="273"/>
      <c r="G977" s="273"/>
      <c r="H977" s="39"/>
      <c r="I977" s="273"/>
      <c r="J977" s="273"/>
      <c r="K977" s="273"/>
      <c r="L977" s="273"/>
      <c r="M977" s="273"/>
      <c r="N977" s="273"/>
      <c r="O977" s="273"/>
      <c r="P977" s="273"/>
      <c r="Q977" s="39"/>
      <c r="R977" s="273"/>
      <c r="S977" s="273"/>
      <c r="T977" s="273"/>
      <c r="U977" s="273"/>
      <c r="V977" s="273"/>
      <c r="W977" s="273"/>
      <c r="X977" s="39"/>
      <c r="Y977" s="273"/>
      <c r="Z977" s="273"/>
      <c r="AA977" s="273"/>
      <c r="AB977" s="273"/>
      <c r="AC977" s="273"/>
      <c r="AD977" s="273"/>
      <c r="AE977" s="273"/>
      <c r="AF977" s="273"/>
      <c r="AG977" s="273"/>
      <c r="AH977" s="273"/>
      <c r="AI977" s="273"/>
      <c r="AJ977" s="273"/>
      <c r="AK977" s="273"/>
      <c r="AL977" s="273"/>
      <c r="AM977" s="273"/>
      <c r="AN977" s="273"/>
      <c r="AO977" s="273"/>
      <c r="AP977" s="273"/>
      <c r="AQ977" s="273"/>
      <c r="AR977" s="273"/>
      <c r="AS977" s="273"/>
      <c r="AT977" s="273"/>
      <c r="AU977" s="273"/>
      <c r="AV977" s="273"/>
    </row>
    <row r="978" spans="2:48" ht="12.75">
      <c r="B978" s="273"/>
      <c r="C978" s="273"/>
      <c r="D978" s="273"/>
      <c r="E978" s="273"/>
      <c r="F978" s="273"/>
      <c r="G978" s="273"/>
      <c r="H978" s="39"/>
      <c r="I978" s="273"/>
      <c r="J978" s="273"/>
      <c r="K978" s="273"/>
      <c r="L978" s="273"/>
      <c r="M978" s="273"/>
      <c r="N978" s="273"/>
      <c r="O978" s="273"/>
      <c r="P978" s="273"/>
      <c r="Q978" s="39"/>
      <c r="R978" s="273"/>
      <c r="S978" s="273"/>
      <c r="T978" s="273"/>
      <c r="U978" s="273"/>
      <c r="V978" s="273"/>
      <c r="W978" s="273"/>
      <c r="X978" s="39"/>
      <c r="Y978" s="273"/>
      <c r="Z978" s="273"/>
      <c r="AA978" s="273"/>
      <c r="AB978" s="273"/>
      <c r="AC978" s="273"/>
      <c r="AD978" s="273"/>
      <c r="AE978" s="273"/>
      <c r="AF978" s="273"/>
      <c r="AG978" s="273"/>
      <c r="AH978" s="273"/>
      <c r="AI978" s="273"/>
      <c r="AJ978" s="273"/>
      <c r="AK978" s="273"/>
      <c r="AL978" s="273"/>
      <c r="AM978" s="273"/>
      <c r="AN978" s="273"/>
      <c r="AO978" s="273"/>
      <c r="AP978" s="273"/>
      <c r="AQ978" s="273"/>
      <c r="AR978" s="273"/>
      <c r="AS978" s="273"/>
      <c r="AT978" s="273"/>
      <c r="AU978" s="273"/>
      <c r="AV978" s="273"/>
    </row>
    <row r="979" spans="2:48" ht="12.75">
      <c r="B979" s="273"/>
      <c r="C979" s="273"/>
      <c r="D979" s="273"/>
      <c r="E979" s="273"/>
      <c r="F979" s="273"/>
      <c r="G979" s="273"/>
      <c r="H979" s="39"/>
      <c r="I979" s="273"/>
      <c r="J979" s="273"/>
      <c r="K979" s="273"/>
      <c r="L979" s="273"/>
      <c r="M979" s="273"/>
      <c r="N979" s="273"/>
      <c r="O979" s="273"/>
      <c r="P979" s="273"/>
      <c r="Q979" s="39"/>
      <c r="R979" s="273"/>
      <c r="S979" s="273"/>
      <c r="T979" s="273"/>
      <c r="U979" s="273"/>
      <c r="V979" s="273"/>
      <c r="W979" s="273"/>
      <c r="X979" s="39"/>
      <c r="Y979" s="273"/>
      <c r="Z979" s="273"/>
      <c r="AA979" s="273"/>
      <c r="AB979" s="273"/>
      <c r="AC979" s="273"/>
      <c r="AD979" s="273"/>
      <c r="AE979" s="273"/>
      <c r="AF979" s="273"/>
      <c r="AG979" s="273"/>
      <c r="AH979" s="273"/>
      <c r="AI979" s="273"/>
      <c r="AJ979" s="273"/>
      <c r="AK979" s="273"/>
      <c r="AL979" s="273"/>
      <c r="AM979" s="273"/>
      <c r="AN979" s="273"/>
      <c r="AO979" s="273"/>
      <c r="AP979" s="273"/>
      <c r="AQ979" s="273"/>
      <c r="AR979" s="273"/>
      <c r="AS979" s="273"/>
      <c r="AT979" s="273"/>
      <c r="AU979" s="273"/>
      <c r="AV979" s="273"/>
    </row>
    <row r="980" spans="2:48" ht="12.75">
      <c r="B980" s="273"/>
      <c r="C980" s="273"/>
      <c r="D980" s="273"/>
      <c r="E980" s="273"/>
      <c r="F980" s="273"/>
      <c r="G980" s="273"/>
      <c r="H980" s="39"/>
      <c r="I980" s="273"/>
      <c r="J980" s="273"/>
      <c r="K980" s="273"/>
      <c r="L980" s="273"/>
      <c r="M980" s="273"/>
      <c r="N980" s="273"/>
      <c r="O980" s="273"/>
      <c r="P980" s="273"/>
      <c r="Q980" s="39"/>
      <c r="R980" s="273"/>
      <c r="S980" s="273"/>
      <c r="T980" s="273"/>
      <c r="U980" s="273"/>
      <c r="V980" s="273"/>
      <c r="W980" s="273"/>
      <c r="X980" s="39"/>
      <c r="Y980" s="273"/>
      <c r="Z980" s="273"/>
      <c r="AA980" s="273"/>
      <c r="AB980" s="273"/>
      <c r="AC980" s="273"/>
      <c r="AD980" s="273"/>
      <c r="AE980" s="273"/>
      <c r="AF980" s="273"/>
      <c r="AG980" s="273"/>
      <c r="AH980" s="273"/>
      <c r="AI980" s="273"/>
      <c r="AJ980" s="273"/>
      <c r="AK980" s="273"/>
      <c r="AL980" s="273"/>
      <c r="AM980" s="273"/>
      <c r="AN980" s="273"/>
      <c r="AO980" s="273"/>
      <c r="AP980" s="273"/>
      <c r="AQ980" s="273"/>
      <c r="AR980" s="273"/>
      <c r="AS980" s="273"/>
      <c r="AT980" s="273"/>
      <c r="AU980" s="273"/>
      <c r="AV980" s="273"/>
    </row>
    <row r="981" spans="2:48" ht="12.75">
      <c r="B981" s="273"/>
      <c r="C981" s="273"/>
      <c r="D981" s="273"/>
      <c r="E981" s="273"/>
      <c r="F981" s="273"/>
      <c r="G981" s="273"/>
      <c r="H981" s="39"/>
      <c r="I981" s="273"/>
      <c r="J981" s="273"/>
      <c r="K981" s="273"/>
      <c r="L981" s="273"/>
      <c r="M981" s="273"/>
      <c r="N981" s="273"/>
      <c r="O981" s="273"/>
      <c r="P981" s="273"/>
      <c r="Q981" s="39"/>
      <c r="R981" s="273"/>
      <c r="S981" s="273"/>
      <c r="T981" s="273"/>
      <c r="U981" s="273"/>
      <c r="V981" s="273"/>
      <c r="W981" s="273"/>
      <c r="X981" s="39"/>
      <c r="Y981" s="273"/>
      <c r="Z981" s="273"/>
      <c r="AA981" s="273"/>
      <c r="AB981" s="273"/>
      <c r="AC981" s="273"/>
      <c r="AD981" s="273"/>
      <c r="AE981" s="273"/>
      <c r="AF981" s="273"/>
      <c r="AG981" s="273"/>
      <c r="AH981" s="273"/>
      <c r="AI981" s="273"/>
      <c r="AJ981" s="273"/>
      <c r="AK981" s="273"/>
      <c r="AL981" s="273"/>
      <c r="AM981" s="273"/>
      <c r="AN981" s="273"/>
      <c r="AO981" s="273"/>
      <c r="AP981" s="273"/>
      <c r="AQ981" s="273"/>
      <c r="AR981" s="273"/>
      <c r="AS981" s="273"/>
      <c r="AT981" s="273"/>
      <c r="AU981" s="273"/>
      <c r="AV981" s="273"/>
    </row>
    <row r="982" spans="2:48" ht="12.75">
      <c r="B982" s="273"/>
      <c r="C982" s="273"/>
      <c r="D982" s="273"/>
      <c r="E982" s="273"/>
      <c r="F982" s="273"/>
      <c r="G982" s="273"/>
      <c r="H982" s="39"/>
      <c r="I982" s="273"/>
      <c r="J982" s="273"/>
      <c r="K982" s="273"/>
      <c r="L982" s="273"/>
      <c r="M982" s="273"/>
      <c r="N982" s="273"/>
      <c r="O982" s="273"/>
      <c r="P982" s="273"/>
      <c r="Q982" s="39"/>
      <c r="R982" s="273"/>
      <c r="S982" s="273"/>
      <c r="T982" s="273"/>
      <c r="U982" s="273"/>
      <c r="V982" s="273"/>
      <c r="W982" s="273"/>
      <c r="X982" s="39"/>
      <c r="Y982" s="273"/>
      <c r="Z982" s="273"/>
      <c r="AA982" s="273"/>
      <c r="AB982" s="273"/>
      <c r="AC982" s="273"/>
      <c r="AD982" s="273"/>
      <c r="AE982" s="273"/>
      <c r="AF982" s="273"/>
      <c r="AG982" s="273"/>
      <c r="AH982" s="273"/>
      <c r="AI982" s="273"/>
      <c r="AJ982" s="273"/>
      <c r="AK982" s="273"/>
      <c r="AL982" s="273"/>
      <c r="AM982" s="273"/>
      <c r="AN982" s="273"/>
      <c r="AO982" s="273"/>
      <c r="AP982" s="273"/>
      <c r="AQ982" s="273"/>
      <c r="AR982" s="273"/>
      <c r="AS982" s="273"/>
      <c r="AT982" s="273"/>
      <c r="AU982" s="273"/>
      <c r="AV982" s="273"/>
    </row>
    <row r="983" spans="2:48" ht="12.75">
      <c r="B983" s="273"/>
      <c r="C983" s="273"/>
      <c r="D983" s="273"/>
      <c r="E983" s="273"/>
      <c r="F983" s="273"/>
      <c r="G983" s="273"/>
      <c r="H983" s="39"/>
      <c r="I983" s="273"/>
      <c r="J983" s="273"/>
      <c r="K983" s="273"/>
      <c r="L983" s="273"/>
      <c r="M983" s="273"/>
      <c r="N983" s="273"/>
      <c r="O983" s="273"/>
      <c r="P983" s="273"/>
      <c r="Q983" s="39"/>
      <c r="R983" s="273"/>
      <c r="S983" s="273"/>
      <c r="T983" s="273"/>
      <c r="U983" s="273"/>
      <c r="V983" s="273"/>
      <c r="W983" s="273"/>
      <c r="X983" s="39"/>
      <c r="Y983" s="273"/>
      <c r="Z983" s="273"/>
      <c r="AA983" s="273"/>
      <c r="AB983" s="273"/>
      <c r="AC983" s="273"/>
      <c r="AD983" s="273"/>
      <c r="AE983" s="273"/>
      <c r="AF983" s="273"/>
      <c r="AG983" s="273"/>
      <c r="AH983" s="273"/>
      <c r="AI983" s="273"/>
      <c r="AJ983" s="273"/>
      <c r="AK983" s="273"/>
      <c r="AL983" s="273"/>
      <c r="AM983" s="273"/>
      <c r="AN983" s="273"/>
      <c r="AO983" s="273"/>
      <c r="AP983" s="273"/>
      <c r="AQ983" s="273"/>
      <c r="AR983" s="273"/>
      <c r="AS983" s="273"/>
      <c r="AT983" s="273"/>
      <c r="AU983" s="273"/>
      <c r="AV983" s="273"/>
    </row>
    <row r="984" spans="2:48" ht="12.75">
      <c r="B984" s="273"/>
      <c r="C984" s="273"/>
      <c r="D984" s="273"/>
      <c r="E984" s="273"/>
      <c r="F984" s="273"/>
      <c r="G984" s="273"/>
      <c r="H984" s="39"/>
      <c r="I984" s="273"/>
      <c r="J984" s="273"/>
      <c r="K984" s="273"/>
      <c r="L984" s="273"/>
      <c r="M984" s="273"/>
      <c r="N984" s="273"/>
      <c r="O984" s="273"/>
      <c r="P984" s="273"/>
      <c r="Q984" s="39"/>
      <c r="R984" s="273"/>
      <c r="S984" s="273"/>
      <c r="T984" s="273"/>
      <c r="U984" s="273"/>
      <c r="V984" s="273"/>
      <c r="W984" s="273"/>
      <c r="X984" s="39"/>
      <c r="Y984" s="273"/>
      <c r="Z984" s="273"/>
      <c r="AA984" s="273"/>
      <c r="AB984" s="273"/>
      <c r="AC984" s="273"/>
      <c r="AD984" s="273"/>
      <c r="AE984" s="273"/>
      <c r="AF984" s="273"/>
      <c r="AG984" s="273"/>
      <c r="AH984" s="273"/>
      <c r="AI984" s="273"/>
      <c r="AJ984" s="273"/>
      <c r="AK984" s="273"/>
      <c r="AL984" s="273"/>
      <c r="AM984" s="273"/>
      <c r="AN984" s="273"/>
      <c r="AO984" s="273"/>
      <c r="AP984" s="273"/>
      <c r="AQ984" s="273"/>
      <c r="AR984" s="273"/>
      <c r="AS984" s="273"/>
      <c r="AT984" s="273"/>
      <c r="AU984" s="273"/>
      <c r="AV984" s="273"/>
    </row>
    <row r="985" spans="2:48" ht="12.75">
      <c r="B985" s="273"/>
      <c r="C985" s="273"/>
      <c r="D985" s="273"/>
      <c r="E985" s="273"/>
      <c r="F985" s="273"/>
      <c r="G985" s="273"/>
      <c r="H985" s="39"/>
      <c r="I985" s="273"/>
      <c r="J985" s="273"/>
      <c r="K985" s="273"/>
      <c r="L985" s="273"/>
      <c r="M985" s="273"/>
      <c r="N985" s="273"/>
      <c r="O985" s="273"/>
      <c r="P985" s="273"/>
      <c r="Q985" s="39"/>
      <c r="R985" s="273"/>
      <c r="S985" s="273"/>
      <c r="T985" s="273"/>
      <c r="U985" s="273"/>
      <c r="V985" s="273"/>
      <c r="W985" s="273"/>
      <c r="X985" s="39"/>
      <c r="Y985" s="273"/>
      <c r="Z985" s="273"/>
      <c r="AA985" s="273"/>
      <c r="AB985" s="273"/>
      <c r="AC985" s="273"/>
      <c r="AD985" s="273"/>
      <c r="AE985" s="273"/>
      <c r="AF985" s="273"/>
      <c r="AG985" s="273"/>
      <c r="AH985" s="273"/>
      <c r="AI985" s="273"/>
      <c r="AJ985" s="273"/>
      <c r="AK985" s="273"/>
      <c r="AL985" s="273"/>
      <c r="AM985" s="273"/>
      <c r="AN985" s="273"/>
      <c r="AO985" s="273"/>
      <c r="AP985" s="273"/>
      <c r="AQ985" s="273"/>
      <c r="AR985" s="273"/>
      <c r="AS985" s="273"/>
      <c r="AT985" s="273"/>
      <c r="AU985" s="273"/>
      <c r="AV985" s="273"/>
    </row>
    <row r="986" spans="2:48" ht="12.75">
      <c r="B986" s="273"/>
      <c r="C986" s="273"/>
      <c r="D986" s="273"/>
      <c r="E986" s="273"/>
      <c r="F986" s="273"/>
      <c r="G986" s="273"/>
      <c r="H986" s="39"/>
      <c r="I986" s="273"/>
      <c r="J986" s="273"/>
      <c r="K986" s="273"/>
      <c r="L986" s="273"/>
      <c r="M986" s="273"/>
      <c r="N986" s="273"/>
      <c r="O986" s="273"/>
      <c r="P986" s="273"/>
      <c r="Q986" s="39"/>
      <c r="R986" s="273"/>
      <c r="S986" s="273"/>
      <c r="T986" s="273"/>
      <c r="U986" s="273"/>
      <c r="V986" s="273"/>
      <c r="W986" s="273"/>
      <c r="X986" s="39"/>
      <c r="Y986" s="273"/>
      <c r="Z986" s="273"/>
      <c r="AA986" s="273"/>
      <c r="AB986" s="273"/>
      <c r="AC986" s="273"/>
      <c r="AD986" s="273"/>
      <c r="AE986" s="273"/>
      <c r="AF986" s="273"/>
      <c r="AG986" s="273"/>
      <c r="AH986" s="273"/>
      <c r="AI986" s="273"/>
      <c r="AJ986" s="273"/>
      <c r="AK986" s="273"/>
      <c r="AL986" s="273"/>
      <c r="AM986" s="273"/>
      <c r="AN986" s="273"/>
      <c r="AO986" s="273"/>
      <c r="AP986" s="273"/>
      <c r="AQ986" s="273"/>
      <c r="AR986" s="273"/>
      <c r="AS986" s="273"/>
      <c r="AT986" s="273"/>
      <c r="AU986" s="273"/>
      <c r="AV986" s="273"/>
    </row>
    <row r="987" spans="2:48" ht="12.75">
      <c r="B987" s="273"/>
      <c r="C987" s="273"/>
      <c r="D987" s="273"/>
      <c r="E987" s="273"/>
      <c r="F987" s="273"/>
      <c r="G987" s="273"/>
      <c r="H987" s="39"/>
      <c r="I987" s="273"/>
      <c r="J987" s="273"/>
      <c r="K987" s="273"/>
      <c r="L987" s="273"/>
      <c r="M987" s="273"/>
      <c r="N987" s="273"/>
      <c r="O987" s="273"/>
      <c r="P987" s="273"/>
      <c r="Q987" s="39"/>
      <c r="R987" s="273"/>
      <c r="S987" s="273"/>
      <c r="T987" s="273"/>
      <c r="U987" s="273"/>
      <c r="V987" s="273"/>
      <c r="W987" s="273"/>
      <c r="X987" s="39"/>
      <c r="Y987" s="273"/>
      <c r="Z987" s="273"/>
      <c r="AA987" s="273"/>
      <c r="AB987" s="273"/>
      <c r="AC987" s="273"/>
      <c r="AD987" s="273"/>
      <c r="AE987" s="273"/>
      <c r="AF987" s="273"/>
      <c r="AG987" s="273"/>
      <c r="AH987" s="273"/>
      <c r="AI987" s="273"/>
      <c r="AJ987" s="273"/>
      <c r="AK987" s="273"/>
      <c r="AL987" s="273"/>
      <c r="AM987" s="273"/>
      <c r="AN987" s="273"/>
      <c r="AO987" s="273"/>
      <c r="AP987" s="273"/>
      <c r="AQ987" s="273"/>
      <c r="AR987" s="273"/>
      <c r="AS987" s="273"/>
      <c r="AT987" s="273"/>
      <c r="AU987" s="273"/>
      <c r="AV987" s="273"/>
    </row>
    <row r="988" spans="2:48" ht="12.75">
      <c r="B988" s="273"/>
      <c r="C988" s="273"/>
      <c r="D988" s="273"/>
      <c r="E988" s="273"/>
      <c r="F988" s="273"/>
      <c r="G988" s="273"/>
      <c r="H988" s="39"/>
      <c r="I988" s="273"/>
      <c r="J988" s="273"/>
      <c r="K988" s="273"/>
      <c r="L988" s="273"/>
      <c r="M988" s="273"/>
      <c r="N988" s="273"/>
      <c r="O988" s="273"/>
      <c r="P988" s="273"/>
      <c r="Q988" s="39"/>
      <c r="R988" s="273"/>
      <c r="S988" s="273"/>
      <c r="T988" s="273"/>
      <c r="U988" s="273"/>
      <c r="V988" s="273"/>
      <c r="W988" s="273"/>
      <c r="X988" s="39"/>
      <c r="Y988" s="273"/>
      <c r="Z988" s="273"/>
      <c r="AA988" s="273"/>
      <c r="AB988" s="273"/>
      <c r="AC988" s="273"/>
      <c r="AD988" s="273"/>
      <c r="AE988" s="273"/>
      <c r="AF988" s="273"/>
      <c r="AG988" s="273"/>
      <c r="AH988" s="273"/>
      <c r="AI988" s="273"/>
      <c r="AJ988" s="273"/>
      <c r="AK988" s="273"/>
      <c r="AL988" s="273"/>
      <c r="AM988" s="273"/>
      <c r="AN988" s="273"/>
      <c r="AO988" s="273"/>
      <c r="AP988" s="273"/>
      <c r="AQ988" s="273"/>
      <c r="AR988" s="273"/>
      <c r="AS988" s="273"/>
      <c r="AT988" s="273"/>
      <c r="AU988" s="273"/>
      <c r="AV988" s="273"/>
    </row>
    <row r="989" spans="2:48" ht="12.75">
      <c r="B989" s="273"/>
      <c r="C989" s="273"/>
      <c r="D989" s="273"/>
      <c r="E989" s="273"/>
      <c r="F989" s="273"/>
      <c r="G989" s="273"/>
      <c r="H989" s="39"/>
      <c r="I989" s="273"/>
      <c r="J989" s="273"/>
      <c r="K989" s="273"/>
      <c r="L989" s="273"/>
      <c r="M989" s="273"/>
      <c r="N989" s="273"/>
      <c r="O989" s="273"/>
      <c r="P989" s="273"/>
      <c r="Q989" s="39"/>
      <c r="R989" s="273"/>
      <c r="S989" s="273"/>
      <c r="T989" s="273"/>
      <c r="U989" s="273"/>
      <c r="V989" s="273"/>
      <c r="W989" s="273"/>
      <c r="X989" s="39"/>
      <c r="Y989" s="273"/>
      <c r="Z989" s="273"/>
      <c r="AA989" s="273"/>
      <c r="AB989" s="273"/>
      <c r="AC989" s="273"/>
      <c r="AD989" s="273"/>
      <c r="AE989" s="273"/>
      <c r="AF989" s="273"/>
      <c r="AG989" s="273"/>
      <c r="AH989" s="273"/>
      <c r="AI989" s="273"/>
      <c r="AJ989" s="273"/>
      <c r="AK989" s="273"/>
      <c r="AL989" s="273"/>
      <c r="AM989" s="273"/>
      <c r="AN989" s="273"/>
      <c r="AO989" s="273"/>
      <c r="AP989" s="273"/>
      <c r="AQ989" s="273"/>
      <c r="AR989" s="273"/>
      <c r="AS989" s="273"/>
      <c r="AT989" s="273"/>
      <c r="AU989" s="273"/>
      <c r="AV989" s="273"/>
    </row>
    <row r="990" spans="2:48" ht="12.75">
      <c r="B990" s="273"/>
      <c r="C990" s="273"/>
      <c r="D990" s="273"/>
      <c r="E990" s="273"/>
      <c r="F990" s="273"/>
      <c r="G990" s="273"/>
      <c r="H990" s="39"/>
      <c r="I990" s="273"/>
      <c r="J990" s="273"/>
      <c r="K990" s="273"/>
      <c r="L990" s="273"/>
      <c r="M990" s="273"/>
      <c r="N990" s="273"/>
      <c r="O990" s="273"/>
      <c r="P990" s="273"/>
      <c r="Q990" s="39"/>
      <c r="R990" s="273"/>
      <c r="S990" s="273"/>
      <c r="T990" s="273"/>
      <c r="U990" s="273"/>
      <c r="V990" s="273"/>
      <c r="W990" s="273"/>
      <c r="X990" s="39"/>
      <c r="Y990" s="273"/>
      <c r="Z990" s="273"/>
      <c r="AA990" s="273"/>
      <c r="AB990" s="273"/>
      <c r="AC990" s="273"/>
      <c r="AD990" s="273"/>
      <c r="AE990" s="273"/>
      <c r="AF990" s="273"/>
      <c r="AG990" s="273"/>
      <c r="AH990" s="273"/>
      <c r="AI990" s="273"/>
      <c r="AJ990" s="273"/>
      <c r="AK990" s="273"/>
      <c r="AL990" s="273"/>
      <c r="AM990" s="273"/>
      <c r="AN990" s="273"/>
      <c r="AO990" s="273"/>
      <c r="AP990" s="273"/>
      <c r="AQ990" s="273"/>
      <c r="AR990" s="273"/>
      <c r="AS990" s="273"/>
      <c r="AT990" s="273"/>
      <c r="AU990" s="273"/>
      <c r="AV990" s="273"/>
    </row>
    <row r="991" spans="2:48" ht="12.75">
      <c r="B991" s="273"/>
      <c r="C991" s="273"/>
      <c r="D991" s="273"/>
      <c r="E991" s="273"/>
      <c r="F991" s="273"/>
      <c r="G991" s="273"/>
      <c r="H991" s="39"/>
      <c r="I991" s="273"/>
      <c r="J991" s="273"/>
      <c r="K991" s="273"/>
      <c r="L991" s="273"/>
      <c r="M991" s="273"/>
      <c r="N991" s="273"/>
      <c r="O991" s="273"/>
      <c r="P991" s="273"/>
      <c r="Q991" s="39"/>
      <c r="R991" s="273"/>
      <c r="S991" s="273"/>
      <c r="T991" s="273"/>
      <c r="U991" s="273"/>
      <c r="V991" s="273"/>
      <c r="W991" s="273"/>
      <c r="X991" s="39"/>
      <c r="Y991" s="273"/>
      <c r="Z991" s="273"/>
      <c r="AA991" s="273"/>
      <c r="AB991" s="273"/>
      <c r="AC991" s="273"/>
      <c r="AD991" s="273"/>
      <c r="AE991" s="273"/>
      <c r="AF991" s="273"/>
      <c r="AG991" s="273"/>
      <c r="AH991" s="273"/>
      <c r="AI991" s="273"/>
      <c r="AJ991" s="273"/>
      <c r="AK991" s="273"/>
      <c r="AL991" s="273"/>
      <c r="AM991" s="273"/>
      <c r="AN991" s="273"/>
      <c r="AO991" s="273"/>
      <c r="AP991" s="273"/>
      <c r="AQ991" s="273"/>
      <c r="AR991" s="273"/>
      <c r="AS991" s="273"/>
      <c r="AT991" s="273"/>
      <c r="AU991" s="273"/>
      <c r="AV991" s="273"/>
    </row>
    <row r="992" spans="2:48" ht="12.75">
      <c r="B992" s="273"/>
      <c r="C992" s="273"/>
      <c r="D992" s="273"/>
      <c r="E992" s="273"/>
      <c r="F992" s="273"/>
      <c r="G992" s="273"/>
      <c r="H992" s="39"/>
      <c r="I992" s="273"/>
      <c r="J992" s="273"/>
      <c r="K992" s="273"/>
      <c r="L992" s="273"/>
      <c r="M992" s="273"/>
      <c r="N992" s="273"/>
      <c r="O992" s="273"/>
      <c r="P992" s="273"/>
      <c r="Q992" s="39"/>
      <c r="R992" s="273"/>
      <c r="S992" s="273"/>
      <c r="T992" s="273"/>
      <c r="U992" s="273"/>
      <c r="V992" s="273"/>
      <c r="W992" s="273"/>
      <c r="X992" s="39"/>
      <c r="Y992" s="273"/>
      <c r="Z992" s="273"/>
      <c r="AA992" s="273"/>
      <c r="AB992" s="273"/>
      <c r="AC992" s="273"/>
      <c r="AD992" s="273"/>
      <c r="AE992" s="273"/>
      <c r="AF992" s="273"/>
      <c r="AG992" s="273"/>
      <c r="AH992" s="273"/>
      <c r="AI992" s="273"/>
      <c r="AJ992" s="273"/>
      <c r="AK992" s="273"/>
      <c r="AL992" s="273"/>
      <c r="AM992" s="273"/>
      <c r="AN992" s="273"/>
      <c r="AO992" s="273"/>
      <c r="AP992" s="273"/>
      <c r="AQ992" s="273"/>
      <c r="AR992" s="273"/>
      <c r="AS992" s="273"/>
      <c r="AT992" s="273"/>
      <c r="AU992" s="273"/>
      <c r="AV992" s="273"/>
    </row>
    <row r="993" spans="2:48" ht="12.75">
      <c r="B993" s="273"/>
      <c r="C993" s="273"/>
      <c r="D993" s="273"/>
      <c r="E993" s="273"/>
      <c r="F993" s="273"/>
      <c r="G993" s="273"/>
      <c r="H993" s="39"/>
      <c r="I993" s="273"/>
      <c r="J993" s="273"/>
      <c r="K993" s="273"/>
      <c r="L993" s="273"/>
      <c r="M993" s="273"/>
      <c r="N993" s="273"/>
      <c r="O993" s="273"/>
      <c r="P993" s="273"/>
      <c r="Q993" s="39"/>
      <c r="R993" s="273"/>
      <c r="S993" s="273"/>
      <c r="T993" s="273"/>
      <c r="U993" s="273"/>
      <c r="V993" s="273"/>
      <c r="W993" s="273"/>
      <c r="X993" s="39"/>
      <c r="Y993" s="273"/>
      <c r="Z993" s="273"/>
      <c r="AA993" s="273"/>
      <c r="AB993" s="273"/>
      <c r="AC993" s="273"/>
      <c r="AD993" s="273"/>
      <c r="AE993" s="273"/>
      <c r="AF993" s="273"/>
      <c r="AG993" s="273"/>
      <c r="AH993" s="273"/>
      <c r="AI993" s="273"/>
      <c r="AJ993" s="273"/>
      <c r="AK993" s="273"/>
      <c r="AL993" s="273"/>
      <c r="AM993" s="273"/>
      <c r="AN993" s="273"/>
      <c r="AO993" s="273"/>
      <c r="AP993" s="273"/>
      <c r="AQ993" s="273"/>
      <c r="AR993" s="273"/>
      <c r="AS993" s="273"/>
      <c r="AT993" s="273"/>
      <c r="AU993" s="273"/>
      <c r="AV993" s="273"/>
    </row>
    <row r="994" spans="2:48" ht="12.75">
      <c r="B994" s="273"/>
      <c r="C994" s="273"/>
      <c r="D994" s="273"/>
      <c r="E994" s="273"/>
      <c r="F994" s="273"/>
      <c r="G994" s="273"/>
      <c r="H994" s="39"/>
      <c r="I994" s="273"/>
      <c r="J994" s="273"/>
      <c r="K994" s="273"/>
      <c r="L994" s="273"/>
      <c r="M994" s="273"/>
      <c r="N994" s="273"/>
      <c r="O994" s="273"/>
      <c r="P994" s="273"/>
      <c r="Q994" s="39"/>
      <c r="R994" s="273"/>
      <c r="S994" s="273"/>
      <c r="T994" s="273"/>
      <c r="U994" s="273"/>
      <c r="V994" s="273"/>
      <c r="W994" s="273"/>
      <c r="X994" s="39"/>
      <c r="Y994" s="273"/>
      <c r="Z994" s="273"/>
      <c r="AA994" s="273"/>
      <c r="AB994" s="273"/>
      <c r="AC994" s="273"/>
      <c r="AD994" s="273"/>
      <c r="AE994" s="273"/>
      <c r="AF994" s="273"/>
      <c r="AG994" s="273"/>
      <c r="AH994" s="273"/>
      <c r="AI994" s="273"/>
      <c r="AJ994" s="273"/>
      <c r="AK994" s="273"/>
      <c r="AL994" s="273"/>
      <c r="AM994" s="273"/>
      <c r="AN994" s="273"/>
      <c r="AO994" s="273"/>
      <c r="AP994" s="273"/>
      <c r="AQ994" s="273"/>
      <c r="AR994" s="273"/>
      <c r="AS994" s="273"/>
      <c r="AT994" s="273"/>
      <c r="AU994" s="273"/>
      <c r="AV994" s="273"/>
    </row>
    <row r="995" spans="2:48" ht="12.75">
      <c r="B995" s="273"/>
      <c r="C995" s="273"/>
      <c r="D995" s="273"/>
      <c r="E995" s="273"/>
      <c r="F995" s="273"/>
      <c r="G995" s="273"/>
      <c r="H995" s="39"/>
      <c r="I995" s="273"/>
      <c r="J995" s="273"/>
      <c r="K995" s="273"/>
      <c r="L995" s="273"/>
      <c r="M995" s="273"/>
      <c r="N995" s="273"/>
      <c r="O995" s="273"/>
      <c r="P995" s="273"/>
      <c r="Q995" s="39"/>
      <c r="R995" s="273"/>
      <c r="S995" s="273"/>
      <c r="T995" s="273"/>
      <c r="U995" s="273"/>
      <c r="V995" s="273"/>
      <c r="W995" s="273"/>
      <c r="X995" s="39"/>
      <c r="Y995" s="273"/>
      <c r="Z995" s="273"/>
      <c r="AA995" s="273"/>
      <c r="AB995" s="273"/>
      <c r="AC995" s="273"/>
      <c r="AD995" s="273"/>
      <c r="AE995" s="273"/>
      <c r="AF995" s="273"/>
      <c r="AG995" s="273"/>
      <c r="AH995" s="273"/>
      <c r="AI995" s="273"/>
      <c r="AJ995" s="273"/>
      <c r="AK995" s="273"/>
      <c r="AL995" s="273"/>
      <c r="AM995" s="273"/>
      <c r="AN995" s="273"/>
      <c r="AO995" s="273"/>
      <c r="AP995" s="273"/>
      <c r="AQ995" s="273"/>
      <c r="AR995" s="273"/>
      <c r="AS995" s="273"/>
      <c r="AT995" s="273"/>
      <c r="AU995" s="273"/>
      <c r="AV995" s="273"/>
    </row>
    <row r="996" spans="2:48" ht="12.75">
      <c r="B996" s="273"/>
      <c r="C996" s="273"/>
      <c r="D996" s="273"/>
      <c r="E996" s="273"/>
      <c r="F996" s="273"/>
      <c r="G996" s="273"/>
      <c r="H996" s="39"/>
      <c r="I996" s="273"/>
      <c r="J996" s="273"/>
      <c r="K996" s="273"/>
      <c r="L996" s="273"/>
      <c r="M996" s="273"/>
      <c r="N996" s="273"/>
      <c r="O996" s="273"/>
      <c r="P996" s="273"/>
      <c r="Q996" s="39"/>
      <c r="R996" s="273"/>
      <c r="S996" s="273"/>
      <c r="T996" s="273"/>
      <c r="U996" s="273"/>
      <c r="V996" s="273"/>
      <c r="W996" s="273"/>
      <c r="X996" s="39"/>
      <c r="Y996" s="273"/>
      <c r="Z996" s="273"/>
      <c r="AA996" s="273"/>
      <c r="AB996" s="273"/>
      <c r="AC996" s="273"/>
      <c r="AD996" s="273"/>
      <c r="AE996" s="273"/>
      <c r="AF996" s="273"/>
      <c r="AG996" s="273"/>
      <c r="AH996" s="273"/>
      <c r="AI996" s="273"/>
      <c r="AJ996" s="273"/>
      <c r="AK996" s="273"/>
      <c r="AL996" s="273"/>
      <c r="AM996" s="273"/>
      <c r="AN996" s="273"/>
      <c r="AO996" s="273"/>
      <c r="AP996" s="273"/>
      <c r="AQ996" s="273"/>
      <c r="AR996" s="273"/>
      <c r="AS996" s="273"/>
      <c r="AT996" s="273"/>
      <c r="AU996" s="273"/>
      <c r="AV996" s="273"/>
    </row>
    <row r="997" spans="2:48" ht="12.75">
      <c r="B997" s="273"/>
      <c r="C997" s="273"/>
      <c r="D997" s="273"/>
      <c r="E997" s="273"/>
      <c r="F997" s="273"/>
      <c r="G997" s="273"/>
      <c r="H997" s="39"/>
      <c r="I997" s="273"/>
      <c r="J997" s="273"/>
      <c r="K997" s="273"/>
      <c r="L997" s="273"/>
      <c r="M997" s="273"/>
      <c r="N997" s="273"/>
      <c r="O997" s="273"/>
      <c r="P997" s="273"/>
      <c r="Q997" s="39"/>
      <c r="R997" s="273"/>
      <c r="S997" s="273"/>
      <c r="T997" s="273"/>
      <c r="U997" s="273"/>
      <c r="V997" s="273"/>
      <c r="W997" s="273"/>
      <c r="X997" s="39"/>
      <c r="Y997" s="273"/>
      <c r="Z997" s="273"/>
      <c r="AA997" s="273"/>
      <c r="AB997" s="273"/>
      <c r="AC997" s="273"/>
      <c r="AD997" s="273"/>
      <c r="AE997" s="273"/>
      <c r="AF997" s="273"/>
      <c r="AG997" s="273"/>
      <c r="AH997" s="273"/>
      <c r="AI997" s="273"/>
      <c r="AJ997" s="273"/>
      <c r="AK997" s="273"/>
      <c r="AL997" s="273"/>
      <c r="AM997" s="273"/>
      <c r="AN997" s="273"/>
      <c r="AO997" s="273"/>
      <c r="AP997" s="273"/>
      <c r="AQ997" s="273"/>
      <c r="AR997" s="273"/>
      <c r="AS997" s="273"/>
      <c r="AT997" s="273"/>
      <c r="AU997" s="273"/>
      <c r="AV997" s="273"/>
    </row>
    <row r="998" spans="2:48" ht="12.75">
      <c r="B998" s="273"/>
      <c r="C998" s="273"/>
      <c r="D998" s="273"/>
      <c r="E998" s="273"/>
      <c r="F998" s="273"/>
      <c r="G998" s="273"/>
      <c r="H998" s="39"/>
      <c r="I998" s="273"/>
      <c r="J998" s="273"/>
      <c r="K998" s="273"/>
      <c r="L998" s="273"/>
      <c r="M998" s="273"/>
      <c r="N998" s="273"/>
      <c r="O998" s="273"/>
      <c r="P998" s="273"/>
      <c r="Q998" s="39"/>
      <c r="R998" s="273"/>
      <c r="S998" s="273"/>
      <c r="T998" s="273"/>
      <c r="U998" s="273"/>
      <c r="V998" s="273"/>
      <c r="W998" s="273"/>
      <c r="X998" s="39"/>
      <c r="Y998" s="273"/>
      <c r="Z998" s="273"/>
      <c r="AA998" s="273"/>
      <c r="AB998" s="273"/>
      <c r="AC998" s="273"/>
      <c r="AD998" s="273"/>
      <c r="AE998" s="273"/>
      <c r="AF998" s="273"/>
      <c r="AG998" s="273"/>
      <c r="AH998" s="273"/>
      <c r="AI998" s="273"/>
      <c r="AJ998" s="273"/>
      <c r="AK998" s="273"/>
      <c r="AL998" s="273"/>
      <c r="AM998" s="273"/>
      <c r="AN998" s="273"/>
      <c r="AO998" s="273"/>
      <c r="AP998" s="273"/>
      <c r="AQ998" s="273"/>
      <c r="AR998" s="273"/>
      <c r="AS998" s="273"/>
      <c r="AT998" s="273"/>
      <c r="AU998" s="273"/>
      <c r="AV998" s="273"/>
    </row>
  </sheetData>
  <autoFilter ref="S4:X59" xr:uid="{C62D469A-8F27-4003-B257-2AA8FDECBAA6}"/>
  <mergeCells count="3">
    <mergeCell ref="B1:H1"/>
    <mergeCell ref="K1:Q1"/>
    <mergeCell ref="S1:X1"/>
  </mergeCells>
  <conditionalFormatting sqref="R3">
    <cfRule type="cellIs" dxfId="8" priority="1" operator="lessThan">
      <formula>3</formula>
    </cfRule>
  </conditionalFormatting>
  <conditionalFormatting sqref="R3">
    <cfRule type="cellIs" dxfId="7" priority="2" operator="between">
      <formula>3</formula>
      <formula>6</formula>
    </cfRule>
  </conditionalFormatting>
  <conditionalFormatting sqref="R3">
    <cfRule type="cellIs" dxfId="6" priority="3" operator="between">
      <formula>6</formula>
      <formula>10</formula>
    </cfRule>
  </conditionalFormatting>
  <conditionalFormatting sqref="R3">
    <cfRule type="cellIs" dxfId="5" priority="4" operator="between">
      <formula>10</formula>
      <formula>15</formula>
    </cfRule>
  </conditionalFormatting>
  <conditionalFormatting sqref="R3">
    <cfRule type="cellIs" dxfId="4" priority="5" operator="between">
      <formula>15</formula>
      <formula>20</formula>
    </cfRule>
  </conditionalFormatting>
  <conditionalFormatting sqref="R3">
    <cfRule type="cellIs" dxfId="3" priority="6" operator="between">
      <formula>20</formula>
      <formula>25</formula>
    </cfRule>
  </conditionalFormatting>
  <conditionalFormatting sqref="R3">
    <cfRule type="cellIs" dxfId="2" priority="7" operator="greaterThanOrEqual">
      <formula>30</formula>
    </cfRule>
  </conditionalFormatting>
  <conditionalFormatting sqref="A2:H2 J2:X2">
    <cfRule type="colorScale" priority="20">
      <colorScale>
        <cfvo type="min"/>
        <cfvo type="max"/>
        <color rgb="FF57BB8A"/>
        <color rgb="FFFFFFFF"/>
      </colorScale>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999"/>
  <sheetViews>
    <sheetView workbookViewId="0">
      <pane xSplit="1" ySplit="1" topLeftCell="B71" activePane="bottomRight" state="frozen"/>
      <selection pane="bottomRight" activeCell="P104" sqref="P104"/>
      <selection pane="bottomLeft" activeCell="A2" sqref="A2"/>
      <selection pane="topRight" activeCell="B1" sqref="B1"/>
    </sheetView>
  </sheetViews>
  <sheetFormatPr defaultColWidth="14.42578125" defaultRowHeight="15.75" customHeight="1"/>
  <cols>
    <col min="1" max="1" width="14.28515625" style="123" customWidth="1"/>
    <col min="2" max="2" width="17.28515625" customWidth="1"/>
    <col min="3" max="4" width="12.28515625" customWidth="1"/>
    <col min="5" max="6" width="13.42578125" customWidth="1"/>
    <col min="7" max="8" width="8.7109375" customWidth="1"/>
    <col min="9" max="10" width="12.85546875" customWidth="1"/>
    <col min="11" max="12" width="7.85546875" customWidth="1"/>
    <col min="13" max="14" width="9.140625" customWidth="1"/>
    <col min="15" max="16" width="8.28515625" customWidth="1"/>
    <col min="17" max="18" width="10.28515625" customWidth="1"/>
    <col min="19" max="20" width="10.7109375" customWidth="1"/>
    <col min="21" max="22" width="11.28515625" customWidth="1"/>
  </cols>
  <sheetData>
    <row r="1" spans="1:42" ht="15.75" customHeight="1">
      <c r="A1" s="122" t="s">
        <v>1752</v>
      </c>
      <c r="B1" s="23" t="s">
        <v>1753</v>
      </c>
      <c r="C1" s="23" t="s">
        <v>1754</v>
      </c>
      <c r="D1" s="23" t="s">
        <v>1755</v>
      </c>
      <c r="E1" s="23" t="s">
        <v>1756</v>
      </c>
      <c r="F1" s="23" t="s">
        <v>1757</v>
      </c>
      <c r="G1" s="23" t="s">
        <v>1758</v>
      </c>
      <c r="H1" s="23" t="s">
        <v>1759</v>
      </c>
      <c r="I1" s="23" t="s">
        <v>1760</v>
      </c>
      <c r="J1" s="23" t="s">
        <v>1761</v>
      </c>
      <c r="K1" s="23" t="s">
        <v>1762</v>
      </c>
      <c r="L1" s="23" t="s">
        <v>1763</v>
      </c>
      <c r="M1" s="23" t="s">
        <v>1764</v>
      </c>
      <c r="N1" s="23" t="s">
        <v>1765</v>
      </c>
      <c r="O1" s="23" t="s">
        <v>1766</v>
      </c>
      <c r="P1" s="23" t="s">
        <v>1767</v>
      </c>
      <c r="Q1" s="23" t="s">
        <v>1768</v>
      </c>
      <c r="R1" s="23" t="s">
        <v>1769</v>
      </c>
      <c r="S1" s="23" t="s">
        <v>1770</v>
      </c>
      <c r="T1" s="23" t="s">
        <v>1771</v>
      </c>
      <c r="U1" s="23" t="s">
        <v>1772</v>
      </c>
      <c r="V1" s="24" t="s">
        <v>1773</v>
      </c>
      <c r="W1" s="23" t="s">
        <v>1774</v>
      </c>
      <c r="X1" s="23" t="s">
        <v>1775</v>
      </c>
      <c r="Y1" s="23" t="s">
        <v>1776</v>
      </c>
      <c r="Z1" s="23" t="s">
        <v>1777</v>
      </c>
      <c r="AA1" s="48"/>
      <c r="AB1" s="48" t="s">
        <v>1618</v>
      </c>
      <c r="AC1" s="48"/>
      <c r="AD1" s="48"/>
      <c r="AE1" s="48"/>
      <c r="AF1" s="48"/>
      <c r="AG1" s="48"/>
      <c r="AH1" s="48"/>
      <c r="AI1" s="48"/>
      <c r="AJ1" s="48"/>
      <c r="AK1" s="48"/>
      <c r="AL1" s="48"/>
      <c r="AM1" s="48"/>
      <c r="AN1" s="273"/>
      <c r="AO1" s="273"/>
      <c r="AP1" s="273"/>
    </row>
    <row r="2" spans="1:42" ht="12.75">
      <c r="A2" s="123" t="s">
        <v>1778</v>
      </c>
      <c r="B2" s="26"/>
      <c r="C2" s="48"/>
      <c r="D2" s="48"/>
      <c r="E2" s="48"/>
      <c r="F2" s="48"/>
      <c r="G2" s="48"/>
      <c r="H2" s="48"/>
      <c r="I2" s="48"/>
      <c r="J2" s="48"/>
      <c r="K2" s="49">
        <v>31</v>
      </c>
      <c r="L2" s="49">
        <v>8</v>
      </c>
      <c r="M2" s="48"/>
      <c r="N2" s="48"/>
      <c r="O2" s="48"/>
      <c r="P2" s="48"/>
      <c r="Q2" s="49">
        <v>41</v>
      </c>
      <c r="R2" s="49">
        <v>12</v>
      </c>
      <c r="S2" s="48"/>
      <c r="T2" s="48"/>
      <c r="U2" s="48"/>
      <c r="V2" s="38"/>
      <c r="W2" s="25">
        <f t="shared" ref="W2:W38" si="0">SUM(B2:V2)</f>
        <v>92</v>
      </c>
      <c r="X2" s="49">
        <v>6</v>
      </c>
      <c r="Y2" s="49">
        <v>15</v>
      </c>
      <c r="Z2" s="48" t="s">
        <v>1779</v>
      </c>
      <c r="AA2" s="48"/>
      <c r="AB2" s="48"/>
      <c r="AC2" s="48"/>
      <c r="AD2" s="48"/>
      <c r="AE2" s="48"/>
      <c r="AF2" s="48"/>
      <c r="AG2" s="48"/>
      <c r="AH2" s="48"/>
      <c r="AI2" s="48"/>
      <c r="AJ2" s="48"/>
      <c r="AK2" s="48"/>
      <c r="AL2" s="48"/>
      <c r="AM2" s="48"/>
      <c r="AN2" s="273"/>
      <c r="AO2" s="273"/>
      <c r="AP2" s="273"/>
    </row>
    <row r="3" spans="1:42" ht="12.75">
      <c r="A3" s="123" t="s">
        <v>1780</v>
      </c>
      <c r="B3" s="26"/>
      <c r="C3" s="48"/>
      <c r="D3" s="48"/>
      <c r="E3" s="48"/>
      <c r="F3" s="48"/>
      <c r="G3" s="48"/>
      <c r="H3" s="48"/>
      <c r="I3" s="48"/>
      <c r="J3" s="48"/>
      <c r="K3" s="49">
        <v>25.55</v>
      </c>
      <c r="L3" s="49">
        <v>4</v>
      </c>
      <c r="M3" s="48"/>
      <c r="N3" s="48"/>
      <c r="O3" s="48"/>
      <c r="P3" s="49">
        <v>24.35</v>
      </c>
      <c r="Q3" s="49">
        <v>41.7</v>
      </c>
      <c r="R3" s="48"/>
      <c r="S3" s="48"/>
      <c r="T3" s="48"/>
      <c r="U3" s="48"/>
      <c r="V3" s="38"/>
      <c r="W3" s="25">
        <f t="shared" si="0"/>
        <v>95.600000000000009</v>
      </c>
      <c r="X3" s="49">
        <v>5</v>
      </c>
      <c r="Y3" s="49">
        <v>19</v>
      </c>
      <c r="Z3" s="48" t="s">
        <v>1781</v>
      </c>
      <c r="AA3" s="48"/>
      <c r="AB3" s="48"/>
      <c r="AC3" s="48"/>
      <c r="AD3" s="48"/>
      <c r="AE3" s="48"/>
      <c r="AF3" s="48"/>
      <c r="AG3" s="48"/>
      <c r="AH3" s="48"/>
      <c r="AI3" s="48"/>
      <c r="AJ3" s="48"/>
      <c r="AK3" s="48"/>
      <c r="AL3" s="48"/>
      <c r="AM3" s="48"/>
      <c r="AN3" s="273"/>
      <c r="AO3" s="273"/>
      <c r="AP3" s="273"/>
    </row>
    <row r="4" spans="1:42" ht="12.75">
      <c r="A4" s="123" t="s">
        <v>1782</v>
      </c>
      <c r="B4" s="48"/>
      <c r="C4" s="48"/>
      <c r="D4" s="48"/>
      <c r="E4" s="48"/>
      <c r="F4" s="48"/>
      <c r="G4" s="48"/>
      <c r="H4" s="48"/>
      <c r="I4" s="48"/>
      <c r="J4" s="48"/>
      <c r="K4" s="49">
        <v>18.8</v>
      </c>
      <c r="L4" s="49">
        <v>7.55</v>
      </c>
      <c r="M4" s="48"/>
      <c r="N4" s="48"/>
      <c r="O4" s="48"/>
      <c r="P4" s="48"/>
      <c r="Q4" s="49">
        <v>4.5999999999999996</v>
      </c>
      <c r="R4" s="48"/>
      <c r="S4" s="48"/>
      <c r="T4" s="48"/>
      <c r="U4" s="48"/>
      <c r="V4" s="38"/>
      <c r="W4" s="25">
        <f t="shared" si="0"/>
        <v>30.950000000000003</v>
      </c>
      <c r="X4" s="48"/>
      <c r="Y4" s="48"/>
      <c r="Z4" s="48"/>
      <c r="AA4" s="48"/>
      <c r="AB4" s="48"/>
      <c r="AC4" s="48"/>
      <c r="AD4" s="48"/>
      <c r="AE4" s="48"/>
      <c r="AF4" s="48"/>
      <c r="AG4" s="48"/>
      <c r="AH4" s="48"/>
      <c r="AI4" s="48"/>
      <c r="AJ4" s="48"/>
      <c r="AK4" s="48"/>
      <c r="AL4" s="48"/>
      <c r="AM4" s="48"/>
      <c r="AN4" s="273"/>
      <c r="AO4" s="273"/>
      <c r="AP4" s="273"/>
    </row>
    <row r="5" spans="1:42" ht="12.75">
      <c r="A5" s="123" t="s">
        <v>1783</v>
      </c>
      <c r="B5" s="48"/>
      <c r="C5" s="48"/>
      <c r="D5" s="48"/>
      <c r="E5" s="48"/>
      <c r="F5" s="48"/>
      <c r="G5" s="48"/>
      <c r="H5" s="48"/>
      <c r="I5" s="48"/>
      <c r="J5" s="48"/>
      <c r="K5" s="49">
        <v>42.8</v>
      </c>
      <c r="L5" s="48"/>
      <c r="M5" s="48"/>
      <c r="N5" s="48"/>
      <c r="O5" s="48"/>
      <c r="P5" s="49">
        <v>18.2</v>
      </c>
      <c r="Q5" s="49">
        <v>31.55</v>
      </c>
      <c r="R5" s="48"/>
      <c r="S5" s="48"/>
      <c r="T5" s="48"/>
      <c r="U5" s="48"/>
      <c r="V5" s="38"/>
      <c r="W5" s="25">
        <f t="shared" si="0"/>
        <v>92.55</v>
      </c>
      <c r="X5" s="48"/>
      <c r="Y5" s="48"/>
      <c r="Z5" s="48"/>
      <c r="AA5" s="48"/>
      <c r="AB5" s="48"/>
      <c r="AC5" s="48"/>
      <c r="AD5" s="48"/>
      <c r="AE5" s="48"/>
      <c r="AF5" s="48"/>
      <c r="AG5" s="48"/>
      <c r="AH5" s="48"/>
      <c r="AI5" s="48"/>
      <c r="AJ5" s="48"/>
      <c r="AK5" s="48"/>
      <c r="AL5" s="48"/>
      <c r="AM5" s="48"/>
      <c r="AN5" s="273"/>
      <c r="AO5" s="273"/>
      <c r="AP5" s="273"/>
    </row>
    <row r="6" spans="1:42" ht="12.75">
      <c r="A6" s="123" t="s">
        <v>1784</v>
      </c>
      <c r="B6" s="49">
        <v>98</v>
      </c>
      <c r="C6" s="48"/>
      <c r="D6" s="48"/>
      <c r="E6" s="48"/>
      <c r="F6" s="48"/>
      <c r="G6" s="48"/>
      <c r="H6" s="48"/>
      <c r="I6" s="48"/>
      <c r="J6" s="48"/>
      <c r="K6" s="49">
        <v>38</v>
      </c>
      <c r="L6" s="49">
        <v>1</v>
      </c>
      <c r="M6" s="48"/>
      <c r="N6" s="48"/>
      <c r="O6" s="48"/>
      <c r="P6" s="48"/>
      <c r="Q6" s="49">
        <v>28</v>
      </c>
      <c r="R6" s="48"/>
      <c r="S6" s="48"/>
      <c r="T6" s="48"/>
      <c r="U6" s="48"/>
      <c r="V6" s="38"/>
      <c r="W6" s="25">
        <f t="shared" si="0"/>
        <v>165</v>
      </c>
      <c r="X6" s="48"/>
      <c r="Y6" s="48"/>
      <c r="Z6" s="48"/>
      <c r="AA6" s="48"/>
      <c r="AB6" s="48"/>
      <c r="AC6" s="48"/>
      <c r="AD6" s="48"/>
      <c r="AE6" s="48"/>
      <c r="AF6" s="48"/>
      <c r="AG6" s="48"/>
      <c r="AH6" s="48"/>
      <c r="AI6" s="48"/>
      <c r="AJ6" s="48"/>
      <c r="AK6" s="48"/>
      <c r="AL6" s="48"/>
      <c r="AM6" s="48"/>
      <c r="AN6" s="273"/>
      <c r="AO6" s="273"/>
      <c r="AP6" s="273"/>
    </row>
    <row r="7" spans="1:42" ht="12.75">
      <c r="A7" s="123" t="s">
        <v>1785</v>
      </c>
      <c r="B7" s="48"/>
      <c r="C7" s="48"/>
      <c r="D7" s="48"/>
      <c r="E7" s="48"/>
      <c r="F7" s="48"/>
      <c r="G7" s="48"/>
      <c r="H7" s="48"/>
      <c r="I7" s="48"/>
      <c r="J7" s="48"/>
      <c r="K7" s="49">
        <v>25.55</v>
      </c>
      <c r="L7" s="49">
        <v>1.9</v>
      </c>
      <c r="M7" s="48"/>
      <c r="N7" s="48"/>
      <c r="O7" s="49">
        <v>109.95</v>
      </c>
      <c r="P7" s="48">
        <v>0</v>
      </c>
      <c r="Q7" s="49">
        <v>21.65</v>
      </c>
      <c r="R7" s="48"/>
      <c r="S7" s="48"/>
      <c r="T7" s="48"/>
      <c r="U7" s="48"/>
      <c r="V7" s="38"/>
      <c r="W7" s="25">
        <f t="shared" si="0"/>
        <v>159.05000000000001</v>
      </c>
      <c r="X7" s="48"/>
      <c r="Y7" s="48"/>
      <c r="Z7" s="48"/>
      <c r="AA7" s="48"/>
      <c r="AB7" s="48"/>
      <c r="AC7" s="48"/>
      <c r="AD7" s="48"/>
      <c r="AE7" s="48"/>
      <c r="AF7" s="48"/>
      <c r="AG7" s="48"/>
      <c r="AH7" s="48"/>
      <c r="AI7" s="48"/>
      <c r="AJ7" s="48"/>
      <c r="AK7" s="48"/>
      <c r="AL7" s="48"/>
      <c r="AM7" s="48"/>
      <c r="AN7" s="273"/>
      <c r="AO7" s="273"/>
      <c r="AP7" s="273"/>
    </row>
    <row r="8" spans="1:42" ht="12.75">
      <c r="A8" s="123" t="s">
        <v>1786</v>
      </c>
      <c r="B8" s="48"/>
      <c r="C8" s="49">
        <v>33.799999999999997</v>
      </c>
      <c r="D8" s="49">
        <v>32.35</v>
      </c>
      <c r="E8" s="48"/>
      <c r="F8" s="48"/>
      <c r="G8" s="48"/>
      <c r="H8" s="48"/>
      <c r="I8" s="48"/>
      <c r="J8" s="48"/>
      <c r="K8" s="48"/>
      <c r="L8" s="48"/>
      <c r="M8" s="48"/>
      <c r="N8" s="48"/>
      <c r="O8" s="48"/>
      <c r="P8" s="49">
        <v>26.8</v>
      </c>
      <c r="Q8" s="48"/>
      <c r="R8" s="48"/>
      <c r="S8" s="48"/>
      <c r="T8" s="48"/>
      <c r="U8" s="48"/>
      <c r="V8" s="38"/>
      <c r="W8" s="25">
        <f t="shared" si="0"/>
        <v>92.95</v>
      </c>
      <c r="X8" s="242">
        <f>SUM(W6:W9)/4</f>
        <v>148.15</v>
      </c>
      <c r="Y8" s="48">
        <f>SUM(X8:X11)/4</f>
        <v>312.15937499999995</v>
      </c>
      <c r="Z8" s="48"/>
      <c r="AA8" s="48"/>
      <c r="AB8" s="48"/>
      <c r="AC8" s="48"/>
      <c r="AD8" s="48"/>
      <c r="AE8" s="48"/>
      <c r="AF8" s="48"/>
      <c r="AG8" s="48"/>
      <c r="AH8" s="48"/>
      <c r="AI8" s="48"/>
      <c r="AJ8" s="48"/>
      <c r="AK8" s="48"/>
      <c r="AL8" s="48"/>
      <c r="AM8" s="48"/>
      <c r="AN8" s="273"/>
      <c r="AO8" s="273"/>
      <c r="AP8" s="273"/>
    </row>
    <row r="9" spans="1:42" ht="12.75">
      <c r="A9" s="123" t="s">
        <v>1787</v>
      </c>
      <c r="B9" s="48"/>
      <c r="C9" s="48"/>
      <c r="D9" s="48"/>
      <c r="E9" s="48"/>
      <c r="F9" s="48"/>
      <c r="G9" s="48"/>
      <c r="H9" s="48"/>
      <c r="I9" s="48"/>
      <c r="J9" s="48"/>
      <c r="K9" s="49">
        <v>43.15</v>
      </c>
      <c r="L9" s="49">
        <v>0</v>
      </c>
      <c r="M9" s="48"/>
      <c r="N9" s="48"/>
      <c r="O9" s="49">
        <v>63.15</v>
      </c>
      <c r="P9" s="49">
        <v>49.65</v>
      </c>
      <c r="Q9" s="49">
        <v>11.5</v>
      </c>
      <c r="R9" s="49">
        <v>8.15</v>
      </c>
      <c r="S9" s="48"/>
      <c r="T9" s="48"/>
      <c r="U9" s="48"/>
      <c r="V9" s="38"/>
      <c r="W9" s="25">
        <f t="shared" si="0"/>
        <v>175.6</v>
      </c>
      <c r="X9" s="242">
        <f>SUM(W11:W19)/4</f>
        <v>315.77499999999998</v>
      </c>
      <c r="Y9" s="48"/>
      <c r="Z9" s="48"/>
      <c r="AA9" s="48"/>
      <c r="AB9" s="48"/>
      <c r="AC9" s="48"/>
      <c r="AD9" s="48"/>
      <c r="AE9" s="48"/>
      <c r="AF9" s="48"/>
      <c r="AG9" s="48"/>
      <c r="AH9" s="48"/>
      <c r="AI9" s="48"/>
      <c r="AJ9" s="48"/>
      <c r="AK9" s="48"/>
      <c r="AL9" s="48"/>
      <c r="AM9" s="48"/>
      <c r="AN9" s="273"/>
      <c r="AO9" s="273"/>
      <c r="AP9" s="273"/>
    </row>
    <row r="10" spans="1:42" ht="12.75">
      <c r="A10" s="123" t="s">
        <v>1788</v>
      </c>
      <c r="B10" s="48"/>
      <c r="C10" s="48"/>
      <c r="D10" s="48"/>
      <c r="E10" s="48"/>
      <c r="F10" s="48"/>
      <c r="G10" s="48"/>
      <c r="H10" s="48"/>
      <c r="I10" s="48"/>
      <c r="J10" s="48"/>
      <c r="K10" s="48"/>
      <c r="L10" s="48"/>
      <c r="M10" s="48"/>
      <c r="N10" s="48"/>
      <c r="O10" s="49">
        <v>70.599999999999994</v>
      </c>
      <c r="P10" s="49">
        <v>65.7</v>
      </c>
      <c r="Q10" s="48"/>
      <c r="R10" s="48"/>
      <c r="S10" s="48"/>
      <c r="T10" s="48"/>
      <c r="U10" s="48"/>
      <c r="V10" s="38"/>
      <c r="W10" s="25">
        <f t="shared" si="0"/>
        <v>136.30000000000001</v>
      </c>
      <c r="X10" s="242">
        <f>SUM(W20:W29)/4</f>
        <v>242.97499999999997</v>
      </c>
      <c r="Y10" s="48"/>
      <c r="Z10" s="48"/>
      <c r="AA10" s="48"/>
      <c r="AB10" s="48"/>
      <c r="AC10" s="48"/>
      <c r="AD10" s="48"/>
      <c r="AE10" s="48"/>
      <c r="AF10" s="48"/>
      <c r="AG10" s="48"/>
      <c r="AH10" s="48"/>
      <c r="AI10" s="48"/>
      <c r="AJ10" s="48"/>
      <c r="AK10" s="48"/>
      <c r="AL10" s="48"/>
      <c r="AM10" s="48"/>
      <c r="AN10" s="273"/>
      <c r="AO10" s="273"/>
      <c r="AP10" s="273"/>
    </row>
    <row r="11" spans="1:42" ht="12.75">
      <c r="A11" s="123" t="s">
        <v>1789</v>
      </c>
      <c r="B11" s="48"/>
      <c r="C11" s="48"/>
      <c r="D11" s="48"/>
      <c r="E11" s="48"/>
      <c r="F11" s="48"/>
      <c r="G11" s="48"/>
      <c r="H11" s="48"/>
      <c r="I11" s="48"/>
      <c r="J11" s="48"/>
      <c r="K11" s="48">
        <f>96-57.8</f>
        <v>38.200000000000003</v>
      </c>
      <c r="L11" s="48"/>
      <c r="M11" s="48"/>
      <c r="N11" s="48"/>
      <c r="O11" s="48"/>
      <c r="P11" s="48"/>
      <c r="Q11" s="48"/>
      <c r="R11" s="48"/>
      <c r="S11" s="48"/>
      <c r="T11" s="48"/>
      <c r="U11" s="48"/>
      <c r="V11" s="38"/>
      <c r="W11" s="25">
        <f t="shared" si="0"/>
        <v>38.200000000000003</v>
      </c>
      <c r="X11" s="242">
        <f>SUM(W30:W45)/4</f>
        <v>541.73750000000007</v>
      </c>
      <c r="Y11" s="48"/>
      <c r="Z11" s="48"/>
      <c r="AA11" s="48"/>
      <c r="AB11" s="48"/>
      <c r="AC11" s="48"/>
      <c r="AD11" s="48"/>
      <c r="AE11" s="48"/>
      <c r="AF11" s="48"/>
      <c r="AG11" s="48"/>
      <c r="AH11" s="48"/>
      <c r="AI11" s="48"/>
      <c r="AJ11" s="48"/>
      <c r="AK11" s="48"/>
      <c r="AL11" s="48"/>
      <c r="AM11" s="48"/>
      <c r="AN11" s="273"/>
      <c r="AO11" s="273"/>
      <c r="AP11" s="273"/>
    </row>
    <row r="12" spans="1:42" ht="12.75">
      <c r="A12" s="123" t="s">
        <v>1790</v>
      </c>
      <c r="B12" s="48"/>
      <c r="C12" s="48"/>
      <c r="D12" s="48"/>
      <c r="E12" s="48"/>
      <c r="F12" s="48"/>
      <c r="G12" s="48"/>
      <c r="H12" s="48"/>
      <c r="I12" s="48"/>
      <c r="J12" s="48"/>
      <c r="K12" s="48">
        <v>41.3</v>
      </c>
      <c r="L12" s="48">
        <v>0</v>
      </c>
      <c r="M12" s="48"/>
      <c r="N12" s="48"/>
      <c r="O12" s="48">
        <v>47.15</v>
      </c>
      <c r="P12" s="48">
        <v>27.8</v>
      </c>
      <c r="Q12" s="48">
        <v>7.5</v>
      </c>
      <c r="R12" s="48">
        <v>0</v>
      </c>
      <c r="S12" s="48"/>
      <c r="T12" s="48"/>
      <c r="U12" s="48"/>
      <c r="V12" s="38"/>
      <c r="W12" s="25">
        <f t="shared" si="0"/>
        <v>123.74999999999999</v>
      </c>
      <c r="X12" s="48"/>
      <c r="Y12" s="48"/>
      <c r="Z12" s="48"/>
      <c r="AA12" s="48"/>
      <c r="AB12" s="48"/>
      <c r="AC12" s="48"/>
      <c r="AD12" s="48"/>
      <c r="AE12" s="48"/>
      <c r="AF12" s="48"/>
      <c r="AG12" s="48"/>
      <c r="AH12" s="48"/>
      <c r="AI12" s="48"/>
      <c r="AJ12" s="48"/>
      <c r="AK12" s="48"/>
      <c r="AL12" s="48"/>
      <c r="AM12" s="48"/>
      <c r="AN12" s="273"/>
      <c r="AO12" s="273"/>
      <c r="AP12" s="273"/>
    </row>
    <row r="13" spans="1:42" ht="12.75">
      <c r="A13" s="123" t="s">
        <v>1791</v>
      </c>
      <c r="B13" s="48"/>
      <c r="C13" s="48"/>
      <c r="D13" s="48"/>
      <c r="E13" s="48"/>
      <c r="F13" s="48"/>
      <c r="G13" s="48"/>
      <c r="H13" s="48"/>
      <c r="I13" s="48"/>
      <c r="J13" s="48"/>
      <c r="K13" s="48">
        <f>112-71.5</f>
        <v>40.5</v>
      </c>
      <c r="L13" s="48"/>
      <c r="M13" s="48"/>
      <c r="N13" s="48"/>
      <c r="O13" s="48">
        <f>127-71.5</f>
        <v>55.5</v>
      </c>
      <c r="P13" s="48">
        <f>123-71.5</f>
        <v>51.5</v>
      </c>
      <c r="Q13" s="48">
        <f>111-71.5</f>
        <v>39.5</v>
      </c>
      <c r="R13" s="48"/>
      <c r="S13" s="48"/>
      <c r="T13" s="48"/>
      <c r="U13" s="48"/>
      <c r="V13" s="38"/>
      <c r="W13" s="25">
        <f t="shared" si="0"/>
        <v>187</v>
      </c>
      <c r="X13" s="48"/>
      <c r="Y13" s="48"/>
      <c r="Z13" s="48"/>
      <c r="AA13" s="48"/>
      <c r="AB13" s="48"/>
      <c r="AC13" s="48"/>
      <c r="AD13" s="48"/>
      <c r="AE13" s="48"/>
      <c r="AF13" s="48"/>
      <c r="AG13" s="48"/>
      <c r="AH13" s="48"/>
      <c r="AI13" s="48"/>
      <c r="AJ13" s="48"/>
      <c r="AK13" s="48"/>
      <c r="AL13" s="48"/>
      <c r="AM13" s="48"/>
      <c r="AN13" s="273"/>
      <c r="AO13" s="273"/>
      <c r="AP13" s="273"/>
    </row>
    <row r="14" spans="1:42" ht="12.75">
      <c r="A14" s="123" t="s">
        <v>1792</v>
      </c>
      <c r="B14" s="48"/>
      <c r="C14" s="48"/>
      <c r="D14" s="48"/>
      <c r="E14" s="48"/>
      <c r="F14" s="48"/>
      <c r="G14" s="48"/>
      <c r="H14" s="48"/>
      <c r="I14" s="48"/>
      <c r="J14" s="48"/>
      <c r="K14" s="48">
        <f>109.5-7-66.45</f>
        <v>36.049999999999997</v>
      </c>
      <c r="L14" s="48"/>
      <c r="M14" s="48"/>
      <c r="N14" s="48"/>
      <c r="O14" s="48">
        <f>123-65.5-7</f>
        <v>50.5</v>
      </c>
      <c r="P14" s="48">
        <f>91.3-65.5-7</f>
        <v>18.799999999999997</v>
      </c>
      <c r="Q14" s="48">
        <f>99.9-65.5-7</f>
        <v>27.400000000000006</v>
      </c>
      <c r="R14" s="48"/>
      <c r="S14" s="48"/>
      <c r="T14" s="48"/>
      <c r="U14" s="48"/>
      <c r="V14" s="38"/>
      <c r="W14" s="25">
        <f t="shared" si="0"/>
        <v>132.75</v>
      </c>
      <c r="X14" s="48"/>
      <c r="Y14" s="48"/>
      <c r="Z14" s="48"/>
      <c r="AA14" s="48"/>
      <c r="AB14" s="48"/>
      <c r="AC14" s="48"/>
      <c r="AD14" s="48"/>
      <c r="AE14" s="48"/>
      <c r="AF14" s="48"/>
      <c r="AG14" s="48"/>
      <c r="AH14" s="48"/>
      <c r="AI14" s="48"/>
      <c r="AJ14" s="48"/>
      <c r="AK14" s="48"/>
      <c r="AL14" s="48"/>
      <c r="AM14" s="48"/>
      <c r="AN14" s="273"/>
      <c r="AO14" s="273"/>
      <c r="AP14" s="273"/>
    </row>
    <row r="15" spans="1:42" ht="12.75">
      <c r="A15" s="123" t="s">
        <v>1793</v>
      </c>
      <c r="B15" s="48"/>
      <c r="C15" s="48"/>
      <c r="D15" s="48"/>
      <c r="E15" s="48"/>
      <c r="F15" s="48"/>
      <c r="G15" s="48"/>
      <c r="H15" s="48"/>
      <c r="I15" s="48"/>
      <c r="J15" s="48"/>
      <c r="K15" s="48">
        <v>33.4</v>
      </c>
      <c r="L15" s="48"/>
      <c r="M15" s="48"/>
      <c r="N15" s="48"/>
      <c r="O15" s="48">
        <v>73.8</v>
      </c>
      <c r="P15" s="48">
        <v>34.049999999999997</v>
      </c>
      <c r="Q15" s="48">
        <v>23.15</v>
      </c>
      <c r="R15" s="48"/>
      <c r="S15" s="48"/>
      <c r="T15" s="48"/>
      <c r="U15" s="48"/>
      <c r="V15" s="38"/>
      <c r="W15" s="25">
        <f t="shared" si="0"/>
        <v>164.4</v>
      </c>
      <c r="X15" s="48"/>
      <c r="Y15" s="242"/>
      <c r="Z15" s="48"/>
      <c r="AA15" s="48"/>
      <c r="AB15" s="48"/>
      <c r="AC15" s="48"/>
      <c r="AD15" s="48"/>
      <c r="AE15" s="48"/>
      <c r="AF15" s="48"/>
      <c r="AG15" s="48"/>
      <c r="AH15" s="48"/>
      <c r="AI15" s="48"/>
      <c r="AJ15" s="48"/>
      <c r="AK15" s="48"/>
      <c r="AL15" s="48"/>
      <c r="AM15" s="48"/>
      <c r="AN15" s="273"/>
      <c r="AO15" s="273"/>
      <c r="AP15" s="273"/>
    </row>
    <row r="16" spans="1:42" ht="12.75">
      <c r="A16" s="123" t="s">
        <v>1794</v>
      </c>
      <c r="B16" s="48"/>
      <c r="C16" s="48"/>
      <c r="D16" s="48"/>
      <c r="E16" s="48"/>
      <c r="F16" s="48"/>
      <c r="G16" s="48"/>
      <c r="H16" s="48"/>
      <c r="I16" s="48"/>
      <c r="J16" s="48"/>
      <c r="K16" s="48">
        <f>108.8-66.5-7</f>
        <v>35.299999999999997</v>
      </c>
      <c r="L16" s="48"/>
      <c r="M16" s="48"/>
      <c r="N16" s="48"/>
      <c r="O16" s="48"/>
      <c r="P16" s="48"/>
      <c r="Q16" s="48">
        <f>107.2-73.05</f>
        <v>34.150000000000006</v>
      </c>
      <c r="R16" s="48"/>
      <c r="S16" s="48"/>
      <c r="T16" s="48"/>
      <c r="U16" s="48"/>
      <c r="V16" s="38"/>
      <c r="W16" s="25">
        <f t="shared" si="0"/>
        <v>69.45</v>
      </c>
      <c r="X16" s="48"/>
      <c r="Y16" s="48"/>
      <c r="Z16" s="48"/>
      <c r="AA16" s="48"/>
      <c r="AB16" s="48"/>
      <c r="AC16" s="48"/>
      <c r="AD16" s="48"/>
      <c r="AE16" s="48"/>
      <c r="AF16" s="48"/>
      <c r="AG16" s="48"/>
      <c r="AH16" s="48"/>
      <c r="AI16" s="48"/>
      <c r="AJ16" s="48"/>
      <c r="AK16" s="48"/>
      <c r="AL16" s="48"/>
      <c r="AM16" s="48"/>
      <c r="AN16" s="273"/>
      <c r="AO16" s="273"/>
      <c r="AP16" s="273"/>
    </row>
    <row r="17" spans="1:42" ht="12.75">
      <c r="A17" s="123" t="s">
        <v>1795</v>
      </c>
      <c r="B17" s="48"/>
      <c r="C17" s="48"/>
      <c r="D17" s="48"/>
      <c r="E17" s="48"/>
      <c r="F17" s="48"/>
      <c r="G17" s="48"/>
      <c r="H17" s="48"/>
      <c r="I17" s="48"/>
      <c r="J17" s="48"/>
      <c r="K17" s="48">
        <f>97.25-64.15</f>
        <v>33.099999999999994</v>
      </c>
      <c r="L17" s="48"/>
      <c r="M17" s="48"/>
      <c r="N17" s="48"/>
      <c r="O17" s="48">
        <f>134.15-64.15</f>
        <v>70</v>
      </c>
      <c r="P17" s="48">
        <f>118.7-64.15</f>
        <v>54.55</v>
      </c>
      <c r="Q17" s="48">
        <f>97.25-64.15</f>
        <v>33.099999999999994</v>
      </c>
      <c r="R17" s="48"/>
      <c r="S17" s="48"/>
      <c r="T17" s="48"/>
      <c r="U17" s="48"/>
      <c r="V17" s="38"/>
      <c r="W17" s="25">
        <f t="shared" si="0"/>
        <v>190.74999999999997</v>
      </c>
      <c r="X17" s="48"/>
      <c r="Y17" s="48"/>
      <c r="Z17" s="48"/>
      <c r="AA17" s="48"/>
      <c r="AB17" s="48"/>
      <c r="AC17" s="48"/>
      <c r="AD17" s="48"/>
      <c r="AE17" s="48"/>
      <c r="AF17" s="48"/>
      <c r="AG17" s="48"/>
      <c r="AH17" s="48"/>
      <c r="AI17" s="48"/>
      <c r="AJ17" s="48"/>
      <c r="AK17" s="48"/>
      <c r="AL17" s="48"/>
      <c r="AM17" s="48"/>
      <c r="AN17" s="273"/>
      <c r="AO17" s="273"/>
      <c r="AP17" s="273"/>
    </row>
    <row r="18" spans="1:42" ht="12.75">
      <c r="A18" s="123" t="s">
        <v>1796</v>
      </c>
      <c r="B18" s="48"/>
      <c r="C18" s="48"/>
      <c r="D18" s="48"/>
      <c r="E18" s="48"/>
      <c r="F18" s="48"/>
      <c r="G18" s="48"/>
      <c r="H18" s="48"/>
      <c r="I18" s="48"/>
      <c r="J18" s="48"/>
      <c r="K18" s="48">
        <v>47.95</v>
      </c>
      <c r="L18" s="48">
        <v>8</v>
      </c>
      <c r="M18" s="48"/>
      <c r="N18" s="48"/>
      <c r="O18" s="48">
        <v>62</v>
      </c>
      <c r="P18" s="48">
        <v>32.15</v>
      </c>
      <c r="Q18" s="48">
        <v>17.600000000000001</v>
      </c>
      <c r="R18" s="48"/>
      <c r="S18" s="48"/>
      <c r="T18" s="48"/>
      <c r="U18" s="48"/>
      <c r="V18" s="38"/>
      <c r="W18" s="25">
        <f t="shared" si="0"/>
        <v>167.7</v>
      </c>
      <c r="X18" s="48"/>
      <c r="Y18" s="48"/>
      <c r="Z18" s="48"/>
      <c r="AA18" s="48"/>
      <c r="AB18" s="48"/>
      <c r="AC18" s="48"/>
      <c r="AD18" s="48"/>
      <c r="AE18" s="48"/>
      <c r="AF18" s="48"/>
      <c r="AG18" s="48"/>
      <c r="AH18" s="48"/>
      <c r="AI18" s="48"/>
      <c r="AJ18" s="48"/>
      <c r="AK18" s="48"/>
      <c r="AL18" s="48"/>
      <c r="AM18" s="48"/>
      <c r="AN18" s="273"/>
      <c r="AO18" s="273"/>
      <c r="AP18" s="273"/>
    </row>
    <row r="19" spans="1:42" ht="12.75">
      <c r="A19" s="123" t="s">
        <v>1797</v>
      </c>
      <c r="B19" s="48"/>
      <c r="C19" s="48"/>
      <c r="D19" s="48"/>
      <c r="E19" s="48"/>
      <c r="F19" s="48"/>
      <c r="G19" s="48"/>
      <c r="H19" s="48"/>
      <c r="I19" s="48"/>
      <c r="J19" s="48"/>
      <c r="K19" s="48">
        <f>93.45-64.75</f>
        <v>28.700000000000003</v>
      </c>
      <c r="L19" s="48"/>
      <c r="M19" s="48"/>
      <c r="N19" s="48"/>
      <c r="O19" s="48">
        <f>144-64.75</f>
        <v>79.25</v>
      </c>
      <c r="P19" s="48">
        <f>120.7-64.75</f>
        <v>55.95</v>
      </c>
      <c r="Q19" s="48">
        <f>89.95-64.75</f>
        <v>25.200000000000003</v>
      </c>
      <c r="R19" s="48"/>
      <c r="S19" s="48"/>
      <c r="T19" s="48"/>
      <c r="U19" s="48"/>
      <c r="V19" s="38"/>
      <c r="W19" s="25">
        <f t="shared" si="0"/>
        <v>189.10000000000002</v>
      </c>
      <c r="X19" s="48"/>
      <c r="Y19" s="48"/>
      <c r="Z19" s="48"/>
      <c r="AA19" s="48"/>
      <c r="AB19" s="48"/>
      <c r="AC19" s="48"/>
      <c r="AD19" s="48"/>
      <c r="AE19" s="48"/>
      <c r="AF19" s="48"/>
      <c r="AG19" s="48"/>
      <c r="AH19" s="48"/>
      <c r="AI19" s="48"/>
      <c r="AJ19" s="48"/>
      <c r="AK19" s="48"/>
      <c r="AL19" s="48"/>
      <c r="AM19" s="48"/>
      <c r="AN19" s="273"/>
      <c r="AO19" s="273"/>
      <c r="AP19" s="273"/>
    </row>
    <row r="20" spans="1:42" ht="12.75">
      <c r="A20" s="123" t="s">
        <v>1798</v>
      </c>
      <c r="B20" s="48"/>
      <c r="C20" s="48"/>
      <c r="D20" s="48"/>
      <c r="E20" s="48"/>
      <c r="F20" s="48"/>
      <c r="G20" s="48"/>
      <c r="H20" s="48"/>
      <c r="I20" s="48"/>
      <c r="J20" s="48"/>
      <c r="K20" s="48">
        <f>115-73.8</f>
        <v>41.2</v>
      </c>
      <c r="L20" s="48"/>
      <c r="M20" s="48"/>
      <c r="N20" s="48"/>
      <c r="O20" s="48">
        <f>127.35-73.8</f>
        <v>53.55</v>
      </c>
      <c r="P20" s="48">
        <f>120-73.8</f>
        <v>46.2</v>
      </c>
      <c r="Q20" s="48">
        <f>89.95-73.8</f>
        <v>16.150000000000006</v>
      </c>
      <c r="R20" s="48"/>
      <c r="S20" s="48"/>
      <c r="T20" s="48"/>
      <c r="U20" s="48"/>
      <c r="V20" s="38"/>
      <c r="W20" s="25">
        <f t="shared" si="0"/>
        <v>157.1</v>
      </c>
      <c r="X20" s="48"/>
      <c r="Y20" s="48"/>
      <c r="Z20" s="48"/>
      <c r="AA20" s="48"/>
      <c r="AB20" s="48"/>
      <c r="AC20" s="48"/>
      <c r="AD20" s="48"/>
      <c r="AE20" s="48"/>
      <c r="AF20" s="48"/>
      <c r="AG20" s="48"/>
      <c r="AH20" s="48"/>
      <c r="AI20" s="48"/>
      <c r="AJ20" s="48"/>
      <c r="AK20" s="48"/>
      <c r="AL20" s="48"/>
      <c r="AM20" s="48"/>
      <c r="AN20" s="273"/>
      <c r="AO20" s="273"/>
      <c r="AP20" s="273"/>
    </row>
    <row r="21" spans="1:42" ht="12.75">
      <c r="A21" s="123" t="s">
        <v>1799</v>
      </c>
      <c r="B21" s="48"/>
      <c r="C21" s="48"/>
      <c r="D21" s="48"/>
      <c r="E21" s="48"/>
      <c r="F21" s="48"/>
      <c r="G21" s="48"/>
      <c r="H21" s="48"/>
      <c r="I21" s="48"/>
      <c r="J21" s="48"/>
      <c r="K21" s="48">
        <f>85.5-62.05</f>
        <v>23.450000000000003</v>
      </c>
      <c r="L21" s="48"/>
      <c r="M21" s="48"/>
      <c r="N21" s="48"/>
      <c r="O21" s="48">
        <f>134-62.05</f>
        <v>71.95</v>
      </c>
      <c r="P21" s="48">
        <f>103.25-62.05</f>
        <v>41.2</v>
      </c>
      <c r="Q21" s="48">
        <f>98.25-62.05</f>
        <v>36.200000000000003</v>
      </c>
      <c r="R21" s="48"/>
      <c r="S21" s="48"/>
      <c r="T21" s="48"/>
      <c r="U21" s="48"/>
      <c r="V21" s="38"/>
      <c r="W21" s="25">
        <f t="shared" si="0"/>
        <v>172.8</v>
      </c>
      <c r="X21" s="48"/>
      <c r="Y21" s="48"/>
      <c r="Z21" s="48"/>
      <c r="AA21" s="48"/>
      <c r="AB21" s="48"/>
      <c r="AC21" s="48"/>
      <c r="AD21" s="48"/>
      <c r="AE21" s="48"/>
      <c r="AF21" s="48"/>
      <c r="AG21" s="48"/>
      <c r="AH21" s="48"/>
      <c r="AI21" s="48"/>
      <c r="AJ21" s="48"/>
      <c r="AK21" s="48"/>
      <c r="AL21" s="48"/>
      <c r="AM21" s="48"/>
      <c r="AN21" s="273"/>
      <c r="AO21" s="273"/>
      <c r="AP21" s="273"/>
    </row>
    <row r="22" spans="1:42" ht="12.75">
      <c r="A22" s="123" t="s">
        <v>1800</v>
      </c>
      <c r="B22" s="48"/>
      <c r="C22" s="48"/>
      <c r="D22" s="48"/>
      <c r="E22" s="48"/>
      <c r="F22" s="48"/>
      <c r="G22" s="48"/>
      <c r="H22" s="48"/>
      <c r="I22" s="48"/>
      <c r="J22" s="48"/>
      <c r="K22" s="48">
        <f>88.8-64.65</f>
        <v>24.149999999999991</v>
      </c>
      <c r="L22" s="48"/>
      <c r="M22" s="48"/>
      <c r="N22" s="48"/>
      <c r="O22" s="48">
        <f>148.5-64.65</f>
        <v>83.85</v>
      </c>
      <c r="P22" s="48">
        <v>0</v>
      </c>
      <c r="Q22" s="48"/>
      <c r="R22" s="48"/>
      <c r="S22" s="48"/>
      <c r="T22" s="48"/>
      <c r="U22" s="48"/>
      <c r="V22" s="38"/>
      <c r="W22" s="25">
        <f t="shared" si="0"/>
        <v>107.99999999999999</v>
      </c>
      <c r="X22" s="48"/>
      <c r="Y22" s="48"/>
      <c r="Z22" s="48"/>
      <c r="AA22" s="48"/>
      <c r="AB22" s="48"/>
      <c r="AC22" s="48"/>
      <c r="AD22" s="48"/>
      <c r="AE22" s="48"/>
      <c r="AF22" s="48"/>
      <c r="AG22" s="48"/>
      <c r="AH22" s="48"/>
      <c r="AI22" s="48"/>
      <c r="AJ22" s="48"/>
      <c r="AK22" s="48"/>
      <c r="AL22" s="48"/>
      <c r="AM22" s="48"/>
      <c r="AN22" s="273"/>
      <c r="AO22" s="273"/>
      <c r="AP22" s="273"/>
    </row>
    <row r="23" spans="1:42" ht="12.75">
      <c r="A23" s="123" t="s">
        <v>1801</v>
      </c>
      <c r="B23" s="48"/>
      <c r="C23" s="48"/>
      <c r="D23" s="48"/>
      <c r="E23" s="48"/>
      <c r="F23" s="48"/>
      <c r="G23" s="48"/>
      <c r="H23" s="48"/>
      <c r="I23" s="48"/>
      <c r="J23" s="48"/>
      <c r="K23" s="48">
        <f>107.55-72.7</f>
        <v>34.849999999999994</v>
      </c>
      <c r="L23" s="48"/>
      <c r="M23" s="48"/>
      <c r="N23" s="48"/>
      <c r="O23" s="48"/>
      <c r="P23" s="48"/>
      <c r="Q23" s="48">
        <f>116.15-72.7</f>
        <v>43.45</v>
      </c>
      <c r="R23" s="48"/>
      <c r="S23" s="48"/>
      <c r="T23" s="48"/>
      <c r="U23" s="48"/>
      <c r="V23" s="38"/>
      <c r="W23" s="25">
        <f t="shared" si="0"/>
        <v>78.3</v>
      </c>
      <c r="X23" s="48"/>
      <c r="Y23" s="48"/>
      <c r="Z23" s="48"/>
      <c r="AA23" s="48"/>
      <c r="AB23" s="48"/>
      <c r="AC23" s="48"/>
      <c r="AD23" s="48"/>
      <c r="AE23" s="48"/>
      <c r="AF23" s="48"/>
      <c r="AG23" s="48"/>
      <c r="AH23" s="48"/>
      <c r="AI23" s="48"/>
      <c r="AJ23" s="48"/>
      <c r="AK23" s="48"/>
      <c r="AL23" s="48"/>
      <c r="AM23" s="48"/>
      <c r="AN23" s="273"/>
      <c r="AO23" s="273"/>
      <c r="AP23" s="273"/>
    </row>
    <row r="24" spans="1:42" ht="12.75">
      <c r="A24" s="123" t="s">
        <v>1802</v>
      </c>
      <c r="B24" s="48"/>
      <c r="C24" s="48"/>
      <c r="D24" s="48"/>
      <c r="E24" s="48"/>
      <c r="F24" s="48"/>
      <c r="G24" s="48"/>
      <c r="H24" s="48"/>
      <c r="I24" s="48"/>
      <c r="J24" s="48"/>
      <c r="K24" s="48">
        <f>90.15-63.5</f>
        <v>26.650000000000006</v>
      </c>
      <c r="L24" s="48"/>
      <c r="M24" s="48"/>
      <c r="N24" s="48"/>
      <c r="O24" s="48"/>
      <c r="P24" s="48"/>
      <c r="Q24" s="48">
        <f>113.5-63.5</f>
        <v>50</v>
      </c>
      <c r="R24" s="48"/>
      <c r="S24" s="48"/>
      <c r="T24" s="48"/>
      <c r="U24" s="48"/>
      <c r="V24" s="38"/>
      <c r="W24" s="25">
        <f t="shared" si="0"/>
        <v>76.650000000000006</v>
      </c>
      <c r="X24" s="48"/>
      <c r="Y24" s="48"/>
      <c r="Z24" s="48"/>
      <c r="AA24" s="48"/>
      <c r="AB24" s="48"/>
      <c r="AC24" s="48"/>
      <c r="AD24" s="48"/>
      <c r="AE24" s="48"/>
      <c r="AF24" s="48"/>
      <c r="AG24" s="48"/>
      <c r="AH24" s="48"/>
      <c r="AI24" s="48"/>
      <c r="AJ24" s="48"/>
      <c r="AK24" s="48"/>
      <c r="AL24" s="48"/>
      <c r="AM24" s="48"/>
      <c r="AN24" s="273"/>
      <c r="AO24" s="273"/>
      <c r="AP24" s="273"/>
    </row>
    <row r="25" spans="1:42" ht="12.75">
      <c r="A25" s="123" t="s">
        <v>1803</v>
      </c>
      <c r="B25" s="48"/>
      <c r="C25" s="48"/>
      <c r="D25" s="48"/>
      <c r="E25" s="48"/>
      <c r="F25" s="48"/>
      <c r="G25" s="48"/>
      <c r="H25" s="48"/>
      <c r="I25" s="48"/>
      <c r="J25" s="48"/>
      <c r="K25" s="48">
        <f>94.95-63.75</f>
        <v>31.200000000000003</v>
      </c>
      <c r="L25" s="48"/>
      <c r="M25" s="48"/>
      <c r="N25" s="48"/>
      <c r="O25" s="48"/>
      <c r="P25" s="48"/>
      <c r="Q25" s="48">
        <f>93.6+75-63.75*2</f>
        <v>41.099999999999994</v>
      </c>
      <c r="R25" s="48"/>
      <c r="S25" s="48"/>
      <c r="T25" s="48"/>
      <c r="U25" s="48"/>
      <c r="V25" s="48"/>
      <c r="W25" s="25">
        <f t="shared" si="0"/>
        <v>72.3</v>
      </c>
      <c r="X25" s="48"/>
      <c r="Y25" s="48"/>
      <c r="Z25" s="48"/>
      <c r="AA25" s="48"/>
      <c r="AB25" s="48"/>
      <c r="AC25" s="48"/>
      <c r="AD25" s="48"/>
      <c r="AE25" s="48"/>
      <c r="AF25" s="48"/>
      <c r="AG25" s="48"/>
      <c r="AH25" s="48"/>
      <c r="AI25" s="48"/>
      <c r="AJ25" s="48"/>
      <c r="AK25" s="48"/>
      <c r="AL25" s="48"/>
      <c r="AM25" s="48"/>
      <c r="AN25" s="273"/>
      <c r="AO25" s="273"/>
      <c r="AP25" s="273"/>
    </row>
    <row r="26" spans="1:42" ht="12.75">
      <c r="A26" s="123" t="s">
        <v>1804</v>
      </c>
      <c r="B26" s="48"/>
      <c r="C26" s="48"/>
      <c r="D26" s="48"/>
      <c r="E26" s="48"/>
      <c r="F26" s="48"/>
      <c r="G26" s="48"/>
      <c r="H26" s="48"/>
      <c r="I26" s="48"/>
      <c r="J26" s="48"/>
      <c r="K26" s="48">
        <v>32</v>
      </c>
      <c r="L26" s="48"/>
      <c r="M26" s="48"/>
      <c r="N26" s="48"/>
      <c r="O26" s="48"/>
      <c r="P26" s="48"/>
      <c r="Q26" s="48">
        <v>32</v>
      </c>
      <c r="R26" s="48"/>
      <c r="S26" s="48"/>
      <c r="T26" s="48"/>
      <c r="U26" s="48"/>
      <c r="V26" s="48"/>
      <c r="W26" s="25">
        <f t="shared" si="0"/>
        <v>64</v>
      </c>
      <c r="X26" s="48"/>
      <c r="Y26" s="48"/>
      <c r="Z26" s="48"/>
      <c r="AA26" s="48"/>
      <c r="AB26" s="48"/>
      <c r="AC26" s="48"/>
      <c r="AD26" s="48"/>
      <c r="AE26" s="48"/>
      <c r="AF26" s="48"/>
      <c r="AG26" s="48"/>
      <c r="AH26" s="48"/>
      <c r="AI26" s="48"/>
      <c r="AJ26" s="48"/>
      <c r="AK26" s="48"/>
      <c r="AL26" s="48"/>
      <c r="AM26" s="48"/>
      <c r="AN26" s="273"/>
      <c r="AO26" s="273"/>
      <c r="AP26" s="273"/>
    </row>
    <row r="27" spans="1:42" ht="12.75">
      <c r="A27" s="123" t="s">
        <v>1805</v>
      </c>
      <c r="B27" s="48"/>
      <c r="C27" s="48"/>
      <c r="D27" s="48"/>
      <c r="E27" s="48"/>
      <c r="F27" s="48"/>
      <c r="G27" s="48"/>
      <c r="H27" s="48"/>
      <c r="I27" s="48"/>
      <c r="J27" s="48"/>
      <c r="K27" s="48">
        <v>24.6</v>
      </c>
      <c r="L27" s="48"/>
      <c r="M27" s="48"/>
      <c r="N27" s="48"/>
      <c r="O27" s="48"/>
      <c r="P27" s="48"/>
      <c r="Q27" s="48">
        <v>36.200000000000003</v>
      </c>
      <c r="R27" s="48"/>
      <c r="S27" s="48"/>
      <c r="T27" s="48"/>
      <c r="U27" s="48"/>
      <c r="V27" s="48"/>
      <c r="W27" s="25">
        <f t="shared" si="0"/>
        <v>60.800000000000004</v>
      </c>
      <c r="X27" s="48"/>
      <c r="Y27" s="48"/>
      <c r="Z27" s="48"/>
      <c r="AA27" s="48"/>
      <c r="AB27" s="48"/>
      <c r="AC27" s="48"/>
      <c r="AD27" s="48"/>
      <c r="AE27" s="48"/>
      <c r="AF27" s="48"/>
      <c r="AG27" s="48"/>
      <c r="AH27" s="48"/>
      <c r="AI27" s="48"/>
      <c r="AJ27" s="48"/>
      <c r="AK27" s="48"/>
      <c r="AL27" s="48"/>
      <c r="AM27" s="48"/>
      <c r="AN27" s="273"/>
      <c r="AO27" s="273"/>
      <c r="AP27" s="273"/>
    </row>
    <row r="28" spans="1:42" ht="12.75">
      <c r="A28" s="123" t="s">
        <v>1806</v>
      </c>
      <c r="B28" s="48"/>
      <c r="C28" s="48"/>
      <c r="D28" s="48"/>
      <c r="E28" s="48"/>
      <c r="F28" s="48"/>
      <c r="G28" s="48"/>
      <c r="H28" s="48"/>
      <c r="I28" s="48"/>
      <c r="J28" s="48"/>
      <c r="K28" s="48">
        <v>21.75</v>
      </c>
      <c r="L28" s="48"/>
      <c r="M28" s="48"/>
      <c r="N28" s="48"/>
      <c r="O28" s="48"/>
      <c r="P28" s="48"/>
      <c r="Q28" s="48">
        <v>66.25</v>
      </c>
      <c r="R28" s="48"/>
      <c r="S28" s="48"/>
      <c r="T28" s="48"/>
      <c r="U28" s="48"/>
      <c r="V28" s="48"/>
      <c r="W28" s="25">
        <f t="shared" si="0"/>
        <v>88</v>
      </c>
      <c r="X28" s="48"/>
      <c r="Y28" s="48"/>
      <c r="Z28" s="48"/>
      <c r="AA28" s="48"/>
      <c r="AB28" s="48"/>
      <c r="AC28" s="48"/>
      <c r="AD28" s="48"/>
      <c r="AE28" s="48"/>
      <c r="AF28" s="48"/>
      <c r="AG28" s="48"/>
      <c r="AH28" s="48"/>
      <c r="AI28" s="48"/>
      <c r="AJ28" s="48"/>
      <c r="AK28" s="48"/>
      <c r="AL28" s="48"/>
      <c r="AM28" s="48"/>
      <c r="AN28" s="273"/>
      <c r="AO28" s="273"/>
      <c r="AP28" s="273"/>
    </row>
    <row r="29" spans="1:42" ht="12.75">
      <c r="A29" s="123" t="s">
        <v>1807</v>
      </c>
      <c r="B29" s="48"/>
      <c r="C29" s="48"/>
      <c r="D29" s="48"/>
      <c r="E29" s="48"/>
      <c r="F29" s="48"/>
      <c r="G29" s="48"/>
      <c r="H29" s="48"/>
      <c r="I29" s="48"/>
      <c r="J29" s="48"/>
      <c r="K29" s="48">
        <v>43.15</v>
      </c>
      <c r="L29" s="48"/>
      <c r="M29" s="48"/>
      <c r="N29" s="48"/>
      <c r="O29" s="48"/>
      <c r="P29" s="48"/>
      <c r="Q29" s="48">
        <v>50.8</v>
      </c>
      <c r="R29" s="48"/>
      <c r="S29" s="48"/>
      <c r="T29" s="48"/>
      <c r="U29" s="48"/>
      <c r="V29" s="48"/>
      <c r="W29" s="25">
        <f t="shared" si="0"/>
        <v>93.949999999999989</v>
      </c>
      <c r="X29" s="48"/>
      <c r="Y29" s="48"/>
      <c r="Z29" s="48"/>
      <c r="AA29" s="48"/>
      <c r="AB29" s="48"/>
      <c r="AC29" s="48"/>
      <c r="AD29" s="48"/>
      <c r="AE29" s="48"/>
      <c r="AF29" s="48"/>
      <c r="AG29" s="48"/>
      <c r="AH29" s="48"/>
      <c r="AI29" s="48"/>
      <c r="AJ29" s="48"/>
      <c r="AK29" s="48"/>
      <c r="AL29" s="48"/>
      <c r="AM29" s="48"/>
      <c r="AN29" s="273"/>
      <c r="AO29" s="273"/>
      <c r="AP29" s="273"/>
    </row>
    <row r="30" spans="1:42" ht="12.75">
      <c r="A30" s="123" t="s">
        <v>1808</v>
      </c>
      <c r="B30" s="48"/>
      <c r="C30" s="48"/>
      <c r="D30" s="48"/>
      <c r="E30" s="48"/>
      <c r="F30" s="48"/>
      <c r="G30" s="48"/>
      <c r="H30" s="48"/>
      <c r="I30" s="48"/>
      <c r="J30" s="48"/>
      <c r="K30" s="48">
        <v>35.35</v>
      </c>
      <c r="L30" s="48"/>
      <c r="M30" s="48"/>
      <c r="N30" s="48"/>
      <c r="O30" s="48"/>
      <c r="P30" s="48"/>
      <c r="Q30" s="48">
        <v>24.65</v>
      </c>
      <c r="R30" s="48"/>
      <c r="S30" s="48"/>
      <c r="T30" s="48"/>
      <c r="U30" s="48"/>
      <c r="V30" s="48"/>
      <c r="W30" s="25">
        <f t="shared" si="0"/>
        <v>60</v>
      </c>
      <c r="X30" s="48"/>
      <c r="Y30" s="48"/>
      <c r="Z30" s="48"/>
      <c r="AA30" s="48"/>
      <c r="AB30" s="48"/>
      <c r="AC30" s="48"/>
      <c r="AD30" s="48"/>
      <c r="AE30" s="48"/>
      <c r="AF30" s="48"/>
      <c r="AG30" s="48"/>
      <c r="AH30" s="48"/>
      <c r="AI30" s="48"/>
      <c r="AJ30" s="48"/>
      <c r="AK30" s="48"/>
      <c r="AL30" s="48"/>
      <c r="AM30" s="48"/>
      <c r="AN30" s="273"/>
      <c r="AO30" s="273"/>
      <c r="AP30" s="273"/>
    </row>
    <row r="31" spans="1:42" ht="12.75">
      <c r="A31" s="123" t="s">
        <v>1809</v>
      </c>
      <c r="B31" s="48"/>
      <c r="C31" s="48"/>
      <c r="D31" s="48"/>
      <c r="E31" s="48"/>
      <c r="F31" s="48"/>
      <c r="G31" s="48"/>
      <c r="H31" s="48"/>
      <c r="I31" s="48"/>
      <c r="J31" s="48"/>
      <c r="K31" s="48">
        <v>36.799999999999997</v>
      </c>
      <c r="L31" s="48"/>
      <c r="M31" s="48"/>
      <c r="N31" s="48"/>
      <c r="O31" s="48"/>
      <c r="P31" s="48"/>
      <c r="Q31" s="48">
        <v>47.9</v>
      </c>
      <c r="R31" s="48"/>
      <c r="S31" s="48"/>
      <c r="T31" s="48"/>
      <c r="U31" s="48"/>
      <c r="V31" s="48"/>
      <c r="W31" s="25">
        <f t="shared" si="0"/>
        <v>84.699999999999989</v>
      </c>
      <c r="X31" s="48"/>
      <c r="Y31" s="48"/>
      <c r="Z31" s="48"/>
      <c r="AA31" s="48"/>
      <c r="AB31" s="48"/>
      <c r="AC31" s="48"/>
      <c r="AD31" s="48"/>
      <c r="AE31" s="48"/>
      <c r="AF31" s="48"/>
      <c r="AG31" s="48"/>
      <c r="AH31" s="48"/>
      <c r="AI31" s="48"/>
      <c r="AJ31" s="48"/>
      <c r="AK31" s="48"/>
      <c r="AL31" s="48"/>
      <c r="AM31" s="48"/>
      <c r="AN31" s="273"/>
      <c r="AO31" s="273"/>
      <c r="AP31" s="273"/>
    </row>
    <row r="32" spans="1:42" ht="12.75">
      <c r="A32" s="123" t="s">
        <v>1810</v>
      </c>
      <c r="B32" s="48"/>
      <c r="C32" s="48"/>
      <c r="D32" s="48"/>
      <c r="E32" s="48"/>
      <c r="F32" s="48"/>
      <c r="G32" s="48"/>
      <c r="H32" s="48"/>
      <c r="I32" s="48"/>
      <c r="J32" s="48"/>
      <c r="K32" s="48">
        <v>21.8</v>
      </c>
      <c r="L32" s="48"/>
      <c r="M32" s="48"/>
      <c r="N32" s="48"/>
      <c r="O32" s="48"/>
      <c r="P32" s="48"/>
      <c r="Q32" s="48"/>
      <c r="R32" s="48"/>
      <c r="S32" s="48"/>
      <c r="T32" s="48"/>
      <c r="U32" s="48"/>
      <c r="V32" s="48"/>
      <c r="W32" s="25">
        <f t="shared" si="0"/>
        <v>21.8</v>
      </c>
      <c r="X32" s="48"/>
      <c r="Y32" s="48"/>
      <c r="Z32" s="48"/>
      <c r="AA32" s="48"/>
      <c r="AB32" s="48"/>
      <c r="AC32" s="48"/>
      <c r="AD32" s="48"/>
      <c r="AE32" s="48"/>
      <c r="AF32" s="48"/>
      <c r="AG32" s="48"/>
      <c r="AH32" s="48"/>
      <c r="AI32" s="48"/>
      <c r="AJ32" s="48"/>
      <c r="AK32" s="48"/>
      <c r="AL32" s="48"/>
      <c r="AM32" s="48"/>
      <c r="AN32" s="273"/>
      <c r="AO32" s="273"/>
      <c r="AP32" s="273"/>
    </row>
    <row r="33" spans="1:42" ht="12.75">
      <c r="A33" s="123" t="s">
        <v>1811</v>
      </c>
      <c r="B33" s="48"/>
      <c r="C33" s="48"/>
      <c r="D33" s="48"/>
      <c r="E33" s="48"/>
      <c r="F33" s="48"/>
      <c r="G33" s="48"/>
      <c r="H33" s="48"/>
      <c r="I33" s="48"/>
      <c r="J33" s="48"/>
      <c r="K33" s="48">
        <v>37</v>
      </c>
      <c r="L33" s="48"/>
      <c r="M33" s="48"/>
      <c r="N33" s="48"/>
      <c r="O33" s="48">
        <v>40.65</v>
      </c>
      <c r="P33" s="48">
        <v>0</v>
      </c>
      <c r="Q33" s="48">
        <v>45.35</v>
      </c>
      <c r="R33" s="48"/>
      <c r="S33" s="48"/>
      <c r="T33" s="48"/>
      <c r="U33" s="48"/>
      <c r="V33" s="48"/>
      <c r="W33" s="25">
        <f t="shared" si="0"/>
        <v>123</v>
      </c>
      <c r="X33" s="48"/>
      <c r="Y33" s="48"/>
      <c r="Z33" s="48"/>
      <c r="AA33" s="48"/>
      <c r="AB33" s="48"/>
      <c r="AC33" s="48"/>
      <c r="AD33" s="48"/>
      <c r="AE33" s="48"/>
      <c r="AF33" s="48"/>
      <c r="AG33" s="48"/>
      <c r="AH33" s="48"/>
      <c r="AI33" s="48"/>
      <c r="AJ33" s="48"/>
      <c r="AK33" s="48"/>
      <c r="AL33" s="48"/>
      <c r="AM33" s="48"/>
      <c r="AN33" s="273"/>
      <c r="AO33" s="273"/>
      <c r="AP33" s="273"/>
    </row>
    <row r="34" spans="1:42" ht="12.75">
      <c r="A34" s="123" t="s">
        <v>1812</v>
      </c>
      <c r="B34" s="48"/>
      <c r="C34" s="48"/>
      <c r="D34" s="48"/>
      <c r="E34" s="48"/>
      <c r="F34" s="48"/>
      <c r="G34" s="48"/>
      <c r="H34" s="48"/>
      <c r="I34" s="48"/>
      <c r="J34" s="48"/>
      <c r="K34" s="48"/>
      <c r="L34" s="48"/>
      <c r="M34" s="48"/>
      <c r="N34" s="48"/>
      <c r="O34" s="48">
        <v>46.8</v>
      </c>
      <c r="P34" s="48">
        <v>0</v>
      </c>
      <c r="Q34" s="48"/>
      <c r="R34" s="48"/>
      <c r="S34" s="48"/>
      <c r="T34" s="48"/>
      <c r="U34" s="48"/>
      <c r="V34" s="48"/>
      <c r="W34" s="25">
        <f t="shared" si="0"/>
        <v>46.8</v>
      </c>
      <c r="X34" s="48"/>
      <c r="Y34" s="48"/>
      <c r="Z34" s="48"/>
      <c r="AA34" s="48"/>
      <c r="AB34" s="48"/>
      <c r="AC34" s="48"/>
      <c r="AD34" s="48"/>
      <c r="AE34" s="48"/>
      <c r="AF34" s="48"/>
      <c r="AG34" s="48"/>
      <c r="AH34" s="48"/>
      <c r="AI34" s="48"/>
      <c r="AJ34" s="48"/>
      <c r="AK34" s="48"/>
      <c r="AL34" s="48"/>
      <c r="AM34" s="48"/>
      <c r="AN34" s="273"/>
      <c r="AO34" s="273"/>
      <c r="AP34" s="273"/>
    </row>
    <row r="35" spans="1:42" ht="12.75">
      <c r="A35" s="123" t="s">
        <v>1813</v>
      </c>
      <c r="B35" s="48"/>
      <c r="C35" s="48"/>
      <c r="D35" s="48"/>
      <c r="E35" s="48"/>
      <c r="F35" s="48"/>
      <c r="G35" s="48"/>
      <c r="H35" s="48"/>
      <c r="I35" s="48"/>
      <c r="J35" s="48"/>
      <c r="K35" s="48"/>
      <c r="L35" s="48"/>
      <c r="M35" s="48"/>
      <c r="N35" s="48"/>
      <c r="O35" s="48"/>
      <c r="P35" s="48"/>
      <c r="Q35" s="48"/>
      <c r="R35" s="48"/>
      <c r="S35" s="48"/>
      <c r="T35" s="48"/>
      <c r="U35" s="48"/>
      <c r="V35" s="48"/>
      <c r="W35" s="25">
        <f t="shared" si="0"/>
        <v>0</v>
      </c>
      <c r="X35" s="48"/>
      <c r="Y35" s="48"/>
      <c r="Z35" s="48"/>
      <c r="AA35" s="48"/>
      <c r="AB35" s="48"/>
      <c r="AC35" s="48"/>
      <c r="AD35" s="48"/>
      <c r="AE35" s="48"/>
      <c r="AF35" s="48"/>
      <c r="AG35" s="48"/>
      <c r="AH35" s="48"/>
      <c r="AI35" s="48"/>
      <c r="AJ35" s="48"/>
      <c r="AK35" s="48"/>
      <c r="AL35" s="48"/>
      <c r="AM35" s="48"/>
      <c r="AN35" s="273"/>
      <c r="AO35" s="273"/>
      <c r="AP35" s="273"/>
    </row>
    <row r="36" spans="1:42" ht="12.75">
      <c r="A36" s="123" t="s">
        <v>1814</v>
      </c>
      <c r="B36" s="48"/>
      <c r="C36" s="48"/>
      <c r="D36" s="48"/>
      <c r="E36" s="48"/>
      <c r="F36" s="48"/>
      <c r="G36" s="48"/>
      <c r="H36" s="48"/>
      <c r="I36" s="48"/>
      <c r="J36" s="48"/>
      <c r="K36" s="48">
        <v>31.6</v>
      </c>
      <c r="L36" s="48"/>
      <c r="M36" s="48"/>
      <c r="N36" s="48"/>
      <c r="O36" s="48">
        <v>60</v>
      </c>
      <c r="P36" s="48">
        <v>60.95</v>
      </c>
      <c r="Q36" s="48">
        <v>38.9</v>
      </c>
      <c r="R36" s="48"/>
      <c r="S36" s="48"/>
      <c r="T36" s="48"/>
      <c r="U36" s="48"/>
      <c r="V36" s="48"/>
      <c r="W36" s="25">
        <f t="shared" si="0"/>
        <v>191.45000000000002</v>
      </c>
      <c r="X36" s="48"/>
      <c r="Y36" s="48"/>
      <c r="Z36" s="48"/>
      <c r="AA36" s="48"/>
      <c r="AB36" s="48"/>
      <c r="AC36" s="48"/>
      <c r="AD36" s="48"/>
      <c r="AE36" s="48"/>
      <c r="AF36" s="48"/>
      <c r="AG36" s="48"/>
      <c r="AH36" s="48"/>
      <c r="AI36" s="48"/>
      <c r="AJ36" s="48"/>
      <c r="AK36" s="48"/>
      <c r="AL36" s="48"/>
      <c r="AM36" s="48"/>
      <c r="AN36" s="273"/>
      <c r="AO36" s="273"/>
      <c r="AP36" s="273"/>
    </row>
    <row r="37" spans="1:42" ht="12.75">
      <c r="A37" s="123" t="s">
        <v>1815</v>
      </c>
      <c r="B37" s="48"/>
      <c r="C37" s="48"/>
      <c r="D37" s="48"/>
      <c r="E37" s="48">
        <v>26.75</v>
      </c>
      <c r="F37" s="48">
        <v>29.4</v>
      </c>
      <c r="G37" s="48"/>
      <c r="H37" s="48"/>
      <c r="I37" s="48"/>
      <c r="J37" s="48"/>
      <c r="K37" s="48">
        <v>30.3</v>
      </c>
      <c r="L37" s="48"/>
      <c r="M37" s="48"/>
      <c r="N37" s="48"/>
      <c r="O37" s="48">
        <v>50.6</v>
      </c>
      <c r="P37" s="48">
        <v>37.9</v>
      </c>
      <c r="Q37" s="48">
        <v>49</v>
      </c>
      <c r="R37" s="48"/>
      <c r="S37" s="48"/>
      <c r="T37" s="48"/>
      <c r="U37" s="48"/>
      <c r="V37" s="48"/>
      <c r="W37" s="25">
        <f t="shared" si="0"/>
        <v>223.95000000000002</v>
      </c>
      <c r="X37" s="48"/>
      <c r="Y37" s="48"/>
      <c r="Z37" s="48"/>
      <c r="AA37" s="48"/>
      <c r="AB37" s="48"/>
      <c r="AC37" s="48"/>
      <c r="AD37" s="48"/>
      <c r="AE37" s="48"/>
      <c r="AF37" s="48"/>
      <c r="AG37" s="48"/>
      <c r="AH37" s="48"/>
      <c r="AI37" s="48"/>
      <c r="AJ37" s="48"/>
      <c r="AK37" s="48"/>
      <c r="AL37" s="48"/>
      <c r="AM37" s="48"/>
      <c r="AN37" s="273"/>
      <c r="AO37" s="273"/>
      <c r="AP37" s="273"/>
    </row>
    <row r="38" spans="1:42" ht="12.75">
      <c r="A38" s="123" t="s">
        <v>1816</v>
      </c>
      <c r="B38" s="48"/>
      <c r="C38" s="48"/>
      <c r="D38" s="48"/>
      <c r="E38" s="48"/>
      <c r="F38" s="48"/>
      <c r="G38" s="48"/>
      <c r="H38" s="48"/>
      <c r="I38" s="48"/>
      <c r="J38" s="48"/>
      <c r="K38" s="48"/>
      <c r="L38" s="48"/>
      <c r="M38" s="48"/>
      <c r="N38" s="48"/>
      <c r="O38" s="48">
        <v>11.2</v>
      </c>
      <c r="P38" s="48">
        <v>11.65</v>
      </c>
      <c r="Q38" s="48"/>
      <c r="R38" s="48"/>
      <c r="S38" s="48"/>
      <c r="T38" s="48"/>
      <c r="U38" s="48"/>
      <c r="V38" s="48"/>
      <c r="W38" s="25">
        <f t="shared" si="0"/>
        <v>22.85</v>
      </c>
      <c r="X38" s="48"/>
      <c r="Y38" s="48"/>
      <c r="Z38" s="48"/>
      <c r="AA38" s="48"/>
      <c r="AB38" s="48"/>
      <c r="AC38" s="48"/>
      <c r="AD38" s="48"/>
      <c r="AE38" s="48"/>
      <c r="AF38" s="48"/>
      <c r="AG38" s="48"/>
      <c r="AH38" s="48"/>
      <c r="AI38" s="48"/>
      <c r="AJ38" s="48"/>
      <c r="AK38" s="48"/>
      <c r="AL38" s="48"/>
      <c r="AM38" s="48"/>
      <c r="AN38" s="273"/>
      <c r="AO38" s="273"/>
      <c r="AP38" s="273"/>
    </row>
    <row r="39" spans="1:42" ht="12.75">
      <c r="A39" s="123" t="s">
        <v>1817</v>
      </c>
      <c r="B39" s="48"/>
      <c r="C39" s="48"/>
      <c r="D39" s="48"/>
      <c r="E39" s="48">
        <v>29.5</v>
      </c>
      <c r="F39" s="48">
        <v>49.65</v>
      </c>
      <c r="G39" s="48"/>
      <c r="H39" s="48"/>
      <c r="I39" s="48"/>
      <c r="J39" s="48"/>
      <c r="K39" s="48">
        <v>29.75</v>
      </c>
      <c r="L39" s="48"/>
      <c r="M39" s="48"/>
      <c r="N39" s="48"/>
      <c r="O39" s="48">
        <v>26.3</v>
      </c>
      <c r="P39" s="48"/>
      <c r="Q39" s="48">
        <v>43</v>
      </c>
      <c r="R39" s="48"/>
      <c r="S39" s="48"/>
      <c r="T39" s="48"/>
      <c r="U39" s="48"/>
      <c r="V39" s="48"/>
      <c r="W39" s="48">
        <v>178.2</v>
      </c>
      <c r="X39" s="48"/>
      <c r="Y39" s="48"/>
      <c r="Z39" s="48"/>
      <c r="AA39" s="48"/>
      <c r="AB39" s="48"/>
      <c r="AC39" s="48"/>
      <c r="AD39" s="48"/>
      <c r="AE39" s="48"/>
      <c r="AF39" s="48"/>
      <c r="AG39" s="48"/>
      <c r="AH39" s="48"/>
      <c r="AI39" s="48"/>
      <c r="AJ39" s="48"/>
      <c r="AK39" s="48"/>
      <c r="AL39" s="48"/>
      <c r="AM39" s="48"/>
      <c r="AN39" s="273"/>
      <c r="AO39" s="273"/>
      <c r="AP39" s="273"/>
    </row>
    <row r="40" spans="1:42" ht="12.75">
      <c r="A40" s="123" t="s">
        <v>1818</v>
      </c>
      <c r="B40" s="48"/>
      <c r="C40" s="48"/>
      <c r="D40" s="48"/>
      <c r="E40" s="48"/>
      <c r="F40" s="48"/>
      <c r="G40" s="48"/>
      <c r="H40" s="48"/>
      <c r="I40" s="48"/>
      <c r="J40" s="48"/>
      <c r="K40" s="48">
        <v>24.7</v>
      </c>
      <c r="L40" s="48"/>
      <c r="M40" s="48"/>
      <c r="N40" s="48"/>
      <c r="O40" s="48">
        <v>55.7</v>
      </c>
      <c r="P40" s="48">
        <v>42.15</v>
      </c>
      <c r="Q40" s="48">
        <v>24.7</v>
      </c>
      <c r="R40" s="48"/>
      <c r="S40" s="48"/>
      <c r="T40" s="48"/>
      <c r="U40" s="48"/>
      <c r="V40" s="48"/>
      <c r="W40" s="48">
        <v>145.44999999999999</v>
      </c>
      <c r="X40" s="48"/>
      <c r="Y40" s="48"/>
      <c r="Z40" s="48"/>
      <c r="AA40" s="48"/>
      <c r="AB40" s="48"/>
      <c r="AC40" s="48"/>
      <c r="AD40" s="48"/>
      <c r="AE40" s="48"/>
      <c r="AF40" s="48"/>
      <c r="AG40" s="48"/>
      <c r="AH40" s="48"/>
      <c r="AI40" s="48"/>
      <c r="AJ40" s="48"/>
      <c r="AK40" s="48"/>
      <c r="AL40" s="48"/>
      <c r="AM40" s="48"/>
      <c r="AN40" s="273"/>
      <c r="AO40" s="273"/>
      <c r="AP40" s="273"/>
    </row>
    <row r="41" spans="1:42" ht="12.75">
      <c r="A41" s="123" t="s">
        <v>1819</v>
      </c>
      <c r="B41" s="48"/>
      <c r="C41" s="48"/>
      <c r="D41" s="48"/>
      <c r="E41" s="48">
        <v>28.65</v>
      </c>
      <c r="F41" s="48">
        <v>42.15</v>
      </c>
      <c r="G41" s="48"/>
      <c r="H41" s="48"/>
      <c r="I41" s="48"/>
      <c r="J41" s="48"/>
      <c r="K41" s="48">
        <v>20.6</v>
      </c>
      <c r="L41" s="48"/>
      <c r="M41" s="48"/>
      <c r="N41" s="48"/>
      <c r="O41" s="48">
        <v>22.02</v>
      </c>
      <c r="P41" s="48">
        <v>44.7</v>
      </c>
      <c r="Q41" s="48">
        <v>24.6</v>
      </c>
      <c r="R41" s="48"/>
      <c r="S41" s="48"/>
      <c r="T41" s="48"/>
      <c r="U41" s="48"/>
      <c r="V41" s="48"/>
      <c r="W41" s="48">
        <v>153.4</v>
      </c>
      <c r="X41" s="48"/>
      <c r="Y41" s="48"/>
      <c r="Z41" s="48"/>
      <c r="AA41" s="48"/>
      <c r="AB41" s="48"/>
      <c r="AC41" s="48"/>
      <c r="AD41" s="48"/>
      <c r="AE41" s="48"/>
      <c r="AF41" s="48"/>
      <c r="AG41" s="48"/>
      <c r="AH41" s="48"/>
      <c r="AI41" s="48"/>
      <c r="AJ41" s="48"/>
      <c r="AK41" s="48"/>
      <c r="AL41" s="48"/>
      <c r="AM41" s="48"/>
      <c r="AN41" s="273"/>
      <c r="AO41" s="273"/>
      <c r="AP41" s="273"/>
    </row>
    <row r="42" spans="1:42" ht="12.75">
      <c r="A42" s="123" t="s">
        <v>1820</v>
      </c>
      <c r="B42" s="48"/>
      <c r="C42" s="48"/>
      <c r="D42" s="48"/>
      <c r="E42" s="48"/>
      <c r="F42" s="48"/>
      <c r="G42" s="48"/>
      <c r="H42" s="48"/>
      <c r="I42" s="48"/>
      <c r="J42" s="48"/>
      <c r="K42" s="48">
        <v>19.2</v>
      </c>
      <c r="L42" s="48"/>
      <c r="M42" s="48"/>
      <c r="N42" s="48"/>
      <c r="O42" s="48">
        <v>38.1</v>
      </c>
      <c r="P42" s="48">
        <v>32.299999999999997</v>
      </c>
      <c r="Q42" s="48">
        <v>15.2</v>
      </c>
      <c r="R42" s="48"/>
      <c r="S42" s="48"/>
      <c r="T42" s="48"/>
      <c r="U42" s="48"/>
      <c r="V42" s="48"/>
      <c r="W42" s="48">
        <f t="shared" ref="W42:W69" si="1">SUM(B42:V42)</f>
        <v>104.8</v>
      </c>
      <c r="X42" s="48"/>
      <c r="Y42" s="48"/>
      <c r="Z42" s="48"/>
      <c r="AA42" s="48"/>
      <c r="AB42" s="48"/>
      <c r="AC42" s="48"/>
      <c r="AD42" s="48"/>
      <c r="AE42" s="48"/>
      <c r="AF42" s="48"/>
      <c r="AG42" s="48"/>
      <c r="AH42" s="48"/>
      <c r="AI42" s="48"/>
      <c r="AJ42" s="48"/>
      <c r="AK42" s="48"/>
      <c r="AL42" s="48"/>
      <c r="AM42" s="48"/>
      <c r="AN42" s="273"/>
      <c r="AO42" s="273"/>
      <c r="AP42" s="273"/>
    </row>
    <row r="43" spans="1:42" ht="12.75">
      <c r="A43" s="123" t="s">
        <v>1821</v>
      </c>
      <c r="B43" s="48"/>
      <c r="C43" s="48"/>
      <c r="D43" s="48"/>
      <c r="E43" s="48">
        <v>28</v>
      </c>
      <c r="F43" s="48">
        <v>35</v>
      </c>
      <c r="G43" s="48"/>
      <c r="H43" s="48"/>
      <c r="I43" s="48"/>
      <c r="J43" s="48"/>
      <c r="K43" s="48"/>
      <c r="L43" s="48"/>
      <c r="M43" s="48"/>
      <c r="N43" s="48"/>
      <c r="O43" s="48">
        <v>53.65</v>
      </c>
      <c r="P43" s="48">
        <v>43</v>
      </c>
      <c r="Q43" s="48"/>
      <c r="R43" s="48"/>
      <c r="S43" s="48"/>
      <c r="T43" s="48"/>
      <c r="U43" s="48"/>
      <c r="V43" s="48"/>
      <c r="W43" s="48">
        <f t="shared" si="1"/>
        <v>159.65</v>
      </c>
      <c r="X43" s="48"/>
      <c r="Y43" s="48"/>
      <c r="Z43" s="48"/>
      <c r="AA43" s="48"/>
      <c r="AB43" s="48"/>
      <c r="AC43" s="48"/>
      <c r="AD43" s="48"/>
      <c r="AE43" s="48"/>
      <c r="AF43" s="48"/>
      <c r="AG43" s="48"/>
      <c r="AH43" s="48"/>
      <c r="AI43" s="48"/>
      <c r="AJ43" s="48"/>
      <c r="AK43" s="48"/>
      <c r="AL43" s="48"/>
      <c r="AM43" s="48"/>
      <c r="AN43" s="273"/>
      <c r="AO43" s="273"/>
      <c r="AP43" s="273"/>
    </row>
    <row r="44" spans="1:42" ht="12.75">
      <c r="A44" s="123" t="s">
        <v>1822</v>
      </c>
      <c r="B44" s="48"/>
      <c r="C44" s="48">
        <v>25.2</v>
      </c>
      <c r="D44" s="48">
        <v>67.2</v>
      </c>
      <c r="E44" s="48">
        <v>72.3</v>
      </c>
      <c r="F44" s="48">
        <v>48.2</v>
      </c>
      <c r="G44" s="48"/>
      <c r="H44" s="48"/>
      <c r="I44" s="48"/>
      <c r="J44" s="48"/>
      <c r="K44" s="48">
        <v>20.65</v>
      </c>
      <c r="L44" s="48"/>
      <c r="M44" s="48"/>
      <c r="N44" s="48"/>
      <c r="O44" s="48">
        <v>85</v>
      </c>
      <c r="P44" s="48">
        <v>55.95</v>
      </c>
      <c r="Q44" s="48">
        <v>42.35</v>
      </c>
      <c r="R44" s="48"/>
      <c r="S44" s="48"/>
      <c r="T44" s="48"/>
      <c r="U44" s="48"/>
      <c r="V44" s="48"/>
      <c r="W44" s="48">
        <f t="shared" si="1"/>
        <v>416.84999999999997</v>
      </c>
      <c r="X44" s="48"/>
      <c r="Y44" s="48"/>
      <c r="Z44" s="48"/>
      <c r="AA44" s="48"/>
      <c r="AB44" s="48"/>
      <c r="AC44" s="48"/>
      <c r="AD44" s="48"/>
      <c r="AE44" s="48"/>
      <c r="AF44" s="48"/>
      <c r="AG44" s="48"/>
      <c r="AH44" s="48"/>
      <c r="AI44" s="48"/>
      <c r="AJ44" s="48"/>
      <c r="AK44" s="48"/>
      <c r="AL44" s="48"/>
      <c r="AM44" s="48"/>
      <c r="AN44" s="273"/>
      <c r="AO44" s="273"/>
      <c r="AP44" s="273"/>
    </row>
    <row r="45" spans="1:42" ht="12.75">
      <c r="A45" s="123" t="s">
        <v>1823</v>
      </c>
      <c r="B45" s="48"/>
      <c r="C45" s="48">
        <v>32.950000000000003</v>
      </c>
      <c r="D45" s="48">
        <v>15.95</v>
      </c>
      <c r="E45" s="48">
        <v>54.1</v>
      </c>
      <c r="F45" s="48">
        <v>33</v>
      </c>
      <c r="G45" s="48"/>
      <c r="H45" s="48"/>
      <c r="I45" s="48"/>
      <c r="J45" s="48"/>
      <c r="K45" s="48"/>
      <c r="L45" s="48"/>
      <c r="M45" s="48"/>
      <c r="N45" s="48"/>
      <c r="O45" s="48">
        <v>65.3</v>
      </c>
      <c r="P45" s="48">
        <v>32.75</v>
      </c>
      <c r="Q45" s="48"/>
      <c r="R45" s="48"/>
      <c r="S45" s="48"/>
      <c r="T45" s="48"/>
      <c r="U45" s="48"/>
      <c r="V45" s="48"/>
      <c r="W45" s="48">
        <f t="shared" si="1"/>
        <v>234.05</v>
      </c>
      <c r="X45" s="48"/>
      <c r="Y45" s="48"/>
      <c r="Z45" s="48"/>
      <c r="AA45" s="48"/>
      <c r="AB45" s="48"/>
      <c r="AC45" s="48"/>
      <c r="AD45" s="48"/>
      <c r="AE45" s="48"/>
      <c r="AF45" s="48"/>
      <c r="AG45" s="48"/>
      <c r="AH45" s="48"/>
      <c r="AI45" s="48"/>
      <c r="AJ45" s="48"/>
      <c r="AK45" s="48"/>
      <c r="AL45" s="48"/>
      <c r="AM45" s="48"/>
      <c r="AN45" s="273"/>
      <c r="AO45" s="273"/>
      <c r="AP45" s="273"/>
    </row>
    <row r="46" spans="1:42" ht="12.75">
      <c r="A46" s="123" t="s">
        <v>1824</v>
      </c>
      <c r="B46" s="48"/>
      <c r="C46" s="48"/>
      <c r="D46" s="48"/>
      <c r="E46" s="48"/>
      <c r="F46" s="48"/>
      <c r="G46" s="48"/>
      <c r="H46" s="48"/>
      <c r="I46" s="48"/>
      <c r="J46" s="48"/>
      <c r="K46" s="48"/>
      <c r="L46" s="48"/>
      <c r="M46" s="48"/>
      <c r="N46" s="48"/>
      <c r="O46" s="48"/>
      <c r="P46" s="48"/>
      <c r="Q46" s="48"/>
      <c r="R46" s="48"/>
      <c r="S46" s="48"/>
      <c r="T46" s="48"/>
      <c r="U46" s="48"/>
      <c r="V46" s="48"/>
      <c r="W46" s="48">
        <f t="shared" si="1"/>
        <v>0</v>
      </c>
      <c r="X46" s="48"/>
      <c r="Y46" s="48"/>
      <c r="Z46" s="48"/>
      <c r="AA46" s="48"/>
      <c r="AB46" s="48"/>
      <c r="AC46" s="48"/>
      <c r="AD46" s="48"/>
      <c r="AE46" s="48"/>
      <c r="AF46" s="48"/>
      <c r="AG46" s="48"/>
      <c r="AH46" s="48"/>
      <c r="AI46" s="48"/>
      <c r="AJ46" s="48"/>
      <c r="AK46" s="48"/>
      <c r="AL46" s="48"/>
      <c r="AM46" s="48"/>
      <c r="AN46" s="273"/>
      <c r="AO46" s="273"/>
      <c r="AP46" s="273"/>
    </row>
    <row r="47" spans="1:42" ht="12.75">
      <c r="A47" s="123" t="s">
        <v>1825</v>
      </c>
      <c r="B47" s="48"/>
      <c r="C47" s="48"/>
      <c r="D47" s="48"/>
      <c r="E47" s="48"/>
      <c r="F47" s="48"/>
      <c r="G47" s="48"/>
      <c r="H47" s="48"/>
      <c r="I47" s="48"/>
      <c r="J47" s="48"/>
      <c r="K47" s="48"/>
      <c r="L47" s="48"/>
      <c r="M47" s="48"/>
      <c r="N47" s="48"/>
      <c r="O47" s="48">
        <v>67.349999999999994</v>
      </c>
      <c r="P47" s="48">
        <v>0</v>
      </c>
      <c r="Q47" s="48"/>
      <c r="R47" s="48"/>
      <c r="S47" s="48"/>
      <c r="T47" s="48"/>
      <c r="U47" s="48"/>
      <c r="V47" s="48"/>
      <c r="W47" s="48">
        <f t="shared" si="1"/>
        <v>67.349999999999994</v>
      </c>
      <c r="X47" s="48"/>
      <c r="Y47" s="48"/>
      <c r="Z47" s="48"/>
      <c r="AA47" s="48"/>
      <c r="AB47" s="48"/>
      <c r="AC47" s="48"/>
      <c r="AD47" s="48"/>
      <c r="AE47" s="48"/>
      <c r="AF47" s="48"/>
      <c r="AG47" s="48"/>
      <c r="AH47" s="48"/>
      <c r="AI47" s="48"/>
      <c r="AJ47" s="48"/>
      <c r="AK47" s="48"/>
      <c r="AL47" s="48"/>
      <c r="AM47" s="48"/>
      <c r="AN47" s="273"/>
      <c r="AO47" s="273"/>
      <c r="AP47" s="273"/>
    </row>
    <row r="48" spans="1:42" ht="12.75">
      <c r="A48" s="123" t="s">
        <v>1826</v>
      </c>
      <c r="B48" s="48"/>
      <c r="C48" s="48"/>
      <c r="D48" s="48"/>
      <c r="E48" s="48"/>
      <c r="F48" s="48"/>
      <c r="G48" s="48"/>
      <c r="H48" s="48"/>
      <c r="I48" s="48"/>
      <c r="J48" s="48"/>
      <c r="K48" s="48"/>
      <c r="L48" s="48"/>
      <c r="M48" s="48"/>
      <c r="N48" s="48"/>
      <c r="O48" s="48">
        <v>82.6</v>
      </c>
      <c r="P48" s="48">
        <v>47.65</v>
      </c>
      <c r="Q48" s="48"/>
      <c r="R48" s="48"/>
      <c r="S48" s="48"/>
      <c r="T48" s="48"/>
      <c r="U48" s="48"/>
      <c r="V48" s="48"/>
      <c r="W48" s="48">
        <f t="shared" si="1"/>
        <v>130.25</v>
      </c>
      <c r="X48" s="48"/>
      <c r="Y48" s="48"/>
      <c r="Z48" s="48"/>
      <c r="AA48" s="48"/>
      <c r="AB48" s="48"/>
      <c r="AC48" s="48"/>
      <c r="AD48" s="48"/>
      <c r="AE48" s="48"/>
      <c r="AF48" s="48"/>
      <c r="AG48" s="48"/>
      <c r="AH48" s="48"/>
      <c r="AI48" s="48"/>
      <c r="AJ48" s="48"/>
      <c r="AK48" s="48"/>
      <c r="AL48" s="48"/>
      <c r="AM48" s="48"/>
      <c r="AN48" s="273"/>
      <c r="AO48" s="273"/>
      <c r="AP48" s="273"/>
    </row>
    <row r="49" spans="1:42" ht="12.75">
      <c r="A49" s="123" t="s">
        <v>1827</v>
      </c>
      <c r="B49" s="48"/>
      <c r="C49" s="48"/>
      <c r="D49" s="48"/>
      <c r="E49" s="48"/>
      <c r="F49" s="48"/>
      <c r="G49" s="48"/>
      <c r="H49" s="48"/>
      <c r="I49" s="48"/>
      <c r="J49" s="48"/>
      <c r="K49" s="48"/>
      <c r="L49" s="48"/>
      <c r="M49" s="48"/>
      <c r="N49" s="48"/>
      <c r="O49" s="48">
        <v>60</v>
      </c>
      <c r="P49" s="48">
        <v>46</v>
      </c>
      <c r="Q49" s="48"/>
      <c r="R49" s="48"/>
      <c r="S49" s="48"/>
      <c r="T49" s="48"/>
      <c r="U49" s="48"/>
      <c r="V49" s="48"/>
      <c r="W49" s="48">
        <f t="shared" si="1"/>
        <v>106</v>
      </c>
      <c r="X49" s="48"/>
      <c r="Y49" s="48"/>
      <c r="Z49" s="48"/>
      <c r="AA49" s="48"/>
      <c r="AB49" s="48"/>
      <c r="AC49" s="48"/>
      <c r="AD49" s="48"/>
      <c r="AE49" s="48"/>
      <c r="AF49" s="48"/>
      <c r="AG49" s="48"/>
      <c r="AH49" s="48"/>
      <c r="AI49" s="48"/>
      <c r="AJ49" s="48"/>
      <c r="AK49" s="48"/>
      <c r="AL49" s="48"/>
      <c r="AM49" s="48"/>
      <c r="AN49" s="273"/>
      <c r="AO49" s="273"/>
      <c r="AP49" s="273"/>
    </row>
    <row r="50" spans="1:42" ht="12.75">
      <c r="A50" s="123" t="s">
        <v>1828</v>
      </c>
      <c r="B50" s="48"/>
      <c r="C50" s="48"/>
      <c r="D50" s="48"/>
      <c r="E50" s="48"/>
      <c r="F50" s="48"/>
      <c r="G50" s="48"/>
      <c r="H50" s="48"/>
      <c r="I50" s="48"/>
      <c r="J50" s="48"/>
      <c r="K50" s="48"/>
      <c r="L50" s="48"/>
      <c r="M50" s="48"/>
      <c r="N50" s="48"/>
      <c r="O50" s="48">
        <v>35</v>
      </c>
      <c r="P50" s="48">
        <v>22.15</v>
      </c>
      <c r="Q50" s="48"/>
      <c r="R50" s="48"/>
      <c r="S50" s="48"/>
      <c r="T50" s="48"/>
      <c r="U50" s="48"/>
      <c r="V50" s="48"/>
      <c r="W50" s="48">
        <f t="shared" si="1"/>
        <v>57.15</v>
      </c>
      <c r="X50" s="48"/>
      <c r="Y50" s="48"/>
      <c r="Z50" s="48"/>
      <c r="AA50" s="48"/>
      <c r="AB50" s="48"/>
      <c r="AC50" s="48"/>
      <c r="AD50" s="48"/>
      <c r="AE50" s="48"/>
      <c r="AF50" s="48"/>
      <c r="AG50" s="48"/>
      <c r="AH50" s="48"/>
      <c r="AI50" s="48"/>
      <c r="AJ50" s="48"/>
      <c r="AK50" s="48"/>
      <c r="AL50" s="48"/>
      <c r="AM50" s="48"/>
      <c r="AN50" s="273"/>
      <c r="AO50" s="273"/>
      <c r="AP50" s="273"/>
    </row>
    <row r="51" spans="1:42" ht="12.75">
      <c r="A51" s="123" t="s">
        <v>1829</v>
      </c>
      <c r="B51" s="48"/>
      <c r="C51" s="48"/>
      <c r="D51" s="48"/>
      <c r="E51" s="48"/>
      <c r="F51" s="48"/>
      <c r="G51" s="48"/>
      <c r="H51" s="48"/>
      <c r="I51" s="48"/>
      <c r="J51" s="48"/>
      <c r="K51" s="48"/>
      <c r="L51" s="48"/>
      <c r="M51" s="48"/>
      <c r="N51" s="48"/>
      <c r="O51" s="48">
        <v>53.5</v>
      </c>
      <c r="P51" s="48">
        <v>0</v>
      </c>
      <c r="Q51" s="48"/>
      <c r="R51" s="48"/>
      <c r="S51" s="48"/>
      <c r="T51" s="48"/>
      <c r="U51" s="48"/>
      <c r="V51" s="48"/>
      <c r="W51" s="48">
        <f t="shared" si="1"/>
        <v>53.5</v>
      </c>
      <c r="X51" s="48"/>
      <c r="Y51" s="48"/>
      <c r="Z51" s="48"/>
      <c r="AA51" s="48"/>
      <c r="AB51" s="48"/>
      <c r="AC51" s="48"/>
      <c r="AD51" s="48"/>
      <c r="AE51" s="48"/>
      <c r="AF51" s="48"/>
      <c r="AG51" s="48"/>
      <c r="AH51" s="48"/>
      <c r="AI51" s="48"/>
      <c r="AJ51" s="48"/>
      <c r="AK51" s="48"/>
      <c r="AL51" s="48"/>
      <c r="AM51" s="48"/>
      <c r="AN51" s="273"/>
      <c r="AO51" s="273"/>
      <c r="AP51" s="273"/>
    </row>
    <row r="52" spans="1:42" ht="12.75">
      <c r="A52" s="123" t="s">
        <v>1830</v>
      </c>
      <c r="B52" s="48"/>
      <c r="C52" s="48"/>
      <c r="D52" s="48"/>
      <c r="E52" s="48"/>
      <c r="F52" s="48"/>
      <c r="G52" s="48"/>
      <c r="H52" s="48"/>
      <c r="I52" s="48"/>
      <c r="J52" s="48"/>
      <c r="K52" s="48"/>
      <c r="L52" s="48"/>
      <c r="M52" s="48"/>
      <c r="N52" s="48"/>
      <c r="O52" s="48">
        <v>25</v>
      </c>
      <c r="P52" s="48">
        <v>0</v>
      </c>
      <c r="Q52" s="48"/>
      <c r="R52" s="48"/>
      <c r="S52" s="48"/>
      <c r="T52" s="48"/>
      <c r="U52" s="48"/>
      <c r="V52" s="48"/>
      <c r="W52" s="48">
        <f t="shared" si="1"/>
        <v>25</v>
      </c>
      <c r="X52" s="48"/>
      <c r="Y52" s="48"/>
      <c r="Z52" s="48"/>
      <c r="AA52" s="48"/>
      <c r="AB52" s="48"/>
      <c r="AC52" s="48"/>
      <c r="AD52" s="48"/>
      <c r="AE52" s="48"/>
      <c r="AF52" s="48"/>
      <c r="AG52" s="48"/>
      <c r="AH52" s="48"/>
      <c r="AI52" s="48"/>
      <c r="AJ52" s="48"/>
      <c r="AK52" s="48"/>
      <c r="AL52" s="48"/>
      <c r="AM52" s="48"/>
      <c r="AN52" s="273"/>
      <c r="AO52" s="273"/>
      <c r="AP52" s="273"/>
    </row>
    <row r="53" spans="1:42" ht="12.75">
      <c r="A53" s="123" t="s">
        <v>1831</v>
      </c>
      <c r="B53" s="48"/>
      <c r="C53" s="48"/>
      <c r="D53" s="48"/>
      <c r="E53" s="48"/>
      <c r="F53" s="48"/>
      <c r="G53" s="48"/>
      <c r="H53" s="48"/>
      <c r="I53" s="48"/>
      <c r="J53" s="48"/>
      <c r="K53" s="48"/>
      <c r="L53" s="48"/>
      <c r="M53" s="48"/>
      <c r="N53" s="48"/>
      <c r="O53" s="48"/>
      <c r="P53" s="48"/>
      <c r="Q53" s="48"/>
      <c r="R53" s="48"/>
      <c r="S53" s="48"/>
      <c r="T53" s="48"/>
      <c r="U53" s="48"/>
      <c r="V53" s="48"/>
      <c r="W53" s="48">
        <f t="shared" si="1"/>
        <v>0</v>
      </c>
      <c r="X53" s="48"/>
      <c r="Y53" s="48"/>
      <c r="Z53" s="48"/>
      <c r="AA53" s="48"/>
      <c r="AB53" s="48"/>
      <c r="AC53" s="48"/>
      <c r="AD53" s="48"/>
      <c r="AE53" s="48"/>
      <c r="AF53" s="48"/>
      <c r="AG53" s="48"/>
      <c r="AH53" s="48"/>
      <c r="AI53" s="48"/>
      <c r="AJ53" s="48"/>
      <c r="AK53" s="48"/>
      <c r="AL53" s="48"/>
      <c r="AM53" s="48"/>
      <c r="AN53" s="273"/>
      <c r="AO53" s="273"/>
      <c r="AP53" s="273"/>
    </row>
    <row r="54" spans="1:42" ht="12.75">
      <c r="A54" s="123" t="s">
        <v>1832</v>
      </c>
      <c r="B54" s="48"/>
      <c r="C54" s="48"/>
      <c r="D54" s="48"/>
      <c r="E54" s="48"/>
      <c r="F54" s="48"/>
      <c r="G54" s="48"/>
      <c r="H54" s="48"/>
      <c r="I54" s="48"/>
      <c r="J54" s="48"/>
      <c r="K54" s="48"/>
      <c r="L54" s="48"/>
      <c r="M54" s="48"/>
      <c r="N54" s="48"/>
      <c r="O54" s="48"/>
      <c r="P54" s="48"/>
      <c r="Q54" s="48"/>
      <c r="R54" s="48"/>
      <c r="S54" s="48"/>
      <c r="T54" s="48"/>
      <c r="U54" s="48"/>
      <c r="V54" s="48"/>
      <c r="W54" s="48">
        <f t="shared" si="1"/>
        <v>0</v>
      </c>
      <c r="X54" s="48"/>
      <c r="Y54" s="48"/>
      <c r="Z54" s="48"/>
      <c r="AA54" s="48"/>
      <c r="AB54" s="48"/>
      <c r="AC54" s="48"/>
      <c r="AD54" s="48"/>
      <c r="AE54" s="48"/>
      <c r="AF54" s="48"/>
      <c r="AG54" s="48"/>
      <c r="AH54" s="48"/>
      <c r="AI54" s="48"/>
      <c r="AJ54" s="48"/>
      <c r="AK54" s="48"/>
      <c r="AL54" s="48"/>
      <c r="AM54" s="48"/>
      <c r="AN54" s="273"/>
      <c r="AO54" s="273"/>
      <c r="AP54" s="273"/>
    </row>
    <row r="55" spans="1:42" ht="12.75">
      <c r="A55" s="123" t="s">
        <v>1833</v>
      </c>
      <c r="B55" s="48"/>
      <c r="C55" s="48"/>
      <c r="D55" s="48"/>
      <c r="E55" s="48"/>
      <c r="F55" s="48"/>
      <c r="G55" s="48"/>
      <c r="H55" s="48"/>
      <c r="I55" s="48"/>
      <c r="J55" s="48"/>
      <c r="K55" s="48"/>
      <c r="L55" s="48"/>
      <c r="M55" s="48"/>
      <c r="N55" s="48"/>
      <c r="O55" s="48">
        <v>33</v>
      </c>
      <c r="P55" s="48">
        <v>0</v>
      </c>
      <c r="Q55" s="48"/>
      <c r="R55" s="48"/>
      <c r="S55" s="48"/>
      <c r="T55" s="48"/>
      <c r="U55" s="48"/>
      <c r="V55" s="48"/>
      <c r="W55" s="48">
        <f t="shared" si="1"/>
        <v>33</v>
      </c>
      <c r="X55" s="48"/>
      <c r="Y55" s="48"/>
      <c r="Z55" s="48"/>
      <c r="AA55" s="48"/>
      <c r="AB55" s="48"/>
      <c r="AC55" s="48"/>
      <c r="AD55" s="48"/>
      <c r="AE55" s="48"/>
      <c r="AF55" s="48"/>
      <c r="AG55" s="48"/>
      <c r="AH55" s="48"/>
      <c r="AI55" s="48"/>
      <c r="AJ55" s="48"/>
      <c r="AK55" s="48"/>
      <c r="AL55" s="48"/>
      <c r="AM55" s="48"/>
      <c r="AN55" s="273"/>
      <c r="AO55" s="273"/>
      <c r="AP55" s="273"/>
    </row>
    <row r="56" spans="1:42" ht="12.75">
      <c r="A56" s="123" t="s">
        <v>1834</v>
      </c>
      <c r="B56" s="48"/>
      <c r="C56" s="48"/>
      <c r="D56" s="48"/>
      <c r="E56" s="48"/>
      <c r="F56" s="48"/>
      <c r="G56" s="48"/>
      <c r="H56" s="48"/>
      <c r="I56" s="48"/>
      <c r="J56" s="48"/>
      <c r="K56" s="48"/>
      <c r="L56" s="48"/>
      <c r="M56" s="48"/>
      <c r="N56" s="48"/>
      <c r="O56" s="48">
        <v>50.35</v>
      </c>
      <c r="P56" s="48">
        <v>0</v>
      </c>
      <c r="Q56" s="48"/>
      <c r="R56" s="48"/>
      <c r="S56" s="48"/>
      <c r="T56" s="48"/>
      <c r="U56" s="48"/>
      <c r="V56" s="48"/>
      <c r="W56" s="48">
        <f t="shared" si="1"/>
        <v>50.35</v>
      </c>
      <c r="X56" s="48"/>
      <c r="Y56" s="48"/>
      <c r="Z56" s="48"/>
      <c r="AA56" s="48"/>
      <c r="AB56" s="48"/>
      <c r="AC56" s="48"/>
      <c r="AD56" s="48"/>
      <c r="AE56" s="48"/>
      <c r="AF56" s="48"/>
      <c r="AG56" s="48"/>
      <c r="AH56" s="48"/>
      <c r="AI56" s="48"/>
      <c r="AJ56" s="48"/>
      <c r="AK56" s="48"/>
      <c r="AL56" s="48"/>
      <c r="AM56" s="48"/>
      <c r="AN56" s="273"/>
      <c r="AO56" s="273"/>
      <c r="AP56" s="273"/>
    </row>
    <row r="57" spans="1:42" ht="12.75">
      <c r="A57" s="123" t="s">
        <v>1835</v>
      </c>
      <c r="B57" s="48"/>
      <c r="C57" s="48"/>
      <c r="D57" s="48"/>
      <c r="E57" s="48"/>
      <c r="F57" s="48"/>
      <c r="G57" s="48"/>
      <c r="H57" s="48"/>
      <c r="I57" s="48"/>
      <c r="J57" s="48"/>
      <c r="K57" s="48"/>
      <c r="L57" s="48"/>
      <c r="M57" s="48"/>
      <c r="N57" s="48"/>
      <c r="O57" s="48">
        <v>38.5</v>
      </c>
      <c r="P57" s="48">
        <v>0</v>
      </c>
      <c r="Q57" s="48"/>
      <c r="R57" s="48"/>
      <c r="S57" s="48"/>
      <c r="T57" s="48"/>
      <c r="U57" s="48"/>
      <c r="V57" s="48"/>
      <c r="W57" s="48">
        <f t="shared" si="1"/>
        <v>38.5</v>
      </c>
      <c r="X57" s="48"/>
      <c r="Y57" s="48"/>
      <c r="Z57" s="48"/>
      <c r="AA57" s="48"/>
      <c r="AB57" s="48"/>
      <c r="AC57" s="48"/>
      <c r="AD57" s="48"/>
      <c r="AE57" s="48"/>
      <c r="AF57" s="48"/>
      <c r="AG57" s="48"/>
      <c r="AH57" s="48"/>
      <c r="AI57" s="48"/>
      <c r="AJ57" s="48"/>
      <c r="AK57" s="48"/>
      <c r="AL57" s="48"/>
      <c r="AM57" s="48"/>
      <c r="AN57" s="273"/>
      <c r="AO57" s="273"/>
      <c r="AP57" s="273"/>
    </row>
    <row r="58" spans="1:42" ht="12.75">
      <c r="A58" s="123" t="s">
        <v>1836</v>
      </c>
      <c r="B58" s="48"/>
      <c r="C58" s="48"/>
      <c r="D58" s="48"/>
      <c r="E58" s="48"/>
      <c r="F58" s="48"/>
      <c r="G58" s="48"/>
      <c r="H58" s="48"/>
      <c r="I58" s="48"/>
      <c r="J58" s="48"/>
      <c r="K58" s="48"/>
      <c r="L58" s="48"/>
      <c r="M58" s="48"/>
      <c r="N58" s="48"/>
      <c r="O58" s="48">
        <v>41.5</v>
      </c>
      <c r="P58" s="48">
        <v>0</v>
      </c>
      <c r="Q58" s="48"/>
      <c r="R58" s="48"/>
      <c r="S58" s="48"/>
      <c r="T58" s="48"/>
      <c r="U58" s="48"/>
      <c r="V58" s="48"/>
      <c r="W58" s="48">
        <f t="shared" si="1"/>
        <v>41.5</v>
      </c>
      <c r="X58" s="48"/>
      <c r="Y58" s="48"/>
      <c r="Z58" s="48"/>
      <c r="AA58" s="48"/>
      <c r="AB58" s="48"/>
      <c r="AC58" s="48"/>
      <c r="AD58" s="48"/>
      <c r="AE58" s="48"/>
      <c r="AF58" s="48"/>
      <c r="AG58" s="48"/>
      <c r="AH58" s="48"/>
      <c r="AI58" s="48"/>
      <c r="AJ58" s="48"/>
      <c r="AK58" s="48"/>
      <c r="AL58" s="48"/>
      <c r="AM58" s="48"/>
      <c r="AN58" s="273"/>
      <c r="AO58" s="273"/>
      <c r="AP58" s="273"/>
    </row>
    <row r="59" spans="1:42" ht="12.75">
      <c r="A59" s="123" t="s">
        <v>1837</v>
      </c>
      <c r="B59" s="48"/>
      <c r="C59" s="48"/>
      <c r="D59" s="48"/>
      <c r="E59" s="48"/>
      <c r="F59" s="48"/>
      <c r="G59" s="48"/>
      <c r="H59" s="48"/>
      <c r="I59" s="48"/>
      <c r="J59" s="48"/>
      <c r="K59" s="48">
        <f>70-7-58.1</f>
        <v>4.8999999999999986</v>
      </c>
      <c r="L59" s="48"/>
      <c r="M59" s="48"/>
      <c r="N59" s="48"/>
      <c r="O59" s="48">
        <f>97.5-58.1-7</f>
        <v>32.4</v>
      </c>
      <c r="P59" s="48">
        <f>90-58.1-7</f>
        <v>24.9</v>
      </c>
      <c r="Q59" s="48"/>
      <c r="R59" s="48"/>
      <c r="S59" s="48"/>
      <c r="T59" s="48"/>
      <c r="U59" s="48"/>
      <c r="V59" s="48"/>
      <c r="W59" s="48">
        <f t="shared" si="1"/>
        <v>62.199999999999996</v>
      </c>
      <c r="X59" s="48"/>
      <c r="Y59" s="48"/>
      <c r="Z59" s="48"/>
      <c r="AA59" s="48"/>
      <c r="AB59" s="48"/>
      <c r="AC59" s="48"/>
      <c r="AD59" s="48"/>
      <c r="AE59" s="48"/>
      <c r="AF59" s="48"/>
      <c r="AG59" s="48"/>
      <c r="AH59" s="48"/>
      <c r="AI59" s="48"/>
      <c r="AJ59" s="48"/>
      <c r="AK59" s="48"/>
      <c r="AL59" s="48"/>
      <c r="AM59" s="48"/>
      <c r="AN59" s="273"/>
      <c r="AO59" s="273"/>
      <c r="AP59" s="273"/>
    </row>
    <row r="60" spans="1:42" ht="12.75">
      <c r="A60" s="123" t="s">
        <v>1838</v>
      </c>
      <c r="B60" s="48"/>
      <c r="C60" s="48"/>
      <c r="D60" s="48"/>
      <c r="E60" s="48"/>
      <c r="F60" s="48"/>
      <c r="G60" s="48"/>
      <c r="H60" s="48"/>
      <c r="I60" s="48"/>
      <c r="J60" s="48"/>
      <c r="K60" s="48">
        <f>7.85+5</f>
        <v>12.85</v>
      </c>
      <c r="L60" s="48"/>
      <c r="M60" s="48"/>
      <c r="N60" s="48"/>
      <c r="O60" s="48">
        <f>40.85</f>
        <v>40.85</v>
      </c>
      <c r="P60" s="48">
        <v>23</v>
      </c>
      <c r="Q60" s="48"/>
      <c r="R60" s="48"/>
      <c r="S60" s="48"/>
      <c r="T60" s="48"/>
      <c r="U60" s="48"/>
      <c r="V60" s="48"/>
      <c r="W60" s="48">
        <f t="shared" si="1"/>
        <v>76.7</v>
      </c>
      <c r="X60" s="48"/>
      <c r="Y60" s="48"/>
      <c r="Z60" s="48"/>
      <c r="AA60" s="48"/>
      <c r="AB60" s="48"/>
      <c r="AC60" s="48"/>
      <c r="AD60" s="48"/>
      <c r="AE60" s="48"/>
      <c r="AF60" s="48"/>
      <c r="AG60" s="48"/>
      <c r="AH60" s="48"/>
      <c r="AI60" s="48"/>
      <c r="AJ60" s="48"/>
      <c r="AK60" s="48"/>
      <c r="AL60" s="48"/>
      <c r="AM60" s="48"/>
      <c r="AN60" s="273"/>
      <c r="AO60" s="273"/>
      <c r="AP60" s="273"/>
    </row>
    <row r="61" spans="1:42" ht="12.75">
      <c r="A61" s="123" t="s">
        <v>1839</v>
      </c>
      <c r="B61" s="48"/>
      <c r="C61" s="48"/>
      <c r="D61" s="48"/>
      <c r="E61" s="48">
        <v>46</v>
      </c>
      <c r="F61" s="48">
        <v>42.9</v>
      </c>
      <c r="G61" s="48"/>
      <c r="H61" s="48"/>
      <c r="I61" s="48"/>
      <c r="J61" s="48"/>
      <c r="K61" s="48"/>
      <c r="L61" s="48"/>
      <c r="M61" s="48"/>
      <c r="N61" s="48"/>
      <c r="O61" s="48">
        <v>10.6</v>
      </c>
      <c r="P61" s="48">
        <v>4.5</v>
      </c>
      <c r="Q61" s="48"/>
      <c r="R61" s="48"/>
      <c r="S61" s="48"/>
      <c r="T61" s="48"/>
      <c r="U61" s="48"/>
      <c r="V61" s="48"/>
      <c r="W61" s="48">
        <f t="shared" si="1"/>
        <v>104</v>
      </c>
      <c r="X61" s="48"/>
      <c r="Y61" s="48"/>
      <c r="Z61" s="48"/>
      <c r="AA61" s="48"/>
      <c r="AB61" s="48"/>
      <c r="AC61" s="48"/>
      <c r="AD61" s="48"/>
      <c r="AE61" s="48"/>
      <c r="AF61" s="48"/>
      <c r="AG61" s="48"/>
      <c r="AH61" s="48"/>
      <c r="AI61" s="48"/>
      <c r="AJ61" s="48"/>
      <c r="AK61" s="48"/>
      <c r="AL61" s="48"/>
      <c r="AM61" s="48"/>
      <c r="AN61" s="273"/>
      <c r="AO61" s="273"/>
      <c r="AP61" s="273"/>
    </row>
    <row r="62" spans="1:42" ht="12.75">
      <c r="A62" s="123" t="s">
        <v>1840</v>
      </c>
      <c r="B62" s="48"/>
      <c r="C62" s="48">
        <v>17.45</v>
      </c>
      <c r="D62" s="48">
        <v>12.15</v>
      </c>
      <c r="E62" s="48">
        <v>64.349999999999994</v>
      </c>
      <c r="F62" s="48">
        <v>30.15</v>
      </c>
      <c r="G62" s="48"/>
      <c r="H62" s="48"/>
      <c r="I62" s="48"/>
      <c r="J62" s="48"/>
      <c r="K62" s="48"/>
      <c r="L62" s="48"/>
      <c r="M62" s="48"/>
      <c r="N62" s="48"/>
      <c r="O62" s="48">
        <v>47.8</v>
      </c>
      <c r="P62" s="48">
        <v>16.600000000000001</v>
      </c>
      <c r="Q62" s="48"/>
      <c r="R62" s="48"/>
      <c r="S62" s="48"/>
      <c r="T62" s="48"/>
      <c r="U62" s="48"/>
      <c r="V62" s="48"/>
      <c r="W62" s="48">
        <f t="shared" si="1"/>
        <v>188.49999999999997</v>
      </c>
      <c r="X62" s="48"/>
      <c r="Y62" s="48"/>
      <c r="Z62" s="48"/>
      <c r="AA62" s="48"/>
      <c r="AB62" s="48"/>
      <c r="AC62" s="48"/>
      <c r="AD62" s="48"/>
      <c r="AE62" s="48"/>
      <c r="AF62" s="48"/>
      <c r="AG62" s="48"/>
      <c r="AH62" s="48"/>
      <c r="AI62" s="48"/>
      <c r="AJ62" s="48"/>
      <c r="AK62" s="48"/>
      <c r="AL62" s="48"/>
      <c r="AM62" s="48"/>
      <c r="AN62" s="273"/>
      <c r="AO62" s="273"/>
      <c r="AP62" s="273"/>
    </row>
    <row r="63" spans="1:42" ht="12.75">
      <c r="A63" s="123" t="s">
        <v>1841</v>
      </c>
      <c r="B63" s="48"/>
      <c r="C63" s="48"/>
      <c r="D63" s="48"/>
      <c r="E63" s="48">
        <v>55.35</v>
      </c>
      <c r="F63" s="48">
        <v>38.4</v>
      </c>
      <c r="G63" s="48"/>
      <c r="H63" s="48"/>
      <c r="I63" s="48"/>
      <c r="J63" s="48"/>
      <c r="K63" s="48"/>
      <c r="L63" s="48"/>
      <c r="M63" s="48"/>
      <c r="N63" s="48"/>
      <c r="O63" s="48">
        <v>35.25</v>
      </c>
      <c r="P63" s="48">
        <v>28.05</v>
      </c>
      <c r="Q63" s="48"/>
      <c r="R63" s="48"/>
      <c r="S63" s="48"/>
      <c r="T63" s="48"/>
      <c r="U63" s="48"/>
      <c r="V63" s="48"/>
      <c r="W63" s="48">
        <f t="shared" si="1"/>
        <v>157.05000000000001</v>
      </c>
      <c r="X63" s="48"/>
      <c r="Y63" s="48"/>
      <c r="Z63" s="48"/>
      <c r="AA63" s="48"/>
      <c r="AB63" s="48"/>
      <c r="AC63" s="48"/>
      <c r="AD63" s="48"/>
      <c r="AE63" s="48"/>
      <c r="AF63" s="48"/>
      <c r="AG63" s="48"/>
      <c r="AH63" s="48"/>
      <c r="AI63" s="48"/>
      <c r="AJ63" s="48"/>
      <c r="AK63" s="48"/>
      <c r="AL63" s="48"/>
      <c r="AM63" s="48"/>
      <c r="AN63" s="273"/>
      <c r="AO63" s="273"/>
      <c r="AP63" s="273"/>
    </row>
    <row r="64" spans="1:42" ht="12.75">
      <c r="A64" s="123" t="s">
        <v>1842</v>
      </c>
      <c r="B64" s="48"/>
      <c r="C64" s="48"/>
      <c r="D64" s="48"/>
      <c r="E64" s="48">
        <v>42.5</v>
      </c>
      <c r="F64" s="48">
        <v>24.6</v>
      </c>
      <c r="G64" s="48"/>
      <c r="H64" s="48"/>
      <c r="I64" s="48"/>
      <c r="J64" s="48"/>
      <c r="K64" s="48"/>
      <c r="L64" s="48"/>
      <c r="M64" s="48"/>
      <c r="N64" s="48"/>
      <c r="O64" s="48"/>
      <c r="P64" s="48"/>
      <c r="Q64" s="48"/>
      <c r="R64" s="48"/>
      <c r="S64" s="48"/>
      <c r="T64" s="48"/>
      <c r="U64" s="48"/>
      <c r="V64" s="48"/>
      <c r="W64" s="48">
        <f t="shared" si="1"/>
        <v>67.099999999999994</v>
      </c>
      <c r="X64" s="48"/>
      <c r="Y64" s="48"/>
      <c r="Z64" s="48"/>
      <c r="AA64" s="48"/>
      <c r="AB64" s="48"/>
      <c r="AC64" s="48"/>
      <c r="AD64" s="48"/>
      <c r="AE64" s="48"/>
      <c r="AF64" s="48"/>
      <c r="AG64" s="48"/>
      <c r="AH64" s="48"/>
      <c r="AI64" s="48"/>
      <c r="AJ64" s="48"/>
      <c r="AK64" s="48"/>
      <c r="AL64" s="48"/>
      <c r="AM64" s="48"/>
      <c r="AN64" s="273"/>
      <c r="AO64" s="273"/>
      <c r="AP64" s="273"/>
    </row>
    <row r="65" spans="1:42" ht="12.75">
      <c r="A65" s="123">
        <v>44078</v>
      </c>
      <c r="B65" s="48"/>
      <c r="C65" s="48"/>
      <c r="D65" s="48"/>
      <c r="E65" s="48"/>
      <c r="F65" s="48"/>
      <c r="G65" s="48"/>
      <c r="H65" s="48"/>
      <c r="I65" s="48"/>
      <c r="J65" s="48"/>
      <c r="K65" s="48"/>
      <c r="L65" s="48"/>
      <c r="M65" s="48"/>
      <c r="N65" s="48"/>
      <c r="O65" s="48"/>
      <c r="P65" s="48"/>
      <c r="Q65" s="48"/>
      <c r="R65" s="48"/>
      <c r="S65" s="48"/>
      <c r="T65" s="48"/>
      <c r="U65" s="48"/>
      <c r="V65" s="48"/>
      <c r="W65" s="48">
        <f t="shared" si="1"/>
        <v>0</v>
      </c>
      <c r="X65" s="48"/>
      <c r="Y65" s="48"/>
      <c r="Z65" s="48"/>
      <c r="AA65" s="48"/>
      <c r="AB65" s="48"/>
      <c r="AC65" s="48"/>
      <c r="AD65" s="48"/>
      <c r="AE65" s="48"/>
      <c r="AF65" s="48"/>
      <c r="AG65" s="48"/>
      <c r="AH65" s="48"/>
      <c r="AI65" s="48"/>
      <c r="AJ65" s="48"/>
      <c r="AK65" s="48"/>
      <c r="AL65" s="48"/>
      <c r="AM65" s="48"/>
      <c r="AN65" s="273"/>
      <c r="AO65" s="273"/>
      <c r="AP65" s="273"/>
    </row>
    <row r="66" spans="1:42" ht="12.75">
      <c r="A66" s="123" t="s">
        <v>1843</v>
      </c>
      <c r="B66" s="48"/>
      <c r="C66" s="48"/>
      <c r="D66" s="48"/>
      <c r="E66" s="48">
        <f>127.5-64.85</f>
        <v>62.650000000000006</v>
      </c>
      <c r="F66" s="48">
        <f>120.15-64.85</f>
        <v>55.300000000000011</v>
      </c>
      <c r="G66" s="48"/>
      <c r="H66" s="48"/>
      <c r="I66" s="48"/>
      <c r="J66" s="48"/>
      <c r="K66" s="48"/>
      <c r="L66" s="48"/>
      <c r="M66" s="48"/>
      <c r="N66" s="48"/>
      <c r="O66" s="48">
        <f>96.75-64.85</f>
        <v>31.900000000000006</v>
      </c>
      <c r="P66" s="48">
        <f>79.45-64.85</f>
        <v>14.600000000000009</v>
      </c>
      <c r="Q66" s="48"/>
      <c r="R66" s="48"/>
      <c r="S66" s="48"/>
      <c r="T66" s="48"/>
      <c r="U66" s="48"/>
      <c r="V66" s="48"/>
      <c r="W66" s="48">
        <f t="shared" si="1"/>
        <v>164.45000000000005</v>
      </c>
      <c r="X66" s="48"/>
      <c r="Y66" s="48"/>
      <c r="Z66" s="48"/>
      <c r="AA66" s="48"/>
      <c r="AB66" s="48"/>
      <c r="AC66" s="48"/>
      <c r="AD66" s="48"/>
      <c r="AE66" s="48"/>
      <c r="AF66" s="48"/>
      <c r="AG66" s="48"/>
      <c r="AH66" s="48"/>
      <c r="AI66" s="48"/>
      <c r="AJ66" s="48"/>
      <c r="AK66" s="48"/>
      <c r="AL66" s="48"/>
      <c r="AM66" s="48"/>
      <c r="AN66" s="273"/>
      <c r="AO66" s="273"/>
      <c r="AP66" s="273"/>
    </row>
    <row r="67" spans="1:42" ht="12.75">
      <c r="A67" s="123" t="s">
        <v>1844</v>
      </c>
      <c r="B67" s="48"/>
      <c r="C67" s="48"/>
      <c r="D67" s="48"/>
      <c r="E67" s="48">
        <f>88.2-57.65</f>
        <v>30.550000000000004</v>
      </c>
      <c r="F67" s="48"/>
      <c r="G67" s="48"/>
      <c r="H67" s="48"/>
      <c r="I67" s="48"/>
      <c r="J67" s="48"/>
      <c r="K67" s="48"/>
      <c r="L67" s="48"/>
      <c r="M67" s="48"/>
      <c r="N67" s="48"/>
      <c r="O67" s="48">
        <f>85.1-57.65-7</f>
        <v>20.449999999999996</v>
      </c>
      <c r="P67" s="48">
        <f>83.4-57.65-7</f>
        <v>18.750000000000007</v>
      </c>
      <c r="Q67" s="48"/>
      <c r="R67" s="48"/>
      <c r="S67" s="48"/>
      <c r="T67" s="48"/>
      <c r="U67" s="48"/>
      <c r="V67" s="48"/>
      <c r="W67" s="48">
        <f>SUM(B67:V67)</f>
        <v>69.75</v>
      </c>
      <c r="X67" s="48"/>
      <c r="Y67" s="48"/>
      <c r="Z67" s="48"/>
      <c r="AA67" s="48"/>
      <c r="AB67" s="48"/>
      <c r="AC67" s="48"/>
      <c r="AD67" s="48"/>
      <c r="AE67" s="48"/>
      <c r="AF67" s="48"/>
      <c r="AG67" s="48"/>
      <c r="AH67" s="48"/>
      <c r="AI67" s="48"/>
      <c r="AJ67" s="48"/>
      <c r="AK67" s="48"/>
      <c r="AL67" s="48"/>
      <c r="AM67" s="48"/>
      <c r="AN67" s="273"/>
      <c r="AO67" s="273"/>
      <c r="AP67" s="273"/>
    </row>
    <row r="68" spans="1:42" ht="12.75">
      <c r="A68" s="123">
        <v>44105</v>
      </c>
      <c r="B68" s="48"/>
      <c r="C68" s="48"/>
      <c r="D68" s="48"/>
      <c r="E68" s="273"/>
      <c r="F68" s="273"/>
      <c r="G68" s="48"/>
      <c r="H68" s="48"/>
      <c r="I68" s="48"/>
      <c r="J68" s="48"/>
      <c r="K68" s="48"/>
      <c r="L68" s="48"/>
      <c r="M68" s="48"/>
      <c r="N68" s="48"/>
      <c r="O68" s="273"/>
      <c r="P68" s="273">
        <f>66.3-56.9</f>
        <v>9.3999999999999986</v>
      </c>
      <c r="Q68" s="48"/>
      <c r="R68" s="48"/>
      <c r="S68" s="48"/>
      <c r="T68" s="48"/>
      <c r="U68" s="48"/>
      <c r="V68" s="48"/>
      <c r="W68" s="48">
        <f t="shared" si="1"/>
        <v>9.3999999999999986</v>
      </c>
      <c r="X68" s="48"/>
      <c r="Y68" s="48"/>
      <c r="Z68" s="48"/>
      <c r="AA68" s="48"/>
      <c r="AB68" s="48"/>
      <c r="AC68" s="48"/>
      <c r="AD68" s="48"/>
      <c r="AE68" s="48"/>
      <c r="AF68" s="48"/>
      <c r="AG68" s="48"/>
      <c r="AH68" s="48"/>
      <c r="AI68" s="48"/>
      <c r="AJ68" s="48"/>
      <c r="AK68" s="48"/>
      <c r="AL68" s="48"/>
      <c r="AM68" s="48"/>
      <c r="AN68" s="273"/>
      <c r="AO68" s="273"/>
      <c r="AP68" s="273"/>
    </row>
    <row r="69" spans="1:42" ht="12.75">
      <c r="A69" s="123">
        <v>44106</v>
      </c>
      <c r="B69" s="48"/>
      <c r="C69" s="48"/>
      <c r="D69" s="48">
        <f>75.05-64.8</f>
        <v>10.25</v>
      </c>
      <c r="E69" s="48">
        <f>73.1-64.8</f>
        <v>8.2999999999999972</v>
      </c>
      <c r="F69" s="48"/>
      <c r="G69" s="48"/>
      <c r="H69" s="48"/>
      <c r="I69" s="48"/>
      <c r="J69" s="48"/>
      <c r="K69" s="48"/>
      <c r="L69" s="48"/>
      <c r="M69" s="48"/>
      <c r="N69" s="48"/>
      <c r="O69" s="48"/>
      <c r="P69" s="48">
        <f>100.1-64.8</f>
        <v>35.299999999999997</v>
      </c>
      <c r="Q69" s="48"/>
      <c r="R69" s="48"/>
      <c r="S69" s="48"/>
      <c r="T69" s="48"/>
      <c r="U69" s="48"/>
      <c r="V69" s="48"/>
      <c r="W69" s="48">
        <f t="shared" si="1"/>
        <v>53.849999999999994</v>
      </c>
      <c r="X69" s="48"/>
      <c r="Y69" s="48"/>
      <c r="Z69" s="48"/>
      <c r="AA69" s="48"/>
      <c r="AB69" s="48"/>
      <c r="AC69" s="48"/>
      <c r="AD69" s="48"/>
      <c r="AE69" s="48"/>
      <c r="AF69" s="48"/>
      <c r="AG69" s="48"/>
      <c r="AH69" s="48"/>
      <c r="AI69" s="48"/>
      <c r="AJ69" s="48"/>
      <c r="AK69" s="48"/>
      <c r="AL69" s="48"/>
      <c r="AM69" s="48"/>
      <c r="AN69" s="273"/>
      <c r="AO69" s="273"/>
      <c r="AP69" s="273"/>
    </row>
    <row r="70" spans="1:42" ht="12.75">
      <c r="A70" s="123">
        <v>44110</v>
      </c>
      <c r="B70" s="48"/>
      <c r="C70" s="48">
        <f>88.4-71.85</f>
        <v>16.550000000000011</v>
      </c>
      <c r="D70" s="48">
        <f>99.9-71.85</f>
        <v>28.050000000000011</v>
      </c>
      <c r="E70" s="48">
        <f>123.85-71.85</f>
        <v>52</v>
      </c>
      <c r="F70" s="48">
        <f>104.95-71.85</f>
        <v>33.100000000000009</v>
      </c>
      <c r="G70" s="48"/>
      <c r="H70" s="48"/>
      <c r="I70" s="48"/>
      <c r="J70" s="48"/>
      <c r="K70" s="48"/>
      <c r="L70" s="48"/>
      <c r="M70" s="48"/>
      <c r="N70" s="48"/>
      <c r="O70" s="48"/>
      <c r="P70" s="48">
        <f>111.1-71.85</f>
        <v>39.25</v>
      </c>
      <c r="Q70" s="48"/>
      <c r="R70" s="48"/>
      <c r="S70" s="48"/>
      <c r="T70" s="48"/>
      <c r="U70" s="48"/>
      <c r="V70" s="48"/>
      <c r="W70" s="48">
        <f>SUM(B70:V70)</f>
        <v>168.95000000000005</v>
      </c>
      <c r="X70" s="48"/>
      <c r="Y70" s="48"/>
      <c r="Z70" s="48"/>
      <c r="AA70" s="48"/>
      <c r="AB70" s="48"/>
      <c r="AC70" s="48"/>
      <c r="AD70" s="48"/>
      <c r="AE70" s="48"/>
      <c r="AF70" s="48"/>
      <c r="AG70" s="48"/>
      <c r="AH70" s="48"/>
      <c r="AI70" s="48"/>
      <c r="AJ70" s="48"/>
      <c r="AK70" s="48"/>
      <c r="AL70" s="48"/>
      <c r="AM70" s="48"/>
      <c r="AN70" s="273"/>
      <c r="AO70" s="273"/>
      <c r="AP70" s="273"/>
    </row>
    <row r="71" spans="1:42" ht="12.75">
      <c r="A71" s="123">
        <v>44113</v>
      </c>
      <c r="B71" s="48"/>
      <c r="C71" s="48"/>
      <c r="D71" s="48"/>
      <c r="E71" s="48"/>
      <c r="F71" s="48"/>
      <c r="G71" s="48"/>
      <c r="H71" s="48"/>
      <c r="I71" s="48"/>
      <c r="J71" s="48"/>
      <c r="K71" s="48"/>
      <c r="L71" s="48"/>
      <c r="M71" s="48"/>
      <c r="N71" s="48"/>
      <c r="O71" s="48"/>
      <c r="P71" s="48">
        <f>122.15-73</f>
        <v>49.150000000000006</v>
      </c>
      <c r="Q71" s="48"/>
      <c r="R71" s="48"/>
      <c r="S71" s="48"/>
      <c r="T71" s="48"/>
      <c r="U71" s="48"/>
      <c r="V71" s="48"/>
      <c r="W71" s="48">
        <f>SUM(B71:V71)</f>
        <v>49.150000000000006</v>
      </c>
      <c r="X71" s="48"/>
      <c r="Y71" s="48"/>
      <c r="Z71" s="48"/>
      <c r="AA71" s="48"/>
      <c r="AB71" s="48"/>
      <c r="AC71" s="48"/>
      <c r="AD71" s="48"/>
      <c r="AE71" s="48"/>
      <c r="AF71" s="48"/>
      <c r="AG71" s="48"/>
      <c r="AH71" s="48"/>
      <c r="AI71" s="48"/>
      <c r="AJ71" s="48"/>
      <c r="AK71" s="48"/>
      <c r="AL71" s="48"/>
      <c r="AM71" s="48"/>
      <c r="AN71" s="273"/>
      <c r="AO71" s="273"/>
      <c r="AP71" s="273"/>
    </row>
    <row r="72" spans="1:42" ht="12.75">
      <c r="A72" s="123">
        <v>44118</v>
      </c>
      <c r="B72" s="48"/>
      <c r="C72" s="48">
        <f>100.15-64.8</f>
        <v>35.350000000000009</v>
      </c>
      <c r="D72" s="48">
        <f>91.65-64.8</f>
        <v>26.850000000000009</v>
      </c>
      <c r="E72" s="48">
        <f>113.4-64.8</f>
        <v>48.600000000000009</v>
      </c>
      <c r="F72" s="48">
        <f>97.55-64.8</f>
        <v>32.75</v>
      </c>
      <c r="G72" s="48"/>
      <c r="H72" s="48"/>
      <c r="I72" s="48"/>
      <c r="J72" s="48"/>
      <c r="K72" s="48"/>
      <c r="L72" s="48"/>
      <c r="M72" s="48"/>
      <c r="N72" s="48"/>
      <c r="O72" s="48">
        <f>95.05-64.8</f>
        <v>30.25</v>
      </c>
      <c r="P72" s="48">
        <v>0</v>
      </c>
      <c r="Q72" s="48"/>
      <c r="R72" s="48"/>
      <c r="S72" s="48"/>
      <c r="T72" s="48"/>
      <c r="U72" s="48"/>
      <c r="V72" s="48"/>
      <c r="W72" s="48">
        <f>SUM(B72:V72)</f>
        <v>173.8</v>
      </c>
      <c r="X72" s="48"/>
      <c r="Y72" s="48"/>
      <c r="Z72" s="48"/>
      <c r="AA72" s="48"/>
      <c r="AB72" s="48"/>
      <c r="AC72" s="48"/>
      <c r="AD72" s="48"/>
      <c r="AE72" s="48"/>
      <c r="AF72" s="48"/>
      <c r="AG72" s="48"/>
      <c r="AH72" s="48"/>
      <c r="AI72" s="48"/>
      <c r="AJ72" s="48"/>
      <c r="AK72" s="48"/>
      <c r="AL72" s="48"/>
      <c r="AM72" s="48"/>
      <c r="AN72" s="273"/>
      <c r="AO72" s="273"/>
      <c r="AP72" s="273"/>
    </row>
    <row r="73" spans="1:42" ht="12.75">
      <c r="A73" s="123">
        <v>44120</v>
      </c>
      <c r="B73" s="48"/>
      <c r="C73" s="48"/>
      <c r="D73" s="48"/>
      <c r="E73" s="48"/>
      <c r="F73" s="48"/>
      <c r="G73" s="48"/>
      <c r="H73" s="48"/>
      <c r="I73" s="48"/>
      <c r="J73" s="48"/>
      <c r="K73" s="48"/>
      <c r="L73" s="48"/>
      <c r="M73" s="48"/>
      <c r="N73" s="48"/>
      <c r="O73" s="48">
        <v>43.6</v>
      </c>
      <c r="P73" s="48">
        <v>0</v>
      </c>
      <c r="Q73" s="48"/>
      <c r="R73" s="48"/>
      <c r="S73" s="48"/>
      <c r="T73" s="48"/>
      <c r="U73" s="48"/>
      <c r="V73" s="48"/>
      <c r="W73" s="48">
        <f>SUM(B73:V73)</f>
        <v>43.6</v>
      </c>
      <c r="X73" s="48"/>
      <c r="Y73" s="48"/>
      <c r="Z73" s="48"/>
      <c r="AA73" s="48"/>
      <c r="AB73" s="48"/>
      <c r="AC73" s="48"/>
      <c r="AD73" s="48"/>
      <c r="AE73" s="48"/>
      <c r="AF73" s="48"/>
      <c r="AG73" s="48"/>
      <c r="AH73" s="48"/>
      <c r="AI73" s="48"/>
      <c r="AJ73" s="48"/>
      <c r="AK73" s="48"/>
      <c r="AL73" s="48"/>
      <c r="AM73" s="48"/>
      <c r="AN73" s="273"/>
      <c r="AO73" s="273"/>
      <c r="AP73" s="273"/>
    </row>
    <row r="74" spans="1:42" ht="12.75">
      <c r="A74" s="123">
        <v>44125</v>
      </c>
      <c r="B74" s="48"/>
      <c r="C74" s="48"/>
      <c r="D74" s="48"/>
      <c r="E74" s="273"/>
      <c r="F74" s="273"/>
      <c r="G74" s="48"/>
      <c r="H74" s="48"/>
      <c r="I74" s="48"/>
      <c r="J74" s="48"/>
      <c r="K74" s="48"/>
      <c r="L74" s="48"/>
      <c r="M74" s="48"/>
      <c r="N74" s="48"/>
      <c r="O74" s="48">
        <v>38.299999999999997</v>
      </c>
      <c r="P74" s="48">
        <v>0</v>
      </c>
      <c r="Q74" s="48"/>
      <c r="R74" s="48"/>
      <c r="S74" s="48"/>
      <c r="T74" s="48"/>
      <c r="U74" s="48"/>
      <c r="V74" s="48"/>
      <c r="W74" s="48">
        <f>SUM(B74:V74)</f>
        <v>38.299999999999997</v>
      </c>
      <c r="X74" s="48"/>
      <c r="Y74" s="48"/>
      <c r="Z74" s="48"/>
      <c r="AA74" s="48"/>
      <c r="AB74" s="48"/>
      <c r="AC74" s="48"/>
      <c r="AD74" s="48"/>
      <c r="AE74" s="48"/>
      <c r="AF74" s="48"/>
      <c r="AG74" s="48"/>
      <c r="AH74" s="48"/>
      <c r="AI74" s="48"/>
      <c r="AJ74" s="48"/>
      <c r="AK74" s="48"/>
      <c r="AL74" s="48"/>
      <c r="AM74" s="48"/>
      <c r="AN74" s="273"/>
      <c r="AO74" s="273"/>
      <c r="AP74" s="273"/>
    </row>
    <row r="75" spans="1:42" ht="12.75">
      <c r="A75" s="123" t="s">
        <v>1845</v>
      </c>
      <c r="B75" s="48"/>
      <c r="C75" s="48"/>
      <c r="D75" s="48"/>
      <c r="E75" s="48">
        <f>125-65.6-7</f>
        <v>52.400000000000006</v>
      </c>
      <c r="F75" s="48">
        <f>90-65.6-7</f>
        <v>17.400000000000006</v>
      </c>
      <c r="G75" s="48"/>
      <c r="H75" s="48"/>
      <c r="I75" s="48"/>
      <c r="J75" s="48"/>
      <c r="K75" s="48"/>
      <c r="L75" s="48"/>
      <c r="M75" s="48"/>
      <c r="N75" s="48"/>
      <c r="O75" s="48"/>
      <c r="P75" s="48"/>
      <c r="Q75" s="48"/>
      <c r="R75" s="48"/>
      <c r="S75" s="48"/>
      <c r="T75" s="48"/>
      <c r="U75" s="48"/>
      <c r="V75" s="48"/>
      <c r="W75" s="48">
        <f t="shared" ref="W75:W114" si="2">SUM(B75:V75)</f>
        <v>69.800000000000011</v>
      </c>
      <c r="X75" s="48"/>
      <c r="Y75" s="48"/>
      <c r="Z75" s="48"/>
      <c r="AA75" s="48"/>
      <c r="AB75" s="48"/>
      <c r="AC75" s="48"/>
      <c r="AD75" s="48"/>
      <c r="AE75" s="48"/>
      <c r="AF75" s="48"/>
      <c r="AG75" s="48"/>
      <c r="AH75" s="48"/>
      <c r="AI75" s="48"/>
      <c r="AJ75" s="48"/>
      <c r="AK75" s="48"/>
      <c r="AL75" s="48"/>
      <c r="AM75" s="48"/>
      <c r="AN75" s="273"/>
      <c r="AO75" s="273"/>
      <c r="AP75" s="273"/>
    </row>
    <row r="76" spans="1:42" ht="12.75">
      <c r="A76" s="123">
        <v>44140</v>
      </c>
      <c r="B76" s="48"/>
      <c r="C76" s="48">
        <v>21.95</v>
      </c>
      <c r="D76" s="48"/>
      <c r="E76" s="48">
        <v>61.75</v>
      </c>
      <c r="F76" s="48">
        <v>6.1</v>
      </c>
      <c r="G76" s="48"/>
      <c r="H76" s="48"/>
      <c r="I76" s="48"/>
      <c r="J76" s="48"/>
      <c r="K76" s="48"/>
      <c r="L76" s="48"/>
      <c r="M76" s="48"/>
      <c r="N76" s="48"/>
      <c r="O76" s="273">
        <v>39.9</v>
      </c>
      <c r="P76" s="273">
        <v>15.1</v>
      </c>
      <c r="Q76" s="48"/>
      <c r="R76" s="48"/>
      <c r="S76" s="48"/>
      <c r="T76" s="48"/>
      <c r="U76" s="48"/>
      <c r="V76" s="48"/>
      <c r="W76" s="48">
        <f t="shared" si="2"/>
        <v>144.79999999999998</v>
      </c>
      <c r="X76" s="48"/>
      <c r="Y76" s="48"/>
      <c r="Z76" s="48"/>
      <c r="AA76" s="48"/>
      <c r="AB76" s="48"/>
      <c r="AC76" s="48"/>
      <c r="AD76" s="48"/>
      <c r="AE76" s="48"/>
      <c r="AF76" s="48"/>
      <c r="AG76" s="48"/>
      <c r="AH76" s="48"/>
      <c r="AI76" s="48"/>
      <c r="AJ76" s="48"/>
      <c r="AK76" s="48"/>
      <c r="AL76" s="48"/>
      <c r="AM76" s="48"/>
      <c r="AN76" s="273"/>
      <c r="AO76" s="273"/>
      <c r="AP76" s="273"/>
    </row>
    <row r="77" spans="1:42" ht="12.75">
      <c r="A77" s="123">
        <v>44141</v>
      </c>
      <c r="B77" s="48"/>
      <c r="C77" s="48"/>
      <c r="D77" s="48"/>
      <c r="E77" s="48">
        <v>29.8</v>
      </c>
      <c r="F77" s="48">
        <v>35.75</v>
      </c>
      <c r="G77" s="48"/>
      <c r="H77" s="48"/>
      <c r="I77" s="48"/>
      <c r="J77" s="48"/>
      <c r="K77" s="48"/>
      <c r="L77" s="48"/>
      <c r="M77" s="48"/>
      <c r="N77" s="48"/>
      <c r="O77" s="48">
        <v>45.45</v>
      </c>
      <c r="P77" s="48"/>
      <c r="Q77" s="48"/>
      <c r="R77" s="48"/>
      <c r="S77" s="48"/>
      <c r="T77" s="48"/>
      <c r="U77" s="48"/>
      <c r="V77" s="48"/>
      <c r="W77" s="48">
        <f>SUM(B77:V77)</f>
        <v>111</v>
      </c>
      <c r="X77" s="48"/>
      <c r="Y77" s="48"/>
      <c r="Z77" s="48"/>
      <c r="AA77" s="48"/>
      <c r="AB77" s="48"/>
      <c r="AC77" s="48"/>
      <c r="AD77" s="48"/>
      <c r="AE77" s="48"/>
      <c r="AF77" s="48"/>
      <c r="AG77" s="48"/>
      <c r="AH77" s="48"/>
      <c r="AI77" s="48"/>
      <c r="AJ77" s="48"/>
      <c r="AK77" s="48"/>
      <c r="AL77" s="48"/>
      <c r="AM77" s="48"/>
      <c r="AN77" s="273"/>
      <c r="AO77" s="273"/>
      <c r="AP77" s="273"/>
    </row>
    <row r="78" spans="1:42" ht="12.75">
      <c r="A78" s="123">
        <v>44142</v>
      </c>
      <c r="B78" s="48"/>
      <c r="C78" s="48"/>
      <c r="D78" s="48"/>
      <c r="E78" s="48"/>
      <c r="F78" s="48"/>
      <c r="G78" s="48"/>
      <c r="H78" s="48"/>
      <c r="I78" s="48"/>
      <c r="J78" s="48"/>
      <c r="K78" s="48"/>
      <c r="L78" s="48"/>
      <c r="M78" s="48"/>
      <c r="N78" s="48"/>
      <c r="O78" s="273"/>
      <c r="P78" s="48"/>
      <c r="Q78" s="48"/>
      <c r="R78" s="48"/>
      <c r="S78" s="48"/>
      <c r="T78" s="48"/>
      <c r="U78" s="48"/>
      <c r="V78" s="48"/>
      <c r="W78" s="48">
        <f t="shared" si="2"/>
        <v>0</v>
      </c>
      <c r="X78" s="48"/>
      <c r="Y78" s="48"/>
      <c r="Z78" s="48"/>
      <c r="AA78" s="48"/>
      <c r="AB78" s="48"/>
      <c r="AC78" s="48"/>
      <c r="AD78" s="48"/>
      <c r="AE78" s="48"/>
      <c r="AF78" s="48"/>
      <c r="AG78" s="48"/>
      <c r="AH78" s="48"/>
      <c r="AI78" s="48"/>
      <c r="AJ78" s="48"/>
      <c r="AK78" s="48"/>
      <c r="AL78" s="48"/>
      <c r="AM78" s="48"/>
      <c r="AN78" s="273"/>
      <c r="AO78" s="273"/>
      <c r="AP78" s="273"/>
    </row>
    <row r="79" spans="1:42" ht="12.75">
      <c r="A79" s="123">
        <v>44143</v>
      </c>
      <c r="B79" s="48"/>
      <c r="C79" s="48"/>
      <c r="D79" s="48"/>
      <c r="E79" s="48"/>
      <c r="F79" s="48"/>
      <c r="G79" s="48"/>
      <c r="H79" s="48"/>
      <c r="I79" s="48"/>
      <c r="J79" s="48"/>
      <c r="K79" s="48"/>
      <c r="L79" s="48"/>
      <c r="M79" s="48"/>
      <c r="N79" s="48"/>
      <c r="O79" s="48"/>
      <c r="P79" s="48"/>
      <c r="Q79" s="48"/>
      <c r="R79" s="48"/>
      <c r="S79" s="48"/>
      <c r="T79" s="48"/>
      <c r="U79" s="48"/>
      <c r="V79" s="48"/>
      <c r="W79" s="48">
        <f t="shared" si="2"/>
        <v>0</v>
      </c>
      <c r="X79" s="48"/>
      <c r="Y79" s="48"/>
      <c r="Z79" s="48"/>
      <c r="AA79" s="48"/>
      <c r="AB79" s="48"/>
      <c r="AC79" s="48"/>
      <c r="AD79" s="48"/>
      <c r="AE79" s="48"/>
      <c r="AF79" s="48"/>
      <c r="AG79" s="48"/>
      <c r="AH79" s="48"/>
      <c r="AI79" s="48"/>
      <c r="AJ79" s="48"/>
      <c r="AK79" s="48"/>
      <c r="AL79" s="48"/>
      <c r="AM79" s="48"/>
      <c r="AN79" s="273"/>
      <c r="AO79" s="273"/>
      <c r="AP79" s="273"/>
    </row>
    <row r="80" spans="1:42" ht="12.75">
      <c r="A80" s="123">
        <v>44144</v>
      </c>
      <c r="B80" s="48"/>
      <c r="C80" s="48"/>
      <c r="D80" s="48"/>
      <c r="E80" s="48"/>
      <c r="F80" s="48"/>
      <c r="G80" s="48"/>
      <c r="H80" s="48"/>
      <c r="I80" s="48"/>
      <c r="J80" s="48"/>
      <c r="K80" s="48"/>
      <c r="L80" s="48"/>
      <c r="M80" s="48"/>
      <c r="N80" s="48"/>
      <c r="O80" s="48"/>
      <c r="P80" s="48"/>
      <c r="Q80" s="48"/>
      <c r="R80" s="48"/>
      <c r="S80" s="48"/>
      <c r="T80" s="48"/>
      <c r="U80" s="48"/>
      <c r="V80" s="48"/>
      <c r="W80" s="48">
        <f t="shared" si="2"/>
        <v>0</v>
      </c>
      <c r="X80" s="48"/>
      <c r="Y80" s="48"/>
      <c r="Z80" s="48"/>
      <c r="AA80" s="48"/>
      <c r="AB80" s="48"/>
      <c r="AC80" s="48"/>
      <c r="AD80" s="48"/>
      <c r="AE80" s="48"/>
      <c r="AF80" s="48"/>
      <c r="AG80" s="48"/>
      <c r="AH80" s="48"/>
      <c r="AI80" s="48"/>
      <c r="AJ80" s="48"/>
      <c r="AK80" s="48"/>
      <c r="AL80" s="48"/>
      <c r="AM80" s="48"/>
      <c r="AN80" s="273"/>
      <c r="AO80" s="273"/>
      <c r="AP80" s="273"/>
    </row>
    <row r="81" spans="1:42" ht="12.75">
      <c r="A81" s="123">
        <v>44145</v>
      </c>
      <c r="B81" s="48"/>
      <c r="C81" s="48"/>
      <c r="D81" s="48"/>
      <c r="E81" s="48"/>
      <c r="F81" s="48"/>
      <c r="G81" s="48"/>
      <c r="H81" s="48"/>
      <c r="I81" s="48"/>
      <c r="J81" s="48"/>
      <c r="K81" s="48"/>
      <c r="L81" s="48"/>
      <c r="M81" s="48"/>
      <c r="N81" s="48"/>
      <c r="O81" s="48"/>
      <c r="P81" s="48"/>
      <c r="Q81" s="48"/>
      <c r="R81" s="48"/>
      <c r="S81" s="48"/>
      <c r="T81" s="48"/>
      <c r="U81" s="48"/>
      <c r="V81" s="48"/>
      <c r="W81" s="48">
        <f t="shared" si="2"/>
        <v>0</v>
      </c>
      <c r="X81" s="48"/>
      <c r="Y81" s="48"/>
      <c r="Z81" s="48"/>
      <c r="AA81" s="48"/>
      <c r="AB81" s="48"/>
      <c r="AC81" s="48"/>
      <c r="AD81" s="48"/>
      <c r="AE81" s="48"/>
      <c r="AF81" s="48"/>
      <c r="AG81" s="48"/>
      <c r="AH81" s="48"/>
      <c r="AI81" s="48"/>
      <c r="AJ81" s="48"/>
      <c r="AK81" s="48"/>
      <c r="AL81" s="48"/>
      <c r="AM81" s="48"/>
      <c r="AN81" s="273"/>
      <c r="AO81" s="273"/>
      <c r="AP81" s="273"/>
    </row>
    <row r="82" spans="1:42" ht="12.75">
      <c r="A82" s="123">
        <v>44146</v>
      </c>
      <c r="B82" s="48"/>
      <c r="C82" s="48"/>
      <c r="D82" s="48"/>
      <c r="E82" s="48">
        <v>32.049999999999997</v>
      </c>
      <c r="F82" s="48">
        <v>34</v>
      </c>
      <c r="G82" s="48"/>
      <c r="H82" s="48"/>
      <c r="I82" s="48"/>
      <c r="J82" s="48"/>
      <c r="K82" s="48"/>
      <c r="L82" s="48"/>
      <c r="M82" s="48"/>
      <c r="N82" s="48"/>
      <c r="O82" s="48"/>
      <c r="P82" s="48"/>
      <c r="Q82" s="48"/>
      <c r="R82" s="48"/>
      <c r="S82" s="48"/>
      <c r="T82" s="48"/>
      <c r="U82" s="48"/>
      <c r="V82" s="48"/>
      <c r="W82" s="48">
        <f t="shared" si="2"/>
        <v>66.05</v>
      </c>
      <c r="X82" s="48"/>
      <c r="Y82" s="48"/>
      <c r="Z82" s="48"/>
      <c r="AA82" s="48"/>
      <c r="AB82" s="48"/>
      <c r="AC82" s="48"/>
      <c r="AD82" s="48"/>
      <c r="AE82" s="48"/>
      <c r="AF82" s="48"/>
      <c r="AG82" s="48"/>
      <c r="AH82" s="48"/>
      <c r="AI82" s="48"/>
      <c r="AJ82" s="48"/>
      <c r="AK82" s="48"/>
      <c r="AL82" s="48"/>
      <c r="AM82" s="48"/>
      <c r="AN82" s="273"/>
      <c r="AO82" s="273"/>
      <c r="AP82" s="273"/>
    </row>
    <row r="83" spans="1:42" ht="12.75">
      <c r="A83" s="123">
        <v>44147</v>
      </c>
      <c r="B83" s="48"/>
      <c r="C83" s="48"/>
      <c r="D83" s="48"/>
      <c r="E83" s="48"/>
      <c r="F83" s="48"/>
      <c r="G83" s="48"/>
      <c r="H83" s="48"/>
      <c r="I83" s="48"/>
      <c r="J83" s="48"/>
      <c r="K83" s="48"/>
      <c r="L83" s="48"/>
      <c r="M83" s="48"/>
      <c r="N83" s="48"/>
      <c r="O83" s="48"/>
      <c r="P83" s="48"/>
      <c r="Q83" s="48"/>
      <c r="R83" s="48"/>
      <c r="S83" s="48"/>
      <c r="T83" s="48"/>
      <c r="U83" s="48"/>
      <c r="V83" s="48"/>
      <c r="W83" s="48">
        <f t="shared" si="2"/>
        <v>0</v>
      </c>
      <c r="X83" s="48"/>
      <c r="Y83" s="48"/>
      <c r="Z83" s="48"/>
      <c r="AA83" s="48"/>
      <c r="AB83" s="48"/>
      <c r="AC83" s="48"/>
      <c r="AD83" s="48"/>
      <c r="AE83" s="48"/>
      <c r="AF83" s="48"/>
      <c r="AG83" s="48"/>
      <c r="AH83" s="48"/>
      <c r="AI83" s="48"/>
      <c r="AJ83" s="48"/>
      <c r="AK83" s="48"/>
      <c r="AL83" s="48"/>
      <c r="AM83" s="48"/>
      <c r="AN83" s="273"/>
      <c r="AO83" s="273"/>
      <c r="AP83" s="273"/>
    </row>
    <row r="84" spans="1:42" ht="12.75">
      <c r="A84" s="123">
        <v>44148</v>
      </c>
      <c r="B84" s="48"/>
      <c r="C84" s="48"/>
      <c r="D84" s="48"/>
      <c r="E84" s="48"/>
      <c r="F84" s="48"/>
      <c r="G84" s="48"/>
      <c r="H84" s="48"/>
      <c r="I84" s="48"/>
      <c r="J84" s="48"/>
      <c r="K84" s="48"/>
      <c r="L84" s="48"/>
      <c r="M84" s="48"/>
      <c r="N84" s="48"/>
      <c r="O84" s="48"/>
      <c r="P84" s="48"/>
      <c r="Q84" s="48"/>
      <c r="R84" s="48"/>
      <c r="S84" s="48"/>
      <c r="T84" s="48"/>
      <c r="U84" s="48"/>
      <c r="V84" s="48"/>
      <c r="W84" s="48">
        <f t="shared" si="2"/>
        <v>0</v>
      </c>
      <c r="X84" s="48"/>
      <c r="Y84" s="48"/>
      <c r="Z84" s="48"/>
      <c r="AA84" s="48"/>
      <c r="AB84" s="48"/>
      <c r="AC84" s="48"/>
      <c r="AD84" s="48"/>
      <c r="AE84" s="48"/>
      <c r="AF84" s="48"/>
      <c r="AG84" s="48"/>
      <c r="AH84" s="48"/>
      <c r="AI84" s="48"/>
      <c r="AJ84" s="48"/>
      <c r="AK84" s="48"/>
      <c r="AL84" s="48"/>
      <c r="AM84" s="48"/>
      <c r="AN84" s="273"/>
      <c r="AO84" s="273"/>
      <c r="AP84" s="273"/>
    </row>
    <row r="85" spans="1:42" ht="12.75">
      <c r="A85" s="123">
        <v>44149</v>
      </c>
      <c r="B85" s="48"/>
      <c r="C85" s="48"/>
      <c r="D85" s="48"/>
      <c r="E85" s="48"/>
      <c r="F85" s="48"/>
      <c r="G85" s="48"/>
      <c r="H85" s="48"/>
      <c r="I85" s="48"/>
      <c r="J85" s="48"/>
      <c r="K85" s="48"/>
      <c r="L85" s="48"/>
      <c r="M85" s="48"/>
      <c r="N85" s="48"/>
      <c r="O85" s="48"/>
      <c r="P85" s="48"/>
      <c r="Q85" s="48"/>
      <c r="R85" s="48"/>
      <c r="S85" s="48"/>
      <c r="T85" s="48"/>
      <c r="U85" s="48"/>
      <c r="V85" s="48"/>
      <c r="W85" s="48">
        <f t="shared" si="2"/>
        <v>0</v>
      </c>
      <c r="X85" s="48"/>
      <c r="Y85" s="48"/>
      <c r="Z85" s="48"/>
      <c r="AA85" s="48"/>
      <c r="AB85" s="48"/>
      <c r="AC85" s="48"/>
      <c r="AD85" s="48"/>
      <c r="AE85" s="48"/>
      <c r="AF85" s="48"/>
      <c r="AG85" s="48"/>
      <c r="AH85" s="48"/>
      <c r="AI85" s="48"/>
      <c r="AJ85" s="48"/>
      <c r="AK85" s="48"/>
      <c r="AL85" s="48"/>
      <c r="AM85" s="48"/>
      <c r="AN85" s="273"/>
      <c r="AO85" s="273"/>
      <c r="AP85" s="273"/>
    </row>
    <row r="86" spans="1:42" ht="12.75">
      <c r="A86" s="123">
        <v>44152</v>
      </c>
      <c r="B86" s="48"/>
      <c r="C86" s="48"/>
      <c r="D86" s="48"/>
      <c r="E86" s="48"/>
      <c r="F86" s="48"/>
      <c r="G86" s="48"/>
      <c r="H86" s="48"/>
      <c r="I86" s="48"/>
      <c r="J86" s="48"/>
      <c r="K86" s="48"/>
      <c r="L86" s="48"/>
      <c r="M86" s="48"/>
      <c r="N86" s="48"/>
      <c r="O86" s="48">
        <f>75-57.85-7</f>
        <v>10.149999999999999</v>
      </c>
      <c r="P86" s="48">
        <f>78.25-7-57.85</f>
        <v>13.399999999999999</v>
      </c>
      <c r="Q86" s="48"/>
      <c r="R86" s="48"/>
      <c r="S86" s="48"/>
      <c r="T86" s="48"/>
      <c r="U86" s="48"/>
      <c r="V86" s="48"/>
      <c r="W86" s="48">
        <f t="shared" si="2"/>
        <v>23.549999999999997</v>
      </c>
      <c r="X86" s="48"/>
      <c r="Y86" s="48"/>
      <c r="Z86" s="48"/>
      <c r="AA86" s="48"/>
      <c r="AB86" s="48"/>
      <c r="AC86" s="48"/>
      <c r="AD86" s="48"/>
      <c r="AE86" s="48"/>
      <c r="AF86" s="48"/>
      <c r="AG86" s="48"/>
      <c r="AH86" s="48"/>
      <c r="AI86" s="48"/>
      <c r="AJ86" s="48"/>
      <c r="AK86" s="48"/>
      <c r="AL86" s="48"/>
      <c r="AM86" s="48"/>
      <c r="AN86" s="273"/>
      <c r="AO86" s="273"/>
      <c r="AP86" s="273"/>
    </row>
    <row r="87" spans="1:42" ht="12.75">
      <c r="A87" s="123">
        <v>44153</v>
      </c>
      <c r="B87" s="48"/>
      <c r="C87" s="48"/>
      <c r="D87" s="48"/>
      <c r="E87" s="48">
        <f>102.5-57.2-7</f>
        <v>38.299999999999997</v>
      </c>
      <c r="F87" s="48">
        <f>116.75-57.2-7</f>
        <v>52.55</v>
      </c>
      <c r="G87" s="48"/>
      <c r="H87" s="48"/>
      <c r="I87" s="48"/>
      <c r="J87" s="48"/>
      <c r="K87" s="48"/>
      <c r="L87" s="48"/>
      <c r="M87" s="48"/>
      <c r="N87" s="48"/>
      <c r="O87" s="48">
        <f>96-57.2-7</f>
        <v>31.799999999999997</v>
      </c>
      <c r="P87" s="48">
        <f>95.1-57.2-7</f>
        <v>30.899999999999991</v>
      </c>
      <c r="Q87" s="48"/>
      <c r="R87" s="48"/>
      <c r="S87" s="48"/>
      <c r="T87" s="48"/>
      <c r="U87" s="48"/>
      <c r="V87" s="48"/>
      <c r="W87" s="48">
        <f t="shared" si="2"/>
        <v>153.54999999999998</v>
      </c>
      <c r="X87" s="48"/>
      <c r="Y87" s="48"/>
      <c r="Z87" s="48"/>
      <c r="AA87" s="48"/>
      <c r="AB87" s="48"/>
      <c r="AC87" s="48"/>
      <c r="AD87" s="48"/>
      <c r="AE87" s="48"/>
      <c r="AF87" s="48"/>
      <c r="AG87" s="48"/>
      <c r="AH87" s="48"/>
      <c r="AI87" s="48"/>
      <c r="AJ87" s="48"/>
      <c r="AK87" s="48"/>
      <c r="AL87" s="48"/>
      <c r="AM87" s="48"/>
      <c r="AN87" s="273"/>
      <c r="AO87" s="273"/>
      <c r="AP87" s="273"/>
    </row>
    <row r="88" spans="1:42" ht="12.75">
      <c r="A88" s="123">
        <v>44159</v>
      </c>
      <c r="B88" s="48"/>
      <c r="C88" s="48">
        <f>86.9-64.95</f>
        <v>21.950000000000003</v>
      </c>
      <c r="D88" s="48">
        <f>105.1-64.95</f>
        <v>40.149999999999991</v>
      </c>
      <c r="E88" s="48">
        <f>116.5-64.95</f>
        <v>51.55</v>
      </c>
      <c r="F88" s="48">
        <f>79.2-64.95</f>
        <v>14.25</v>
      </c>
      <c r="G88" s="48"/>
      <c r="H88" s="48"/>
      <c r="I88" s="48"/>
      <c r="J88" s="48"/>
      <c r="K88" s="48"/>
      <c r="L88" s="48"/>
      <c r="M88" s="48"/>
      <c r="N88" s="48"/>
      <c r="O88" s="48">
        <f>81.9-64.95</f>
        <v>16.950000000000003</v>
      </c>
      <c r="P88" s="48">
        <f>91.3-64.95</f>
        <v>26.349999999999994</v>
      </c>
      <c r="Q88" s="48"/>
      <c r="R88" s="48"/>
      <c r="S88" s="48"/>
      <c r="T88" s="48"/>
      <c r="U88" s="48"/>
      <c r="V88" s="48"/>
      <c r="W88" s="48">
        <f t="shared" si="2"/>
        <v>171.2</v>
      </c>
      <c r="X88" s="48"/>
      <c r="Y88" s="48"/>
      <c r="Z88" s="48"/>
      <c r="AA88" s="48"/>
      <c r="AB88" s="48"/>
      <c r="AC88" s="48"/>
      <c r="AD88" s="48"/>
      <c r="AE88" s="48"/>
      <c r="AF88" s="48"/>
      <c r="AG88" s="48"/>
      <c r="AH88" s="48"/>
      <c r="AI88" s="48"/>
      <c r="AJ88" s="48"/>
      <c r="AK88" s="48"/>
      <c r="AL88" s="48"/>
      <c r="AM88" s="48"/>
      <c r="AN88" s="273"/>
      <c r="AO88" s="273"/>
      <c r="AP88" s="273"/>
    </row>
    <row r="89" spans="1:42" ht="12.75">
      <c r="A89" s="123">
        <v>44160</v>
      </c>
      <c r="B89" s="48"/>
      <c r="C89" s="48">
        <f>95.05-64</f>
        <v>31.049999999999997</v>
      </c>
      <c r="D89" s="48">
        <f>117-64</f>
        <v>53</v>
      </c>
      <c r="E89" s="48">
        <f>72.1-64</f>
        <v>8.0999999999999943</v>
      </c>
      <c r="F89" s="48">
        <f>92.95-64</f>
        <v>28.950000000000003</v>
      </c>
      <c r="G89" s="48"/>
      <c r="H89" s="48"/>
      <c r="I89" s="48"/>
      <c r="J89" s="48"/>
      <c r="K89" s="48"/>
      <c r="L89" s="48"/>
      <c r="M89" s="48"/>
      <c r="N89" s="48"/>
      <c r="O89" s="48">
        <f>90-64</f>
        <v>26</v>
      </c>
      <c r="P89" s="48">
        <f>103.85-64</f>
        <v>39.849999999999994</v>
      </c>
      <c r="Q89" s="48"/>
      <c r="R89" s="48"/>
      <c r="S89" s="48"/>
      <c r="T89" s="48"/>
      <c r="U89" s="48"/>
      <c r="V89" s="48"/>
      <c r="W89" s="48">
        <f t="shared" si="2"/>
        <v>186.95</v>
      </c>
      <c r="X89" s="48"/>
      <c r="Y89" s="48"/>
      <c r="Z89" s="48"/>
      <c r="AA89" s="48"/>
      <c r="AB89" s="48"/>
      <c r="AC89" s="48"/>
      <c r="AD89" s="48"/>
      <c r="AE89" s="48"/>
      <c r="AF89" s="48"/>
      <c r="AG89" s="48"/>
      <c r="AH89" s="48"/>
      <c r="AI89" s="48"/>
      <c r="AJ89" s="48"/>
      <c r="AK89" s="48"/>
      <c r="AL89" s="48"/>
      <c r="AM89" s="48"/>
      <c r="AN89" s="273"/>
      <c r="AO89" s="273"/>
      <c r="AP89" s="273"/>
    </row>
    <row r="90" spans="1:42" ht="12.75">
      <c r="A90" s="123">
        <v>44161</v>
      </c>
      <c r="B90" s="48"/>
      <c r="C90" s="48">
        <f>119.95-56.4-7</f>
        <v>56.550000000000004</v>
      </c>
      <c r="D90" s="48">
        <f>92.4-56.4-7</f>
        <v>29.000000000000007</v>
      </c>
      <c r="E90" s="48">
        <f>114.4-56.4-7</f>
        <v>51.000000000000007</v>
      </c>
      <c r="F90" s="48"/>
      <c r="G90" s="48"/>
      <c r="H90" s="48"/>
      <c r="I90" s="48"/>
      <c r="J90" s="48"/>
      <c r="K90" s="48"/>
      <c r="L90" s="48"/>
      <c r="M90" s="48"/>
      <c r="N90" s="48"/>
      <c r="O90" s="48">
        <f>138.7-56.4-7</f>
        <v>75.299999999999983</v>
      </c>
      <c r="P90" s="48">
        <f>102.9-56.4-7</f>
        <v>39.500000000000007</v>
      </c>
      <c r="Q90" s="48"/>
      <c r="R90" s="48"/>
      <c r="S90" s="48"/>
      <c r="T90" s="48"/>
      <c r="U90" s="48"/>
      <c r="V90" s="48"/>
      <c r="W90" s="48">
        <f t="shared" si="2"/>
        <v>251.35</v>
      </c>
      <c r="X90" s="48"/>
      <c r="Y90" s="48"/>
      <c r="Z90" s="48"/>
      <c r="AA90" s="48"/>
      <c r="AB90" s="48"/>
      <c r="AC90" s="48"/>
      <c r="AD90" s="48"/>
      <c r="AE90" s="48"/>
      <c r="AF90" s="48"/>
      <c r="AG90" s="48"/>
      <c r="AH90" s="48"/>
      <c r="AI90" s="48"/>
      <c r="AJ90" s="48"/>
      <c r="AK90" s="48"/>
      <c r="AL90" s="48"/>
      <c r="AM90" s="48"/>
      <c r="AN90" s="273"/>
      <c r="AO90" s="273"/>
      <c r="AP90" s="273"/>
    </row>
    <row r="91" spans="1:42" ht="12.75">
      <c r="A91" s="123">
        <v>44162</v>
      </c>
      <c r="B91" s="48"/>
      <c r="C91" s="48">
        <f>136.75-69-7</f>
        <v>60.75</v>
      </c>
      <c r="D91" s="48">
        <f>102-69-7</f>
        <v>26</v>
      </c>
      <c r="E91" s="48">
        <f>125.5-69-7</f>
        <v>49.5</v>
      </c>
      <c r="F91" s="48"/>
      <c r="G91" s="48"/>
      <c r="H91" s="48"/>
      <c r="I91" s="48"/>
      <c r="J91" s="48"/>
      <c r="K91" s="48"/>
      <c r="L91" s="48"/>
      <c r="M91" s="48"/>
      <c r="N91" s="48"/>
      <c r="O91" s="48">
        <f>133.45-69-7</f>
        <v>57.449999999999989</v>
      </c>
      <c r="P91" s="48">
        <f>128.35-69-7</f>
        <v>52.349999999999994</v>
      </c>
      <c r="Q91" s="48"/>
      <c r="R91" s="48"/>
      <c r="S91" s="48"/>
      <c r="T91" s="48"/>
      <c r="U91" s="48"/>
      <c r="V91" s="48"/>
      <c r="W91" s="48">
        <f t="shared" si="2"/>
        <v>246.04999999999998</v>
      </c>
      <c r="X91" s="48"/>
      <c r="Y91" s="48"/>
      <c r="Z91" s="48"/>
      <c r="AA91" s="48"/>
      <c r="AB91" s="48"/>
      <c r="AC91" s="48"/>
      <c r="AD91" s="48"/>
      <c r="AE91" s="48"/>
      <c r="AF91" s="48"/>
      <c r="AG91" s="48"/>
      <c r="AH91" s="48"/>
      <c r="AI91" s="48"/>
      <c r="AJ91" s="48"/>
      <c r="AK91" s="48"/>
      <c r="AL91" s="48"/>
      <c r="AM91" s="48"/>
      <c r="AN91" s="273"/>
      <c r="AO91" s="273"/>
      <c r="AP91" s="273"/>
    </row>
    <row r="92" spans="1:42" ht="12.75">
      <c r="A92" s="123">
        <v>44166</v>
      </c>
      <c r="B92" s="48"/>
      <c r="C92" s="48"/>
      <c r="D92" s="48"/>
      <c r="E92" s="48"/>
      <c r="F92" s="48"/>
      <c r="G92" s="48"/>
      <c r="H92" s="48"/>
      <c r="I92" s="48"/>
      <c r="J92" s="48"/>
      <c r="K92" s="48"/>
      <c r="L92" s="48"/>
      <c r="M92" s="48"/>
      <c r="N92" s="48"/>
      <c r="O92" s="48">
        <f>94.35-7-56.5</f>
        <v>30.849999999999994</v>
      </c>
      <c r="P92" s="48">
        <f>87.3-7-56.5</f>
        <v>23.799999999999997</v>
      </c>
      <c r="Q92" s="48"/>
      <c r="R92" s="48"/>
      <c r="S92" s="48"/>
      <c r="T92" s="48"/>
      <c r="U92" s="48"/>
      <c r="V92" s="48"/>
      <c r="W92" s="48">
        <f t="shared" si="2"/>
        <v>54.649999999999991</v>
      </c>
      <c r="X92" s="48"/>
      <c r="Y92" s="48"/>
      <c r="Z92" s="48"/>
      <c r="AA92" s="48"/>
      <c r="AB92" s="48"/>
      <c r="AC92" s="48"/>
      <c r="AD92" s="48"/>
      <c r="AE92" s="48"/>
      <c r="AF92" s="48"/>
      <c r="AG92" s="48"/>
      <c r="AH92" s="48"/>
      <c r="AI92" s="48"/>
      <c r="AJ92" s="48"/>
      <c r="AK92" s="48"/>
      <c r="AL92" s="48"/>
      <c r="AM92" s="48"/>
      <c r="AN92" s="273"/>
      <c r="AO92" s="273"/>
      <c r="AP92" s="273"/>
    </row>
    <row r="93" spans="1:42" ht="12.75">
      <c r="A93" s="123">
        <v>44176</v>
      </c>
      <c r="B93" s="48"/>
      <c r="C93" s="48"/>
      <c r="D93" s="48"/>
      <c r="E93" s="48"/>
      <c r="F93" s="48"/>
      <c r="G93" s="48"/>
      <c r="H93" s="48"/>
      <c r="I93" s="48"/>
      <c r="J93" s="48"/>
      <c r="K93" s="48"/>
      <c r="L93" s="48"/>
      <c r="M93" s="48"/>
      <c r="N93" s="48"/>
      <c r="O93" s="48"/>
      <c r="P93" s="48"/>
      <c r="Q93" s="48"/>
      <c r="R93" s="48"/>
      <c r="S93" s="48"/>
      <c r="T93" s="48"/>
      <c r="U93" s="48"/>
      <c r="V93" s="48"/>
      <c r="W93" s="48">
        <v>130</v>
      </c>
      <c r="X93" s="48" t="s">
        <v>1846</v>
      </c>
      <c r="Y93" s="48"/>
      <c r="Z93" s="48"/>
      <c r="AA93" s="48"/>
      <c r="AB93" s="48"/>
      <c r="AC93" s="48"/>
      <c r="AD93" s="48"/>
      <c r="AE93" s="48"/>
      <c r="AF93" s="48"/>
      <c r="AG93" s="48"/>
      <c r="AH93" s="48"/>
      <c r="AI93" s="48"/>
      <c r="AJ93" s="48"/>
      <c r="AK93" s="48"/>
      <c r="AL93" s="48"/>
      <c r="AM93" s="48"/>
      <c r="AN93" s="273"/>
      <c r="AO93" s="273"/>
      <c r="AP93" s="273"/>
    </row>
    <row r="94" spans="1:42" ht="12.75">
      <c r="A94" s="123">
        <v>44216</v>
      </c>
      <c r="B94" s="48"/>
      <c r="C94" s="48">
        <f>76.05-57.45-7</f>
        <v>11.599999999999994</v>
      </c>
      <c r="D94" s="48">
        <f>94.3-7-57.45</f>
        <v>29.849999999999994</v>
      </c>
      <c r="E94" s="48"/>
      <c r="F94" s="48"/>
      <c r="G94" s="48"/>
      <c r="H94" s="48"/>
      <c r="I94" s="48"/>
      <c r="J94" s="48"/>
      <c r="K94" s="48"/>
      <c r="L94" s="48"/>
      <c r="M94" s="48"/>
      <c r="N94" s="48"/>
      <c r="O94" s="48">
        <f>114.2-7-57.45</f>
        <v>49.75</v>
      </c>
      <c r="P94" s="48">
        <f>100.1-7-57.45</f>
        <v>35.649999999999991</v>
      </c>
      <c r="Q94" s="48"/>
      <c r="R94" s="48"/>
      <c r="S94" s="48"/>
      <c r="T94" s="48"/>
      <c r="U94" s="48"/>
      <c r="V94" s="48"/>
      <c r="W94" s="48">
        <f t="shared" si="2"/>
        <v>126.84999999999998</v>
      </c>
      <c r="X94" s="48"/>
      <c r="Y94" s="48"/>
      <c r="Z94" s="48"/>
      <c r="AA94" s="48"/>
      <c r="AB94" s="48"/>
      <c r="AC94" s="48"/>
      <c r="AD94" s="48"/>
      <c r="AE94" s="48"/>
      <c r="AF94" s="48"/>
      <c r="AG94" s="48"/>
      <c r="AH94" s="48"/>
      <c r="AI94" s="48"/>
      <c r="AJ94" s="48"/>
      <c r="AK94" s="48"/>
      <c r="AL94" s="48"/>
      <c r="AM94" s="48"/>
      <c r="AN94" s="273"/>
      <c r="AO94" s="273"/>
      <c r="AP94" s="273"/>
    </row>
    <row r="95" spans="1:42" ht="12.75">
      <c r="A95" s="123">
        <v>44217</v>
      </c>
      <c r="B95" s="48"/>
      <c r="C95" s="48"/>
      <c r="D95" s="48"/>
      <c r="E95" s="48"/>
      <c r="F95" s="48"/>
      <c r="G95" s="48"/>
      <c r="H95" s="48"/>
      <c r="I95" s="48"/>
      <c r="J95" s="48"/>
      <c r="K95" s="48"/>
      <c r="L95" s="48"/>
      <c r="M95" s="48"/>
      <c r="N95" s="48"/>
      <c r="O95" s="48"/>
      <c r="P95" s="48"/>
      <c r="Q95" s="48"/>
      <c r="R95" s="48"/>
      <c r="S95" s="48"/>
      <c r="T95" s="48"/>
      <c r="U95" s="48"/>
      <c r="V95" s="48"/>
      <c r="W95" s="48">
        <f t="shared" si="2"/>
        <v>0</v>
      </c>
      <c r="X95" s="48"/>
      <c r="Y95" s="48"/>
      <c r="Z95" s="48"/>
      <c r="AA95" s="48"/>
      <c r="AB95" s="48"/>
      <c r="AC95" s="48"/>
      <c r="AD95" s="48"/>
      <c r="AE95" s="48"/>
      <c r="AF95" s="48"/>
      <c r="AG95" s="48"/>
      <c r="AH95" s="48"/>
      <c r="AI95" s="48"/>
      <c r="AJ95" s="48"/>
      <c r="AK95" s="48"/>
      <c r="AL95" s="48"/>
      <c r="AM95" s="48"/>
      <c r="AN95" s="273"/>
      <c r="AO95" s="273"/>
      <c r="AP95" s="273"/>
    </row>
    <row r="96" spans="1:42" ht="12.75">
      <c r="A96" s="123">
        <v>44218</v>
      </c>
      <c r="B96" s="48"/>
      <c r="C96" s="48">
        <f>74.45-7-58.25</f>
        <v>9.2000000000000028</v>
      </c>
      <c r="D96" s="48"/>
      <c r="E96" s="48">
        <f>100.1-7-58.25</f>
        <v>34.849999999999994</v>
      </c>
      <c r="F96" s="48">
        <f>75.1-7-58.25</f>
        <v>9.8499999999999943</v>
      </c>
      <c r="G96" s="48"/>
      <c r="H96" s="48"/>
      <c r="I96" s="48"/>
      <c r="J96" s="48"/>
      <c r="K96" s="48"/>
      <c r="L96" s="48"/>
      <c r="M96" s="48"/>
      <c r="N96" s="48"/>
      <c r="O96" s="48">
        <f>96.35-7-58.25</f>
        <v>31.099999999999994</v>
      </c>
      <c r="P96" s="48">
        <f>116-7-58.25</f>
        <v>50.75</v>
      </c>
      <c r="Q96" s="48"/>
      <c r="R96" s="48"/>
      <c r="S96" s="48"/>
      <c r="T96" s="48"/>
      <c r="U96" s="48"/>
      <c r="V96" s="48"/>
      <c r="W96" s="48">
        <f t="shared" si="2"/>
        <v>135.75</v>
      </c>
      <c r="X96" s="48"/>
      <c r="Y96" s="48"/>
      <c r="Z96" s="48"/>
      <c r="AA96" s="48"/>
      <c r="AB96" s="48"/>
      <c r="AC96" s="48"/>
      <c r="AD96" s="48"/>
      <c r="AE96" s="48"/>
      <c r="AF96" s="48"/>
      <c r="AG96" s="48"/>
      <c r="AH96" s="48"/>
      <c r="AI96" s="48"/>
      <c r="AJ96" s="48"/>
      <c r="AK96" s="48"/>
      <c r="AL96" s="48"/>
      <c r="AM96" s="48"/>
      <c r="AN96" s="273"/>
      <c r="AO96" s="273"/>
      <c r="AP96" s="273"/>
    </row>
    <row r="97" spans="1:42" ht="12.75">
      <c r="A97" s="123">
        <v>44219</v>
      </c>
      <c r="B97" s="48"/>
      <c r="C97" s="48"/>
      <c r="D97" s="48"/>
      <c r="E97" s="48"/>
      <c r="F97" s="48"/>
      <c r="G97" s="48"/>
      <c r="H97" s="48"/>
      <c r="I97" s="48"/>
      <c r="J97" s="48"/>
      <c r="K97" s="48"/>
      <c r="L97" s="48"/>
      <c r="M97" s="48"/>
      <c r="N97" s="48"/>
      <c r="O97" s="48"/>
      <c r="P97" s="48"/>
      <c r="Q97" s="48"/>
      <c r="R97" s="48"/>
      <c r="S97" s="48"/>
      <c r="T97" s="48"/>
      <c r="U97" s="48"/>
      <c r="V97" s="48"/>
      <c r="W97" s="48">
        <f t="shared" si="2"/>
        <v>0</v>
      </c>
      <c r="X97" s="48"/>
      <c r="Y97" s="48"/>
      <c r="Z97" s="48"/>
      <c r="AA97" s="48"/>
      <c r="AB97" s="48"/>
      <c r="AC97" s="48"/>
      <c r="AD97" s="48"/>
      <c r="AE97" s="48"/>
      <c r="AF97" s="48"/>
      <c r="AG97" s="48"/>
      <c r="AH97" s="48"/>
      <c r="AI97" s="48"/>
      <c r="AJ97" s="48"/>
      <c r="AK97" s="48"/>
      <c r="AL97" s="48"/>
      <c r="AM97" s="48"/>
      <c r="AN97" s="273"/>
      <c r="AO97" s="273"/>
      <c r="AP97" s="273"/>
    </row>
    <row r="98" spans="1:42" ht="12.75">
      <c r="A98" s="123">
        <v>44220</v>
      </c>
      <c r="B98" s="48"/>
      <c r="C98" s="48"/>
      <c r="D98" s="48"/>
      <c r="E98" s="48"/>
      <c r="F98" s="48"/>
      <c r="G98" s="48"/>
      <c r="H98" s="48"/>
      <c r="I98" s="48"/>
      <c r="J98" s="48"/>
      <c r="K98" s="48"/>
      <c r="L98" s="48"/>
      <c r="M98" s="48"/>
      <c r="N98" s="48"/>
      <c r="O98" s="48"/>
      <c r="P98" s="48"/>
      <c r="Q98" s="48"/>
      <c r="R98" s="48"/>
      <c r="S98" s="48"/>
      <c r="T98" s="48"/>
      <c r="U98" s="48"/>
      <c r="V98" s="48"/>
      <c r="W98" s="48">
        <f t="shared" si="2"/>
        <v>0</v>
      </c>
      <c r="X98" s="48"/>
      <c r="Y98" s="48"/>
      <c r="Z98" s="48"/>
      <c r="AA98" s="48"/>
      <c r="AB98" s="48"/>
      <c r="AC98" s="48"/>
      <c r="AD98" s="48"/>
      <c r="AE98" s="48"/>
      <c r="AF98" s="48"/>
      <c r="AG98" s="48"/>
      <c r="AH98" s="48"/>
      <c r="AI98" s="48"/>
      <c r="AJ98" s="48"/>
      <c r="AK98" s="48"/>
      <c r="AL98" s="48"/>
      <c r="AM98" s="48"/>
      <c r="AN98" s="273"/>
      <c r="AO98" s="273"/>
      <c r="AP98" s="273"/>
    </row>
    <row r="99" spans="1:42" ht="12.75">
      <c r="A99" s="123">
        <v>44221</v>
      </c>
      <c r="B99" s="48"/>
      <c r="C99" s="48"/>
      <c r="D99" s="48"/>
      <c r="E99" s="48"/>
      <c r="F99" s="48"/>
      <c r="G99" s="48"/>
      <c r="H99" s="48"/>
      <c r="I99" s="48"/>
      <c r="J99" s="48"/>
      <c r="K99" s="48"/>
      <c r="L99" s="48"/>
      <c r="M99" s="48"/>
      <c r="N99" s="48"/>
      <c r="O99" s="48"/>
      <c r="P99" s="48"/>
      <c r="Q99" s="48"/>
      <c r="R99" s="48"/>
      <c r="S99" s="48"/>
      <c r="T99" s="48"/>
      <c r="U99" s="48"/>
      <c r="V99" s="48"/>
      <c r="W99" s="48">
        <f t="shared" si="2"/>
        <v>0</v>
      </c>
      <c r="X99" s="48"/>
      <c r="Y99" s="48"/>
      <c r="Z99" s="48"/>
      <c r="AA99" s="48"/>
      <c r="AB99" s="48"/>
      <c r="AC99" s="48"/>
      <c r="AD99" s="48"/>
      <c r="AE99" s="48"/>
      <c r="AF99" s="48"/>
      <c r="AG99" s="48"/>
      <c r="AH99" s="48"/>
      <c r="AI99" s="48"/>
      <c r="AJ99" s="48"/>
      <c r="AK99" s="48"/>
      <c r="AL99" s="48"/>
      <c r="AM99" s="48"/>
      <c r="AN99" s="273"/>
      <c r="AO99" s="273"/>
      <c r="AP99" s="273"/>
    </row>
    <row r="100" spans="1:42" ht="12.75">
      <c r="A100" s="123">
        <v>44222</v>
      </c>
      <c r="B100" s="48"/>
      <c r="C100" s="48"/>
      <c r="D100" s="48"/>
      <c r="E100" s="48"/>
      <c r="F100" s="48"/>
      <c r="G100" s="48"/>
      <c r="H100" s="48"/>
      <c r="I100" s="48"/>
      <c r="J100" s="48"/>
      <c r="K100" s="48"/>
      <c r="L100" s="48"/>
      <c r="M100" s="48"/>
      <c r="N100" s="48"/>
      <c r="O100" s="48"/>
      <c r="P100" s="48"/>
      <c r="Q100" s="48"/>
      <c r="R100" s="48"/>
      <c r="S100" s="48"/>
      <c r="T100" s="48"/>
      <c r="U100" s="48"/>
      <c r="V100" s="48"/>
      <c r="W100" s="48">
        <f t="shared" si="2"/>
        <v>0</v>
      </c>
      <c r="X100" s="48"/>
      <c r="Y100" s="48"/>
      <c r="Z100" s="48"/>
      <c r="AA100" s="48"/>
      <c r="AB100" s="48"/>
      <c r="AC100" s="48"/>
      <c r="AD100" s="48"/>
      <c r="AE100" s="48"/>
      <c r="AF100" s="48"/>
      <c r="AG100" s="48"/>
      <c r="AH100" s="48"/>
      <c r="AI100" s="48"/>
      <c r="AJ100" s="48"/>
      <c r="AK100" s="48"/>
      <c r="AL100" s="48"/>
      <c r="AM100" s="48"/>
      <c r="AN100" s="273"/>
      <c r="AO100" s="273"/>
      <c r="AP100" s="273"/>
    </row>
    <row r="101" spans="1:42" ht="12.75">
      <c r="A101" s="123">
        <v>44223</v>
      </c>
      <c r="B101" s="48"/>
      <c r="C101" s="48">
        <f>88.1-7-67.95</f>
        <v>13.149999999999991</v>
      </c>
      <c r="D101" s="48">
        <f>85.05-7-67.95</f>
        <v>10.099999999999994</v>
      </c>
      <c r="E101" s="48"/>
      <c r="F101" s="48"/>
      <c r="G101" s="48"/>
      <c r="H101" s="48"/>
      <c r="I101" s="48"/>
      <c r="J101" s="48"/>
      <c r="K101" s="48"/>
      <c r="L101" s="48"/>
      <c r="M101" s="48"/>
      <c r="N101" s="48"/>
      <c r="O101" s="48">
        <f>121.55-7-67.95</f>
        <v>46.599999999999994</v>
      </c>
      <c r="P101" s="48">
        <f>95.8-7-67.95</f>
        <v>20.849999999999994</v>
      </c>
      <c r="Q101" s="48"/>
      <c r="R101" s="48"/>
      <c r="S101" s="48"/>
      <c r="T101" s="48"/>
      <c r="U101" s="48"/>
      <c r="V101" s="48"/>
      <c r="W101" s="48">
        <f t="shared" si="2"/>
        <v>90.699999999999974</v>
      </c>
      <c r="X101" s="48"/>
      <c r="Y101" s="48"/>
      <c r="Z101" s="48"/>
      <c r="AA101" s="48"/>
      <c r="AB101" s="48"/>
      <c r="AC101" s="48"/>
      <c r="AD101" s="48"/>
      <c r="AE101" s="48"/>
      <c r="AF101" s="48"/>
      <c r="AG101" s="48"/>
      <c r="AH101" s="48"/>
      <c r="AI101" s="48"/>
      <c r="AJ101" s="48"/>
      <c r="AK101" s="48"/>
      <c r="AL101" s="48"/>
      <c r="AM101" s="48"/>
      <c r="AN101" s="273"/>
      <c r="AO101" s="273"/>
      <c r="AP101" s="273"/>
    </row>
    <row r="102" spans="1:42" ht="12.75">
      <c r="A102" s="123">
        <v>44224</v>
      </c>
      <c r="B102" s="48"/>
      <c r="C102" s="48"/>
      <c r="D102" s="48"/>
      <c r="E102" s="48"/>
      <c r="F102" s="48"/>
      <c r="G102" s="48"/>
      <c r="H102" s="48"/>
      <c r="I102" s="48"/>
      <c r="J102" s="48"/>
      <c r="K102" s="48"/>
      <c r="L102" s="48"/>
      <c r="M102" s="48"/>
      <c r="N102" s="48"/>
      <c r="O102" s="48"/>
      <c r="P102" s="48"/>
      <c r="Q102" s="48"/>
      <c r="R102" s="48"/>
      <c r="S102" s="48"/>
      <c r="T102" s="48"/>
      <c r="U102" s="48"/>
      <c r="V102" s="48"/>
      <c r="W102" s="48">
        <f t="shared" si="2"/>
        <v>0</v>
      </c>
      <c r="X102" s="48"/>
      <c r="Y102" s="48"/>
      <c r="Z102" s="48"/>
      <c r="AA102" s="48"/>
      <c r="AB102" s="48"/>
      <c r="AC102" s="48"/>
      <c r="AD102" s="48"/>
      <c r="AE102" s="48"/>
      <c r="AF102" s="48"/>
      <c r="AG102" s="48"/>
      <c r="AH102" s="48"/>
      <c r="AI102" s="48"/>
      <c r="AJ102" s="48"/>
      <c r="AK102" s="48"/>
      <c r="AL102" s="48"/>
      <c r="AM102" s="48"/>
      <c r="AN102" s="273"/>
      <c r="AO102" s="273"/>
      <c r="AP102" s="273"/>
    </row>
    <row r="103" spans="1:42" ht="12.75">
      <c r="A103" s="123">
        <v>44225</v>
      </c>
      <c r="B103" s="48"/>
      <c r="C103" s="48"/>
      <c r="D103" s="48"/>
      <c r="E103" s="48"/>
      <c r="F103" s="48"/>
      <c r="G103" s="48"/>
      <c r="H103" s="48"/>
      <c r="I103" s="48"/>
      <c r="J103" s="48"/>
      <c r="K103" s="48"/>
      <c r="L103" s="48"/>
      <c r="M103" s="48"/>
      <c r="N103" s="48"/>
      <c r="O103" s="48">
        <f>85.9-7-56.45</f>
        <v>22.450000000000003</v>
      </c>
      <c r="P103" s="48">
        <f>132.55-7-56.45</f>
        <v>69.100000000000009</v>
      </c>
      <c r="Q103" s="48"/>
      <c r="R103" s="48"/>
      <c r="S103" s="48"/>
      <c r="T103" s="48"/>
      <c r="U103" s="48"/>
      <c r="V103" s="48"/>
      <c r="W103" s="48">
        <f t="shared" si="2"/>
        <v>91.550000000000011</v>
      </c>
      <c r="X103" s="48"/>
      <c r="Y103" s="48"/>
      <c r="Z103" s="48"/>
      <c r="AA103" s="48"/>
      <c r="AB103" s="48"/>
      <c r="AC103" s="48"/>
      <c r="AD103" s="48"/>
      <c r="AE103" s="48"/>
      <c r="AF103" s="48"/>
      <c r="AG103" s="48"/>
      <c r="AH103" s="48"/>
      <c r="AI103" s="48"/>
      <c r="AJ103" s="48"/>
      <c r="AK103" s="48"/>
      <c r="AL103" s="48"/>
      <c r="AM103" s="48"/>
      <c r="AN103" s="273"/>
      <c r="AO103" s="273"/>
      <c r="AP103" s="273"/>
    </row>
    <row r="104" spans="1:42" ht="12.75">
      <c r="A104" s="123">
        <v>44226</v>
      </c>
      <c r="B104" s="48"/>
      <c r="C104" s="48"/>
      <c r="D104" s="48"/>
      <c r="E104" s="48"/>
      <c r="F104" s="48"/>
      <c r="G104" s="48"/>
      <c r="H104" s="48"/>
      <c r="I104" s="48"/>
      <c r="J104" s="48"/>
      <c r="K104" s="48"/>
      <c r="L104" s="48"/>
      <c r="M104" s="48"/>
      <c r="N104" s="48"/>
      <c r="O104" s="48"/>
      <c r="P104" s="48"/>
      <c r="Q104" s="48"/>
      <c r="R104" s="48"/>
      <c r="S104" s="48"/>
      <c r="T104" s="48"/>
      <c r="U104" s="48"/>
      <c r="V104" s="48"/>
      <c r="W104" s="48">
        <f t="shared" si="2"/>
        <v>0</v>
      </c>
      <c r="X104" s="48"/>
      <c r="Y104" s="48"/>
      <c r="Z104" s="48"/>
      <c r="AA104" s="48"/>
      <c r="AB104" s="48"/>
      <c r="AC104" s="48"/>
      <c r="AD104" s="48"/>
      <c r="AE104" s="48"/>
      <c r="AF104" s="48"/>
      <c r="AG104" s="48"/>
      <c r="AH104" s="48"/>
      <c r="AI104" s="48"/>
      <c r="AJ104" s="48"/>
      <c r="AK104" s="48"/>
      <c r="AL104" s="48"/>
      <c r="AM104" s="48"/>
      <c r="AN104" s="273"/>
      <c r="AO104" s="273"/>
      <c r="AP104" s="273"/>
    </row>
    <row r="105" spans="1:42" ht="12.75">
      <c r="A105" s="123">
        <v>44227</v>
      </c>
      <c r="B105" s="48"/>
      <c r="C105" s="48"/>
      <c r="D105" s="48"/>
      <c r="E105" s="48"/>
      <c r="F105" s="48"/>
      <c r="G105" s="48"/>
      <c r="H105" s="48"/>
      <c r="I105" s="48"/>
      <c r="J105" s="48"/>
      <c r="K105" s="48"/>
      <c r="L105" s="48"/>
      <c r="M105" s="48"/>
      <c r="N105" s="48"/>
      <c r="O105" s="48"/>
      <c r="P105" s="48"/>
      <c r="Q105" s="48"/>
      <c r="R105" s="48"/>
      <c r="S105" s="48"/>
      <c r="T105" s="48"/>
      <c r="U105" s="48"/>
      <c r="V105" s="48"/>
      <c r="W105" s="48">
        <f t="shared" si="2"/>
        <v>0</v>
      </c>
      <c r="X105" s="48"/>
      <c r="Y105" s="48"/>
      <c r="Z105" s="48"/>
      <c r="AA105" s="48"/>
      <c r="AB105" s="48"/>
      <c r="AC105" s="48"/>
      <c r="AD105" s="48"/>
      <c r="AE105" s="48"/>
      <c r="AF105" s="48"/>
      <c r="AG105" s="48"/>
      <c r="AH105" s="48"/>
      <c r="AI105" s="48"/>
      <c r="AJ105" s="48"/>
      <c r="AK105" s="48"/>
      <c r="AL105" s="48"/>
      <c r="AM105" s="48"/>
      <c r="AN105" s="273"/>
      <c r="AO105" s="273"/>
      <c r="AP105" s="273"/>
    </row>
    <row r="106" spans="1:42" ht="12.75">
      <c r="A106" s="123">
        <v>44228</v>
      </c>
      <c r="B106" s="48"/>
      <c r="C106" s="48"/>
      <c r="D106" s="48"/>
      <c r="E106" s="48"/>
      <c r="F106" s="48"/>
      <c r="G106" s="48"/>
      <c r="H106" s="48"/>
      <c r="I106" s="48"/>
      <c r="J106" s="48"/>
      <c r="K106" s="48"/>
      <c r="L106" s="48"/>
      <c r="M106" s="48"/>
      <c r="N106" s="48"/>
      <c r="O106" s="48"/>
      <c r="P106" s="48"/>
      <c r="Q106" s="48"/>
      <c r="R106" s="48"/>
      <c r="S106" s="48"/>
      <c r="T106" s="48"/>
      <c r="U106" s="48"/>
      <c r="V106" s="48"/>
      <c r="W106" s="48">
        <f t="shared" si="2"/>
        <v>0</v>
      </c>
      <c r="X106" s="48"/>
      <c r="Y106" s="48"/>
      <c r="Z106" s="48"/>
      <c r="AA106" s="48"/>
      <c r="AB106" s="48"/>
      <c r="AC106" s="48"/>
      <c r="AD106" s="48"/>
      <c r="AE106" s="48"/>
      <c r="AF106" s="48"/>
      <c r="AG106" s="48"/>
      <c r="AH106" s="48"/>
      <c r="AI106" s="48"/>
      <c r="AJ106" s="48"/>
      <c r="AK106" s="48"/>
      <c r="AL106" s="48"/>
      <c r="AM106" s="48"/>
      <c r="AN106" s="273"/>
      <c r="AO106" s="273"/>
      <c r="AP106" s="273"/>
    </row>
    <row r="107" spans="1:42" ht="12.75">
      <c r="B107" s="48"/>
      <c r="C107" s="48"/>
      <c r="D107" s="48"/>
      <c r="E107" s="48"/>
      <c r="F107" s="48"/>
      <c r="G107" s="48"/>
      <c r="H107" s="48"/>
      <c r="I107" s="48"/>
      <c r="J107" s="48"/>
      <c r="K107" s="48"/>
      <c r="L107" s="48"/>
      <c r="M107" s="48"/>
      <c r="N107" s="48"/>
      <c r="O107" s="48"/>
      <c r="P107" s="48"/>
      <c r="Q107" s="48"/>
      <c r="R107" s="48"/>
      <c r="S107" s="48"/>
      <c r="T107" s="48"/>
      <c r="U107" s="48"/>
      <c r="V107" s="48"/>
      <c r="W107" s="48">
        <f t="shared" si="2"/>
        <v>0</v>
      </c>
      <c r="X107" s="48"/>
      <c r="Y107" s="48"/>
      <c r="Z107" s="48"/>
      <c r="AA107" s="48"/>
      <c r="AB107" s="48"/>
      <c r="AC107" s="48"/>
      <c r="AD107" s="48"/>
      <c r="AE107" s="48"/>
      <c r="AF107" s="48"/>
      <c r="AG107" s="48"/>
      <c r="AH107" s="48"/>
      <c r="AI107" s="48"/>
      <c r="AJ107" s="48"/>
      <c r="AK107" s="48"/>
      <c r="AL107" s="48"/>
      <c r="AM107" s="48"/>
      <c r="AN107" s="273"/>
      <c r="AO107" s="273"/>
      <c r="AP107" s="273"/>
    </row>
    <row r="108" spans="1:42" ht="12.75">
      <c r="B108" s="48"/>
      <c r="C108" s="48"/>
      <c r="D108" s="48"/>
      <c r="E108" s="48"/>
      <c r="F108" s="48"/>
      <c r="G108" s="48"/>
      <c r="H108" s="48"/>
      <c r="I108" s="48"/>
      <c r="J108" s="48"/>
      <c r="K108" s="48"/>
      <c r="L108" s="48"/>
      <c r="M108" s="48"/>
      <c r="N108" s="48"/>
      <c r="O108" s="48"/>
      <c r="P108" s="48"/>
      <c r="Q108" s="48"/>
      <c r="R108" s="48"/>
      <c r="S108" s="48"/>
      <c r="T108" s="48"/>
      <c r="U108" s="48"/>
      <c r="V108" s="48"/>
      <c r="W108" s="48">
        <f t="shared" si="2"/>
        <v>0</v>
      </c>
      <c r="X108" s="48"/>
      <c r="Y108" s="48"/>
      <c r="Z108" s="48"/>
      <c r="AA108" s="48"/>
      <c r="AB108" s="48"/>
      <c r="AC108" s="48"/>
      <c r="AD108" s="48"/>
      <c r="AE108" s="48"/>
      <c r="AF108" s="48"/>
      <c r="AG108" s="48"/>
      <c r="AH108" s="48"/>
      <c r="AI108" s="48"/>
      <c r="AJ108" s="48"/>
      <c r="AK108" s="48"/>
      <c r="AL108" s="48"/>
      <c r="AM108" s="48"/>
      <c r="AN108" s="273"/>
      <c r="AO108" s="273"/>
      <c r="AP108" s="273"/>
    </row>
    <row r="109" spans="1:42" ht="12.75">
      <c r="B109" s="48"/>
      <c r="C109" s="48"/>
      <c r="D109" s="48"/>
      <c r="E109" s="48"/>
      <c r="F109" s="48"/>
      <c r="G109" s="48"/>
      <c r="H109" s="48"/>
      <c r="I109" s="48"/>
      <c r="J109" s="48"/>
      <c r="K109" s="48"/>
      <c r="L109" s="48"/>
      <c r="M109" s="48"/>
      <c r="N109" s="48"/>
      <c r="O109" s="48"/>
      <c r="P109" s="48"/>
      <c r="Q109" s="48"/>
      <c r="R109" s="48"/>
      <c r="S109" s="48"/>
      <c r="T109" s="48"/>
      <c r="U109" s="48"/>
      <c r="V109" s="48"/>
      <c r="W109" s="48">
        <f t="shared" si="2"/>
        <v>0</v>
      </c>
      <c r="X109" s="48"/>
      <c r="Y109" s="48"/>
      <c r="Z109" s="48"/>
      <c r="AA109" s="48"/>
      <c r="AB109" s="48"/>
      <c r="AC109" s="48"/>
      <c r="AD109" s="48"/>
      <c r="AE109" s="48"/>
      <c r="AF109" s="48"/>
      <c r="AG109" s="48"/>
      <c r="AH109" s="48"/>
      <c r="AI109" s="48"/>
      <c r="AJ109" s="48"/>
      <c r="AK109" s="48"/>
      <c r="AL109" s="48"/>
      <c r="AM109" s="48"/>
      <c r="AN109" s="273"/>
      <c r="AO109" s="273"/>
      <c r="AP109" s="273"/>
    </row>
    <row r="110" spans="1:42" ht="12.75">
      <c r="B110" s="48"/>
      <c r="C110" s="48"/>
      <c r="D110" s="48"/>
      <c r="E110" s="48"/>
      <c r="F110" s="48"/>
      <c r="G110" s="48"/>
      <c r="H110" s="48"/>
      <c r="I110" s="48"/>
      <c r="J110" s="48"/>
      <c r="K110" s="48"/>
      <c r="L110" s="48"/>
      <c r="M110" s="48"/>
      <c r="N110" s="48"/>
      <c r="O110" s="48"/>
      <c r="P110" s="48"/>
      <c r="Q110" s="48"/>
      <c r="R110" s="48"/>
      <c r="S110" s="48"/>
      <c r="T110" s="48"/>
      <c r="U110" s="48"/>
      <c r="V110" s="48"/>
      <c r="W110" s="48">
        <f t="shared" si="2"/>
        <v>0</v>
      </c>
      <c r="X110" s="48"/>
      <c r="Y110" s="48"/>
      <c r="Z110" s="48"/>
      <c r="AA110" s="48"/>
      <c r="AB110" s="48"/>
      <c r="AC110" s="48"/>
      <c r="AD110" s="48"/>
      <c r="AE110" s="48"/>
      <c r="AF110" s="48"/>
      <c r="AG110" s="48"/>
      <c r="AH110" s="48"/>
      <c r="AI110" s="48"/>
      <c r="AJ110" s="48"/>
      <c r="AK110" s="48"/>
      <c r="AL110" s="48"/>
      <c r="AM110" s="48"/>
      <c r="AN110" s="273"/>
      <c r="AO110" s="273"/>
      <c r="AP110" s="273"/>
    </row>
    <row r="111" spans="1:42" ht="12.75">
      <c r="B111" s="48"/>
      <c r="C111" s="48"/>
      <c r="D111" s="48"/>
      <c r="E111" s="48"/>
      <c r="F111" s="48"/>
      <c r="G111" s="48"/>
      <c r="H111" s="48"/>
      <c r="I111" s="48"/>
      <c r="J111" s="48"/>
      <c r="K111" s="48"/>
      <c r="L111" s="48"/>
      <c r="M111" s="48"/>
      <c r="N111" s="48"/>
      <c r="O111" s="48"/>
      <c r="P111" s="48"/>
      <c r="Q111" s="48"/>
      <c r="R111" s="48"/>
      <c r="S111" s="48"/>
      <c r="T111" s="48"/>
      <c r="U111" s="48"/>
      <c r="V111" s="48"/>
      <c r="W111" s="48">
        <f t="shared" si="2"/>
        <v>0</v>
      </c>
      <c r="X111" s="48"/>
      <c r="Y111" s="48"/>
      <c r="Z111" s="48"/>
      <c r="AA111" s="48"/>
      <c r="AB111" s="48"/>
      <c r="AC111" s="48"/>
      <c r="AD111" s="48"/>
      <c r="AE111" s="48"/>
      <c r="AF111" s="48"/>
      <c r="AG111" s="48"/>
      <c r="AH111" s="48"/>
      <c r="AI111" s="48"/>
      <c r="AJ111" s="48"/>
      <c r="AK111" s="48"/>
      <c r="AL111" s="48"/>
      <c r="AM111" s="48"/>
      <c r="AN111" s="273"/>
      <c r="AO111" s="273"/>
      <c r="AP111" s="273"/>
    </row>
    <row r="112" spans="1:42" ht="12.75">
      <c r="B112" s="48"/>
      <c r="C112" s="48"/>
      <c r="D112" s="48"/>
      <c r="E112" s="48"/>
      <c r="F112" s="48"/>
      <c r="G112" s="48"/>
      <c r="H112" s="48"/>
      <c r="I112" s="48"/>
      <c r="J112" s="48"/>
      <c r="K112" s="48"/>
      <c r="L112" s="48"/>
      <c r="M112" s="48"/>
      <c r="N112" s="48"/>
      <c r="O112" s="48"/>
      <c r="P112" s="48"/>
      <c r="Q112" s="48"/>
      <c r="R112" s="48"/>
      <c r="S112" s="48"/>
      <c r="T112" s="48"/>
      <c r="U112" s="48"/>
      <c r="V112" s="48"/>
      <c r="W112" s="48">
        <f t="shared" si="2"/>
        <v>0</v>
      </c>
      <c r="X112" s="48"/>
      <c r="Y112" s="48"/>
      <c r="Z112" s="48"/>
      <c r="AA112" s="48"/>
      <c r="AB112" s="48"/>
      <c r="AC112" s="48"/>
      <c r="AD112" s="48"/>
      <c r="AE112" s="48"/>
      <c r="AF112" s="48"/>
      <c r="AG112" s="48"/>
      <c r="AH112" s="48"/>
      <c r="AI112" s="48"/>
      <c r="AJ112" s="48"/>
      <c r="AK112" s="48"/>
      <c r="AL112" s="48"/>
      <c r="AM112" s="48"/>
      <c r="AN112" s="273"/>
      <c r="AO112" s="273"/>
      <c r="AP112" s="273"/>
    </row>
    <row r="113" spans="2:42" ht="12.75">
      <c r="B113" s="48"/>
      <c r="C113" s="48"/>
      <c r="D113" s="48"/>
      <c r="E113" s="48"/>
      <c r="F113" s="48"/>
      <c r="G113" s="48"/>
      <c r="H113" s="48"/>
      <c r="I113" s="48"/>
      <c r="J113" s="48"/>
      <c r="K113" s="48"/>
      <c r="L113" s="48"/>
      <c r="M113" s="48"/>
      <c r="N113" s="48"/>
      <c r="O113" s="48"/>
      <c r="P113" s="48"/>
      <c r="Q113" s="48"/>
      <c r="R113" s="48"/>
      <c r="S113" s="48"/>
      <c r="T113" s="48"/>
      <c r="U113" s="48"/>
      <c r="V113" s="48"/>
      <c r="W113" s="48">
        <f t="shared" si="2"/>
        <v>0</v>
      </c>
      <c r="X113" s="48"/>
      <c r="Y113" s="48"/>
      <c r="Z113" s="48"/>
      <c r="AA113" s="48"/>
      <c r="AB113" s="48"/>
      <c r="AC113" s="48"/>
      <c r="AD113" s="48"/>
      <c r="AE113" s="48"/>
      <c r="AF113" s="48"/>
      <c r="AG113" s="48"/>
      <c r="AH113" s="48"/>
      <c r="AI113" s="48"/>
      <c r="AJ113" s="48"/>
      <c r="AK113" s="48"/>
      <c r="AL113" s="48"/>
      <c r="AM113" s="48"/>
      <c r="AN113" s="273"/>
      <c r="AO113" s="273"/>
      <c r="AP113" s="273"/>
    </row>
    <row r="114" spans="2:42" ht="12.75">
      <c r="B114" s="48"/>
      <c r="C114" s="48"/>
      <c r="D114" s="48"/>
      <c r="E114" s="48"/>
      <c r="F114" s="48"/>
      <c r="G114" s="48"/>
      <c r="H114" s="48"/>
      <c r="I114" s="48"/>
      <c r="J114" s="48"/>
      <c r="K114" s="48"/>
      <c r="L114" s="48"/>
      <c r="M114" s="48"/>
      <c r="N114" s="48"/>
      <c r="O114" s="48"/>
      <c r="P114" s="48"/>
      <c r="Q114" s="48"/>
      <c r="R114" s="48"/>
      <c r="S114" s="48"/>
      <c r="T114" s="48"/>
      <c r="U114" s="48"/>
      <c r="V114" s="48"/>
      <c r="W114" s="48">
        <f t="shared" si="2"/>
        <v>0</v>
      </c>
      <c r="X114" s="48"/>
      <c r="Y114" s="48"/>
      <c r="Z114" s="48"/>
      <c r="AA114" s="48"/>
      <c r="AB114" s="48"/>
      <c r="AC114" s="48"/>
      <c r="AD114" s="48"/>
      <c r="AE114" s="48"/>
      <c r="AF114" s="48"/>
      <c r="AG114" s="48"/>
      <c r="AH114" s="48"/>
      <c r="AI114" s="48"/>
      <c r="AJ114" s="48"/>
      <c r="AK114" s="48"/>
      <c r="AL114" s="48"/>
      <c r="AM114" s="48"/>
      <c r="AN114" s="273"/>
      <c r="AO114" s="273"/>
      <c r="AP114" s="273"/>
    </row>
    <row r="115" spans="2:42" ht="12.75">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273"/>
      <c r="AO115" s="273"/>
      <c r="AP115" s="273"/>
    </row>
    <row r="116" spans="2:42" ht="12.75">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273"/>
      <c r="AO116" s="273"/>
      <c r="AP116" s="273"/>
    </row>
    <row r="117" spans="2:42" ht="12.75">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273"/>
      <c r="AO117" s="273"/>
      <c r="AP117" s="273"/>
    </row>
    <row r="118" spans="2:42" ht="12.75">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273"/>
      <c r="AO118" s="273"/>
      <c r="AP118" s="273"/>
    </row>
    <row r="119" spans="2:42" ht="12.75">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273"/>
      <c r="AO119" s="273"/>
      <c r="AP119" s="273"/>
    </row>
    <row r="120" spans="2:42" ht="12.75">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273"/>
      <c r="AO120" s="273"/>
      <c r="AP120" s="273"/>
    </row>
    <row r="121" spans="2:42" ht="12.7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273"/>
      <c r="AO121" s="273"/>
      <c r="AP121" s="273"/>
    </row>
    <row r="122" spans="2:42" ht="12.75">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273"/>
      <c r="AO122" s="273"/>
      <c r="AP122" s="273"/>
    </row>
    <row r="123" spans="2:42" ht="12.75">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273"/>
      <c r="AO123" s="273"/>
      <c r="AP123" s="273"/>
    </row>
    <row r="124" spans="2:42" ht="12.75">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273"/>
      <c r="AO124" s="273"/>
      <c r="AP124" s="273"/>
    </row>
    <row r="125" spans="2:42" ht="12.75">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273"/>
      <c r="AO125" s="273"/>
      <c r="AP125" s="273"/>
    </row>
    <row r="126" spans="2:42" ht="12.75">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273"/>
      <c r="AO126" s="273"/>
      <c r="AP126" s="273"/>
    </row>
    <row r="127" spans="2:42" ht="12.75">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273"/>
      <c r="AO127" s="273"/>
      <c r="AP127" s="273"/>
    </row>
    <row r="128" spans="2:42" ht="12.75">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273"/>
      <c r="AO128" s="273"/>
      <c r="AP128" s="273"/>
    </row>
    <row r="129" spans="2:42" ht="12.75">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273"/>
      <c r="AO129" s="273"/>
      <c r="AP129" s="273"/>
    </row>
    <row r="130" spans="2:42" ht="12.75">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273"/>
      <c r="AO130" s="273"/>
      <c r="AP130" s="273"/>
    </row>
    <row r="131" spans="2:42" ht="12.75">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273"/>
      <c r="AO131" s="273"/>
      <c r="AP131" s="273"/>
    </row>
    <row r="132" spans="2:42" ht="12.75">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273"/>
      <c r="AO132" s="273"/>
      <c r="AP132" s="273"/>
    </row>
    <row r="133" spans="2:42" ht="12.75">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273"/>
      <c r="AO133" s="273"/>
      <c r="AP133" s="273"/>
    </row>
    <row r="134" spans="2:42" ht="12.75">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273"/>
      <c r="AO134" s="273"/>
      <c r="AP134" s="273"/>
    </row>
    <row r="135" spans="2:42" ht="12.75">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273"/>
      <c r="AO135" s="273"/>
      <c r="AP135" s="273"/>
    </row>
    <row r="136" spans="2:42" ht="12.7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273"/>
      <c r="AO136" s="273"/>
      <c r="AP136" s="273"/>
    </row>
    <row r="137" spans="2:42" ht="12.75">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273"/>
      <c r="AO137" s="273"/>
      <c r="AP137" s="273"/>
    </row>
    <row r="138" spans="2:42" ht="12.75">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273"/>
      <c r="AO138" s="273"/>
      <c r="AP138" s="273"/>
    </row>
    <row r="139" spans="2:42" ht="12.75">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273"/>
      <c r="AO139" s="273"/>
      <c r="AP139" s="273"/>
    </row>
    <row r="140" spans="2:42" ht="12.75">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273"/>
      <c r="AO140" s="273"/>
      <c r="AP140" s="273"/>
    </row>
    <row r="141" spans="2:42" ht="12.75">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273"/>
      <c r="AO141" s="273"/>
      <c r="AP141" s="273"/>
    </row>
    <row r="142" spans="2:42" ht="12.75">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273"/>
      <c r="AO142" s="273"/>
      <c r="AP142" s="273"/>
    </row>
    <row r="143" spans="2:42" ht="12.75">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273"/>
      <c r="AO143" s="273"/>
      <c r="AP143" s="273"/>
    </row>
    <row r="144" spans="2:42" ht="12.75">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273"/>
      <c r="AO144" s="273"/>
      <c r="AP144" s="273"/>
    </row>
    <row r="145" spans="2:42" ht="12.75">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273"/>
      <c r="AO145" s="273"/>
      <c r="AP145" s="273"/>
    </row>
    <row r="146" spans="2:42" ht="12.75">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273"/>
      <c r="AO146" s="273"/>
      <c r="AP146" s="273"/>
    </row>
    <row r="147" spans="2:42" ht="12.75">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273"/>
      <c r="AO147" s="273"/>
      <c r="AP147" s="273"/>
    </row>
    <row r="148" spans="2:42" ht="12.75">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273"/>
      <c r="AO148" s="273"/>
      <c r="AP148" s="273"/>
    </row>
    <row r="149" spans="2:42" ht="12.75">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273"/>
      <c r="AO149" s="273"/>
      <c r="AP149" s="273"/>
    </row>
    <row r="150" spans="2:42" ht="12.75">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273"/>
      <c r="AO150" s="273"/>
      <c r="AP150" s="273"/>
    </row>
    <row r="151" spans="2:42" ht="12.75">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273"/>
      <c r="AO151" s="273"/>
      <c r="AP151" s="273"/>
    </row>
    <row r="152" spans="2:42" ht="12.75">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273"/>
      <c r="AO152" s="273"/>
      <c r="AP152" s="273"/>
    </row>
    <row r="153" spans="2:42" ht="12.75">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273"/>
      <c r="AO153" s="273"/>
      <c r="AP153" s="273"/>
    </row>
    <row r="154" spans="2:42" ht="12.75">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273"/>
      <c r="AO154" s="273"/>
      <c r="AP154" s="273"/>
    </row>
    <row r="155" spans="2:42" ht="12.75">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273"/>
      <c r="AO155" s="273"/>
      <c r="AP155" s="273"/>
    </row>
    <row r="156" spans="2:42" ht="12.75">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273"/>
      <c r="AO156" s="273"/>
      <c r="AP156" s="273"/>
    </row>
    <row r="157" spans="2:42" ht="12.75">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273"/>
      <c r="AO157" s="273"/>
      <c r="AP157" s="273"/>
    </row>
    <row r="158" spans="2:42" ht="12.75">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273"/>
      <c r="AO158" s="273"/>
      <c r="AP158" s="273"/>
    </row>
    <row r="159" spans="2:42" ht="12.75">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273"/>
      <c r="AO159" s="273"/>
      <c r="AP159" s="273"/>
    </row>
    <row r="160" spans="2:42" ht="12.75">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273"/>
      <c r="AO160" s="273"/>
      <c r="AP160" s="273"/>
    </row>
    <row r="161" spans="2:42" ht="12.75">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273"/>
      <c r="AO161" s="273"/>
      <c r="AP161" s="273"/>
    </row>
    <row r="162" spans="2:42" ht="12.75">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273"/>
      <c r="AO162" s="273"/>
      <c r="AP162" s="273"/>
    </row>
    <row r="163" spans="2:42" ht="12.75">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273"/>
      <c r="AO163" s="273"/>
      <c r="AP163" s="273"/>
    </row>
    <row r="164" spans="2:42" ht="12.75">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273"/>
      <c r="AO164" s="273"/>
      <c r="AP164" s="273"/>
    </row>
    <row r="165" spans="2:42" ht="12.75">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273"/>
      <c r="AO165" s="273"/>
      <c r="AP165" s="273"/>
    </row>
    <row r="166" spans="2:42" ht="12.75">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273"/>
      <c r="AO166" s="273"/>
      <c r="AP166" s="273"/>
    </row>
    <row r="167" spans="2:42" ht="12.75">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273"/>
      <c r="AO167" s="273"/>
      <c r="AP167" s="273"/>
    </row>
    <row r="168" spans="2:42" ht="12.75">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273"/>
      <c r="AO168" s="273"/>
      <c r="AP168" s="273"/>
    </row>
    <row r="169" spans="2:42" ht="12.75">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273"/>
      <c r="AO169" s="273"/>
      <c r="AP169" s="273"/>
    </row>
    <row r="170" spans="2:42" ht="12.75">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273"/>
      <c r="AO170" s="273"/>
      <c r="AP170" s="273"/>
    </row>
    <row r="171" spans="2:42" ht="12.75">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273"/>
      <c r="AO171" s="273"/>
      <c r="AP171" s="273"/>
    </row>
    <row r="172" spans="2:42" ht="12.75">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273"/>
      <c r="AO172" s="273"/>
      <c r="AP172" s="273"/>
    </row>
    <row r="173" spans="2:42" ht="12.75">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273"/>
      <c r="AO173" s="273"/>
      <c r="AP173" s="273"/>
    </row>
    <row r="174" spans="2:42" ht="12.75">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273"/>
      <c r="AO174" s="273"/>
      <c r="AP174" s="273"/>
    </row>
    <row r="175" spans="2:42" ht="12.75">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273"/>
      <c r="AO175" s="273"/>
      <c r="AP175" s="273"/>
    </row>
    <row r="176" spans="2:42" ht="12.75">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273"/>
      <c r="AO176" s="273"/>
      <c r="AP176" s="273"/>
    </row>
    <row r="177" spans="2:42" ht="12.75">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273"/>
      <c r="AO177" s="273"/>
      <c r="AP177" s="273"/>
    </row>
    <row r="178" spans="2:42" ht="12.75">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273"/>
      <c r="AO178" s="273"/>
      <c r="AP178" s="273"/>
    </row>
    <row r="179" spans="2:42" ht="12.75">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273"/>
      <c r="AO179" s="273"/>
      <c r="AP179" s="273"/>
    </row>
    <row r="180" spans="2:42" ht="12.75">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273"/>
      <c r="AO180" s="273"/>
      <c r="AP180" s="273"/>
    </row>
    <row r="181" spans="2:42" ht="12.75">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273"/>
      <c r="AO181" s="273"/>
      <c r="AP181" s="273"/>
    </row>
    <row r="182" spans="2:42" ht="12.75">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273"/>
      <c r="AO182" s="273"/>
      <c r="AP182" s="273"/>
    </row>
    <row r="183" spans="2:42" ht="12.75">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273"/>
      <c r="AO183" s="273"/>
      <c r="AP183" s="273"/>
    </row>
    <row r="184" spans="2:42" ht="12.75">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273"/>
      <c r="AO184" s="273"/>
      <c r="AP184" s="273"/>
    </row>
    <row r="185" spans="2:42" ht="12.75">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273"/>
      <c r="AO185" s="273"/>
      <c r="AP185" s="273"/>
    </row>
    <row r="186" spans="2:42" ht="12.75">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273"/>
      <c r="AO186" s="273"/>
      <c r="AP186" s="273"/>
    </row>
    <row r="187" spans="2:42" ht="12.75">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273"/>
      <c r="AO187" s="273"/>
      <c r="AP187" s="273"/>
    </row>
    <row r="188" spans="2:42" ht="12.75">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273"/>
      <c r="AO188" s="273"/>
      <c r="AP188" s="273"/>
    </row>
    <row r="189" spans="2:42" ht="12.75">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273"/>
      <c r="AO189" s="273"/>
      <c r="AP189" s="273"/>
    </row>
    <row r="190" spans="2:42" ht="12.75">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273"/>
      <c r="AO190" s="273"/>
      <c r="AP190" s="273"/>
    </row>
    <row r="191" spans="2:42" ht="12.75">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273"/>
      <c r="AO191" s="273"/>
      <c r="AP191" s="273"/>
    </row>
    <row r="192" spans="2:42" ht="12.75">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273"/>
      <c r="AO192" s="273"/>
      <c r="AP192" s="273"/>
    </row>
    <row r="193" spans="2:42" ht="12.75">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273"/>
      <c r="AO193" s="273"/>
      <c r="AP193" s="273"/>
    </row>
    <row r="194" spans="2:42" ht="12.75">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273"/>
      <c r="AO194" s="273"/>
      <c r="AP194" s="273"/>
    </row>
    <row r="195" spans="2:42" ht="12.75">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273"/>
      <c r="AO195" s="273"/>
      <c r="AP195" s="273"/>
    </row>
    <row r="196" spans="2:42" ht="12.75">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273"/>
      <c r="AO196" s="273"/>
      <c r="AP196" s="273"/>
    </row>
    <row r="197" spans="2:42" ht="12.75">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273"/>
      <c r="AO197" s="273"/>
      <c r="AP197" s="273"/>
    </row>
    <row r="198" spans="2:42" ht="12.75">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273"/>
      <c r="AO198" s="273"/>
      <c r="AP198" s="273"/>
    </row>
    <row r="199" spans="2:42" ht="12.75">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273"/>
      <c r="AO199" s="273"/>
      <c r="AP199" s="273"/>
    </row>
    <row r="200" spans="2:42" ht="12.75">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273"/>
      <c r="AO200" s="273"/>
      <c r="AP200" s="273"/>
    </row>
    <row r="201" spans="2:42" ht="12.75">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273"/>
      <c r="AO201" s="273"/>
      <c r="AP201" s="273"/>
    </row>
    <row r="202" spans="2:42" ht="12.75">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273"/>
      <c r="AO202" s="273"/>
      <c r="AP202" s="273"/>
    </row>
    <row r="203" spans="2:42" ht="12.75">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273"/>
      <c r="AO203" s="273"/>
      <c r="AP203" s="273"/>
    </row>
    <row r="204" spans="2:42" ht="12.75">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273"/>
      <c r="AO204" s="273"/>
      <c r="AP204" s="273"/>
    </row>
    <row r="205" spans="2:42" ht="12.75">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273"/>
      <c r="AO205" s="273"/>
      <c r="AP205" s="273"/>
    </row>
    <row r="206" spans="2:42" ht="12.75">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273"/>
      <c r="AO206" s="273"/>
      <c r="AP206" s="273"/>
    </row>
    <row r="207" spans="2:42" ht="12.75">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273"/>
      <c r="AO207" s="273"/>
      <c r="AP207" s="273"/>
    </row>
    <row r="208" spans="2:42" ht="12.75">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273"/>
      <c r="AO208" s="273"/>
      <c r="AP208" s="273"/>
    </row>
    <row r="209" spans="2:42" ht="12.75">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273"/>
      <c r="AO209" s="273"/>
      <c r="AP209" s="273"/>
    </row>
    <row r="210" spans="2:42" ht="12.75">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273"/>
      <c r="AO210" s="273"/>
      <c r="AP210" s="273"/>
    </row>
    <row r="211" spans="2:42" ht="12.75">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273"/>
      <c r="AO211" s="273"/>
      <c r="AP211" s="273"/>
    </row>
    <row r="212" spans="2:42" ht="12.75">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273"/>
      <c r="AO212" s="273"/>
      <c r="AP212" s="273"/>
    </row>
    <row r="213" spans="2:42" ht="12.75">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273"/>
      <c r="AO213" s="273"/>
      <c r="AP213" s="273"/>
    </row>
    <row r="214" spans="2:42" ht="12.75">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273"/>
      <c r="AO214" s="273"/>
      <c r="AP214" s="273"/>
    </row>
    <row r="215" spans="2:42" ht="12.75">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273"/>
      <c r="AO215" s="273"/>
      <c r="AP215" s="273"/>
    </row>
    <row r="216" spans="2:42" ht="12.75">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273"/>
      <c r="AO216" s="273"/>
      <c r="AP216" s="273"/>
    </row>
    <row r="217" spans="2:42" ht="12.75">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273"/>
      <c r="AO217" s="273"/>
      <c r="AP217" s="273"/>
    </row>
    <row r="218" spans="2:42" ht="12.75">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273"/>
      <c r="AO218" s="273"/>
      <c r="AP218" s="273"/>
    </row>
    <row r="219" spans="2:42" ht="12.75">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273"/>
      <c r="AO219" s="273"/>
      <c r="AP219" s="273"/>
    </row>
    <row r="220" spans="2:42" ht="12.75">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273"/>
      <c r="AO220" s="273"/>
      <c r="AP220" s="273"/>
    </row>
    <row r="221" spans="2:42" ht="12.75">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273"/>
      <c r="AO221" s="273"/>
      <c r="AP221" s="273"/>
    </row>
    <row r="222" spans="2:42" ht="12.75">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273"/>
      <c r="AO222" s="273"/>
      <c r="AP222" s="273"/>
    </row>
    <row r="223" spans="2:42" ht="12.75">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273"/>
      <c r="AO223" s="273"/>
      <c r="AP223" s="273"/>
    </row>
    <row r="224" spans="2:42" ht="12.75">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273"/>
      <c r="AO224" s="273"/>
      <c r="AP224" s="273"/>
    </row>
    <row r="225" spans="2:42" ht="12.75">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273"/>
      <c r="AO225" s="273"/>
      <c r="AP225" s="273"/>
    </row>
    <row r="226" spans="2:42" ht="12.75">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273"/>
      <c r="AO226" s="273"/>
      <c r="AP226" s="273"/>
    </row>
    <row r="227" spans="2:42" ht="12.75">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273"/>
      <c r="AO227" s="273"/>
      <c r="AP227" s="273"/>
    </row>
    <row r="228" spans="2:42" ht="12.75">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273"/>
      <c r="AO228" s="273"/>
      <c r="AP228" s="273"/>
    </row>
    <row r="229" spans="2:42" ht="12.75">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273"/>
      <c r="AO229" s="273"/>
      <c r="AP229" s="273"/>
    </row>
    <row r="230" spans="2:42" ht="12.75">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273"/>
      <c r="AO230" s="273"/>
      <c r="AP230" s="273"/>
    </row>
    <row r="231" spans="2:42" ht="12.75">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273"/>
      <c r="AO231" s="273"/>
      <c r="AP231" s="273"/>
    </row>
    <row r="232" spans="2:42" ht="12.75">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273"/>
      <c r="AO232" s="273"/>
      <c r="AP232" s="273"/>
    </row>
    <row r="233" spans="2:42" ht="12.75">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273"/>
      <c r="AO233" s="273"/>
      <c r="AP233" s="273"/>
    </row>
    <row r="234" spans="2:42" ht="12.75">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273"/>
      <c r="AO234" s="273"/>
      <c r="AP234" s="273"/>
    </row>
    <row r="235" spans="2:42" ht="12.75">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273"/>
      <c r="AO235" s="273"/>
      <c r="AP235" s="273"/>
    </row>
    <row r="236" spans="2:42" ht="12.75">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273"/>
      <c r="AO236" s="273"/>
      <c r="AP236" s="273"/>
    </row>
    <row r="237" spans="2:42" ht="12.75">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273"/>
      <c r="AO237" s="273"/>
      <c r="AP237" s="273"/>
    </row>
    <row r="238" spans="2:42" ht="12.75">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273"/>
      <c r="AO238" s="273"/>
      <c r="AP238" s="273"/>
    </row>
    <row r="239" spans="2:42" ht="12.75">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273"/>
      <c r="AO239" s="273"/>
      <c r="AP239" s="273"/>
    </row>
    <row r="240" spans="2:42" ht="12.75">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273"/>
      <c r="AO240" s="273"/>
      <c r="AP240" s="273"/>
    </row>
    <row r="241" spans="2:42" ht="12.75">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273"/>
      <c r="AO241" s="273"/>
      <c r="AP241" s="273"/>
    </row>
    <row r="242" spans="2:42" ht="12.75">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273"/>
      <c r="AO242" s="273"/>
      <c r="AP242" s="273"/>
    </row>
    <row r="243" spans="2:42" ht="12.75">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273"/>
      <c r="AO243" s="273"/>
      <c r="AP243" s="273"/>
    </row>
    <row r="244" spans="2:42" ht="12.75">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273"/>
      <c r="AO244" s="273"/>
      <c r="AP244" s="273"/>
    </row>
    <row r="245" spans="2:42" ht="12.75">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273"/>
      <c r="AO245" s="273"/>
      <c r="AP245" s="273"/>
    </row>
    <row r="246" spans="2:42" ht="12.75">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273"/>
      <c r="AO246" s="273"/>
      <c r="AP246" s="273"/>
    </row>
    <row r="247" spans="2:42" ht="12.75">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273"/>
      <c r="AO247" s="273"/>
      <c r="AP247" s="273"/>
    </row>
    <row r="248" spans="2:42" ht="12.75">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273"/>
      <c r="AO248" s="273"/>
      <c r="AP248" s="273"/>
    </row>
    <row r="249" spans="2:42" ht="12.75">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273"/>
      <c r="AO249" s="273"/>
      <c r="AP249" s="273"/>
    </row>
    <row r="250" spans="2:42" ht="12.75">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273"/>
      <c r="AO250" s="273"/>
      <c r="AP250" s="273"/>
    </row>
    <row r="251" spans="2:42" ht="12.75">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273"/>
      <c r="AO251" s="273"/>
      <c r="AP251" s="273"/>
    </row>
    <row r="252" spans="2:42" ht="12.75">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273"/>
      <c r="AO252" s="273"/>
      <c r="AP252" s="273"/>
    </row>
    <row r="253" spans="2:42" ht="12.75">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273"/>
      <c r="AO253" s="273"/>
      <c r="AP253" s="273"/>
    </row>
    <row r="254" spans="2:42" ht="12.75">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273"/>
      <c r="AO254" s="273"/>
      <c r="AP254" s="273"/>
    </row>
    <row r="255" spans="2:42" ht="12.75">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273"/>
      <c r="AO255" s="273"/>
      <c r="AP255" s="273"/>
    </row>
    <row r="256" spans="2:42" ht="12.75">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273"/>
      <c r="AO256" s="273"/>
      <c r="AP256" s="273"/>
    </row>
    <row r="257" spans="2:42" ht="12.75">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273"/>
      <c r="AO257" s="273"/>
      <c r="AP257" s="273"/>
    </row>
    <row r="258" spans="2:42" ht="12.75">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273"/>
      <c r="AO258" s="273"/>
      <c r="AP258" s="273"/>
    </row>
    <row r="259" spans="2:42" ht="12.75">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273"/>
      <c r="AO259" s="273"/>
      <c r="AP259" s="273"/>
    </row>
    <row r="260" spans="2:42" ht="12.75">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273"/>
      <c r="AO260" s="273"/>
      <c r="AP260" s="273"/>
    </row>
    <row r="261" spans="2:42" ht="12.75">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273"/>
      <c r="AO261" s="273"/>
      <c r="AP261" s="273"/>
    </row>
    <row r="262" spans="2:42" ht="12.75">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273"/>
      <c r="AO262" s="273"/>
      <c r="AP262" s="273"/>
    </row>
    <row r="263" spans="2:42" ht="12.75">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273"/>
      <c r="AO263" s="273"/>
      <c r="AP263" s="273"/>
    </row>
    <row r="264" spans="2:42" ht="12.75">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273"/>
      <c r="AO264" s="273"/>
      <c r="AP264" s="273"/>
    </row>
    <row r="265" spans="2:42" ht="12.75">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273"/>
      <c r="AO265" s="273"/>
      <c r="AP265" s="273"/>
    </row>
    <row r="266" spans="2:42" ht="12.75">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273"/>
      <c r="AO266" s="273"/>
      <c r="AP266" s="273"/>
    </row>
    <row r="267" spans="2:42" ht="12.75">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273"/>
      <c r="AO267" s="273"/>
      <c r="AP267" s="273"/>
    </row>
    <row r="268" spans="2:42" ht="12.75">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273"/>
      <c r="AO268" s="273"/>
      <c r="AP268" s="273"/>
    </row>
    <row r="269" spans="2:42" ht="12.75">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273"/>
      <c r="AO269" s="273"/>
      <c r="AP269" s="273"/>
    </row>
    <row r="270" spans="2:42" ht="12.75">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273"/>
      <c r="AO270" s="273"/>
      <c r="AP270" s="273"/>
    </row>
    <row r="271" spans="2:42" ht="12.75">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273"/>
      <c r="AO271" s="273"/>
      <c r="AP271" s="273"/>
    </row>
    <row r="272" spans="2:42" ht="12.75">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273"/>
      <c r="AO272" s="273"/>
      <c r="AP272" s="273"/>
    </row>
    <row r="273" spans="2:42" ht="12.75">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273"/>
      <c r="AO273" s="273"/>
      <c r="AP273" s="273"/>
    </row>
    <row r="274" spans="2:42" ht="12.75">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273"/>
      <c r="AO274" s="273"/>
      <c r="AP274" s="273"/>
    </row>
    <row r="275" spans="2:42" ht="12.75">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273"/>
      <c r="AO275" s="273"/>
      <c r="AP275" s="273"/>
    </row>
    <row r="276" spans="2:42" ht="12.75">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273"/>
      <c r="AO276" s="273"/>
      <c r="AP276" s="273"/>
    </row>
    <row r="277" spans="2:42" ht="12.75">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273"/>
      <c r="AO277" s="273"/>
      <c r="AP277" s="273"/>
    </row>
    <row r="278" spans="2:42" ht="12.75">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273"/>
      <c r="AO278" s="273"/>
      <c r="AP278" s="273"/>
    </row>
    <row r="279" spans="2:42" ht="12.75">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273"/>
      <c r="AO279" s="273"/>
      <c r="AP279" s="273"/>
    </row>
    <row r="280" spans="2:42" ht="12.75">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273"/>
      <c r="AO280" s="273"/>
      <c r="AP280" s="273"/>
    </row>
    <row r="281" spans="2:42" ht="12.75">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273"/>
      <c r="AO281" s="273"/>
      <c r="AP281" s="273"/>
    </row>
    <row r="282" spans="2:42" ht="12.75">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273"/>
      <c r="AO282" s="273"/>
      <c r="AP282" s="273"/>
    </row>
    <row r="283" spans="2:42" ht="12.75">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273"/>
      <c r="AO283" s="273"/>
      <c r="AP283" s="273"/>
    </row>
    <row r="284" spans="2:42" ht="12.75">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273"/>
      <c r="AO284" s="273"/>
      <c r="AP284" s="273"/>
    </row>
    <row r="285" spans="2:42" ht="12.75">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273"/>
      <c r="AO285" s="273"/>
      <c r="AP285" s="273"/>
    </row>
    <row r="286" spans="2:42" ht="12.75">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273"/>
      <c r="AO286" s="273"/>
      <c r="AP286" s="273"/>
    </row>
    <row r="287" spans="2:42" ht="12.75">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273"/>
      <c r="AO287" s="273"/>
      <c r="AP287" s="273"/>
    </row>
    <row r="288" spans="2:42" ht="12.75">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273"/>
      <c r="AO288" s="273"/>
      <c r="AP288" s="273"/>
    </row>
    <row r="289" spans="2:42" ht="12.75">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273"/>
      <c r="AO289" s="273"/>
      <c r="AP289" s="273"/>
    </row>
    <row r="290" spans="2:42" ht="12.75">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273"/>
      <c r="AO290" s="273"/>
      <c r="AP290" s="273"/>
    </row>
    <row r="291" spans="2:42" ht="12.75">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273"/>
      <c r="AO291" s="273"/>
      <c r="AP291" s="273"/>
    </row>
    <row r="292" spans="2:42" ht="12.75">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273"/>
      <c r="AO292" s="273"/>
      <c r="AP292" s="273"/>
    </row>
    <row r="293" spans="2:42" ht="12.75">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273"/>
      <c r="AO293" s="273"/>
      <c r="AP293" s="273"/>
    </row>
    <row r="294" spans="2:42" ht="12.75">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273"/>
      <c r="AO294" s="273"/>
      <c r="AP294" s="273"/>
    </row>
    <row r="295" spans="2:42" ht="12.75">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273"/>
      <c r="AO295" s="273"/>
      <c r="AP295" s="273"/>
    </row>
    <row r="296" spans="2:42" ht="12.75">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273"/>
      <c r="AO296" s="273"/>
      <c r="AP296" s="273"/>
    </row>
    <row r="297" spans="2:42" ht="12.75">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273"/>
      <c r="AO297" s="273"/>
      <c r="AP297" s="273"/>
    </row>
    <row r="298" spans="2:42" ht="12.75">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273"/>
      <c r="AO298" s="273"/>
      <c r="AP298" s="273"/>
    </row>
    <row r="299" spans="2:42" ht="12.75">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273"/>
      <c r="AO299" s="273"/>
      <c r="AP299" s="273"/>
    </row>
    <row r="300" spans="2:42" ht="12.75">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273"/>
      <c r="AO300" s="273"/>
      <c r="AP300" s="273"/>
    </row>
    <row r="301" spans="2:42" ht="12.75">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273"/>
      <c r="AO301" s="273"/>
      <c r="AP301" s="273"/>
    </row>
    <row r="302" spans="2:42" ht="12.75">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273"/>
      <c r="AO302" s="273"/>
      <c r="AP302" s="273"/>
    </row>
    <row r="303" spans="2:42" ht="12.75">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273"/>
      <c r="AO303" s="273"/>
      <c r="AP303" s="273"/>
    </row>
    <row r="304" spans="2:42" ht="12.75">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273"/>
      <c r="AO304" s="273"/>
      <c r="AP304" s="273"/>
    </row>
    <row r="305" spans="2:42" ht="12.75">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273"/>
      <c r="AO305" s="273"/>
      <c r="AP305" s="273"/>
    </row>
    <row r="306" spans="2:42" ht="12.75">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273"/>
      <c r="AO306" s="273"/>
      <c r="AP306" s="273"/>
    </row>
    <row r="307" spans="2:42" ht="12.75">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273"/>
      <c r="AO307" s="273"/>
      <c r="AP307" s="273"/>
    </row>
    <row r="308" spans="2:42" ht="12.75">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273"/>
      <c r="AO308" s="273"/>
      <c r="AP308" s="273"/>
    </row>
    <row r="309" spans="2:42" ht="12.75">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273"/>
      <c r="AO309" s="273"/>
      <c r="AP309" s="273"/>
    </row>
    <row r="310" spans="2:42" ht="12.75">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273"/>
      <c r="AO310" s="273"/>
      <c r="AP310" s="273"/>
    </row>
    <row r="311" spans="2:42" ht="12.75">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273"/>
      <c r="AO311" s="273"/>
      <c r="AP311" s="273"/>
    </row>
    <row r="312" spans="2:42" ht="12.75">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273"/>
      <c r="AO312" s="273"/>
      <c r="AP312" s="273"/>
    </row>
    <row r="313" spans="2:42" ht="12.75">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273"/>
      <c r="AO313" s="273"/>
      <c r="AP313" s="273"/>
    </row>
    <row r="314" spans="2:42" ht="12.75">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273"/>
      <c r="AO314" s="273"/>
      <c r="AP314" s="273"/>
    </row>
    <row r="315" spans="2:42" ht="12.75">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273"/>
      <c r="AO315" s="273"/>
      <c r="AP315" s="273"/>
    </row>
    <row r="316" spans="2:42" ht="12.75">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273"/>
      <c r="AO316" s="273"/>
      <c r="AP316" s="273"/>
    </row>
    <row r="317" spans="2:42" ht="12.75">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273"/>
      <c r="AO317" s="273"/>
      <c r="AP317" s="273"/>
    </row>
    <row r="318" spans="2:42" ht="12.75">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273"/>
      <c r="AO318" s="273"/>
      <c r="AP318" s="273"/>
    </row>
    <row r="319" spans="2:42" ht="12.75">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273"/>
      <c r="AO319" s="273"/>
      <c r="AP319" s="273"/>
    </row>
    <row r="320" spans="2:42" ht="12.75">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273"/>
      <c r="AO320" s="273"/>
      <c r="AP320" s="273"/>
    </row>
    <row r="321" spans="2:42" ht="12.75">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273"/>
      <c r="AO321" s="273"/>
      <c r="AP321" s="273"/>
    </row>
    <row r="322" spans="2:42" ht="12.75">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273"/>
      <c r="AO322" s="273"/>
      <c r="AP322" s="273"/>
    </row>
    <row r="323" spans="2:42" ht="12.75">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273"/>
      <c r="AO323" s="273"/>
      <c r="AP323" s="273"/>
    </row>
    <row r="324" spans="2:42" ht="12.75">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273"/>
      <c r="AO324" s="273"/>
      <c r="AP324" s="273"/>
    </row>
    <row r="325" spans="2:42" ht="12.75">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273"/>
      <c r="AO325" s="273"/>
      <c r="AP325" s="273"/>
    </row>
    <row r="326" spans="2:42" ht="12.75">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273"/>
      <c r="AO326" s="273"/>
      <c r="AP326" s="273"/>
    </row>
    <row r="327" spans="2:42" ht="12.75">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273"/>
      <c r="AO327" s="273"/>
      <c r="AP327" s="273"/>
    </row>
    <row r="328" spans="2:42" ht="12.75">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273"/>
      <c r="AO328" s="273"/>
      <c r="AP328" s="273"/>
    </row>
    <row r="329" spans="2:42" ht="12.75">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273"/>
      <c r="AO329" s="273"/>
      <c r="AP329" s="273"/>
    </row>
    <row r="330" spans="2:42" ht="12.75">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273"/>
      <c r="AO330" s="273"/>
      <c r="AP330" s="273"/>
    </row>
    <row r="331" spans="2:42" ht="12.75">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273"/>
      <c r="AO331" s="273"/>
      <c r="AP331" s="273"/>
    </row>
    <row r="332" spans="2:42" ht="12.75">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273"/>
      <c r="AO332" s="273"/>
      <c r="AP332" s="273"/>
    </row>
    <row r="333" spans="2:42" ht="12.75">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273"/>
      <c r="AO333" s="273"/>
      <c r="AP333" s="273"/>
    </row>
    <row r="334" spans="2:42" ht="12.75">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273"/>
      <c r="AO334" s="273"/>
      <c r="AP334" s="273"/>
    </row>
    <row r="335" spans="2:42" ht="12.75">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273"/>
      <c r="AO335" s="273"/>
      <c r="AP335" s="273"/>
    </row>
    <row r="336" spans="2:42" ht="12.75">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273"/>
      <c r="AO336" s="273"/>
      <c r="AP336" s="273"/>
    </row>
    <row r="337" spans="2:42" ht="12.75">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273"/>
      <c r="AO337" s="273"/>
      <c r="AP337" s="273"/>
    </row>
    <row r="338" spans="2:42" ht="12.75">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273"/>
      <c r="AO338" s="273"/>
      <c r="AP338" s="273"/>
    </row>
    <row r="339" spans="2:42" ht="12.75">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273"/>
      <c r="AO339" s="273"/>
      <c r="AP339" s="273"/>
    </row>
    <row r="340" spans="2:42" ht="12.75">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273"/>
      <c r="AO340" s="273"/>
      <c r="AP340" s="273"/>
    </row>
    <row r="341" spans="2:42" ht="12.75">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273"/>
      <c r="AO341" s="273"/>
      <c r="AP341" s="273"/>
    </row>
    <row r="342" spans="2:42" ht="12.75">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273"/>
      <c r="AO342" s="273"/>
      <c r="AP342" s="273"/>
    </row>
    <row r="343" spans="2:42" ht="12.75">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273"/>
      <c r="AO343" s="273"/>
      <c r="AP343" s="273"/>
    </row>
    <row r="344" spans="2:42" ht="12.75">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273"/>
      <c r="AO344" s="273"/>
      <c r="AP344" s="273"/>
    </row>
    <row r="345" spans="2:42" ht="12.75">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273"/>
      <c r="AO345" s="273"/>
      <c r="AP345" s="273"/>
    </row>
    <row r="346" spans="2:42" ht="12.75">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273"/>
      <c r="AO346" s="273"/>
      <c r="AP346" s="273"/>
    </row>
    <row r="347" spans="2:42" ht="12.75">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273"/>
      <c r="AO347" s="273"/>
      <c r="AP347" s="273"/>
    </row>
    <row r="348" spans="2:42" ht="12.75">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273"/>
      <c r="AO348" s="273"/>
      <c r="AP348" s="273"/>
    </row>
    <row r="349" spans="2:42" ht="12.75">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273"/>
      <c r="AO349" s="273"/>
      <c r="AP349" s="273"/>
    </row>
    <row r="350" spans="2:42" ht="12.75">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273"/>
      <c r="AO350" s="273"/>
      <c r="AP350" s="273"/>
    </row>
    <row r="351" spans="2:42" ht="12.75">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273"/>
      <c r="AO351" s="273"/>
      <c r="AP351" s="273"/>
    </row>
    <row r="352" spans="2:42" ht="12.75">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273"/>
      <c r="AO352" s="273"/>
      <c r="AP352" s="273"/>
    </row>
    <row r="353" spans="2:42" ht="12.75">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273"/>
      <c r="AO353" s="273"/>
      <c r="AP353" s="273"/>
    </row>
    <row r="354" spans="2:42" ht="12.75">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273"/>
      <c r="AO354" s="273"/>
      <c r="AP354" s="273"/>
    </row>
    <row r="355" spans="2:42" ht="12.75">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273"/>
      <c r="AO355" s="273"/>
      <c r="AP355" s="273"/>
    </row>
    <row r="356" spans="2:42" ht="12.75">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273"/>
      <c r="AO356" s="273"/>
      <c r="AP356" s="273"/>
    </row>
    <row r="357" spans="2:42" ht="12.75">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273"/>
      <c r="AO357" s="273"/>
      <c r="AP357" s="273"/>
    </row>
    <row r="358" spans="2:42" ht="12.75">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273"/>
      <c r="AO358" s="273"/>
      <c r="AP358" s="273"/>
    </row>
    <row r="359" spans="2:42" ht="12.75">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273"/>
      <c r="AO359" s="273"/>
      <c r="AP359" s="273"/>
    </row>
    <row r="360" spans="2:42" ht="12.75">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273"/>
      <c r="AO360" s="273"/>
      <c r="AP360" s="273"/>
    </row>
    <row r="361" spans="2:42" ht="12.75">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273"/>
      <c r="AO361" s="273"/>
      <c r="AP361" s="273"/>
    </row>
    <row r="362" spans="2:42" ht="12.75">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273"/>
      <c r="AO362" s="273"/>
      <c r="AP362" s="273"/>
    </row>
    <row r="363" spans="2:42" ht="12.75">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273"/>
      <c r="AO363" s="273"/>
      <c r="AP363" s="273"/>
    </row>
    <row r="364" spans="2:42" ht="12.75">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273"/>
      <c r="AO364" s="273"/>
      <c r="AP364" s="273"/>
    </row>
    <row r="365" spans="2:42" ht="12.75">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273"/>
      <c r="AO365" s="273"/>
      <c r="AP365" s="273"/>
    </row>
    <row r="366" spans="2:42" ht="12.75">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273"/>
      <c r="AO366" s="273"/>
      <c r="AP366" s="273"/>
    </row>
    <row r="367" spans="2:42" ht="12.75">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273"/>
      <c r="AO367" s="273"/>
      <c r="AP367" s="273"/>
    </row>
    <row r="368" spans="2:42" ht="12.75">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273"/>
      <c r="AO368" s="273"/>
      <c r="AP368" s="273"/>
    </row>
    <row r="369" spans="2:42" ht="12.75">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273"/>
      <c r="AO369" s="273"/>
      <c r="AP369" s="273"/>
    </row>
    <row r="370" spans="2:42" ht="12.75">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273"/>
      <c r="AO370" s="273"/>
      <c r="AP370" s="273"/>
    </row>
    <row r="371" spans="2:42" ht="12.75">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273"/>
      <c r="AO371" s="273"/>
      <c r="AP371" s="273"/>
    </row>
    <row r="372" spans="2:42" ht="12.75">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273"/>
      <c r="AO372" s="273"/>
      <c r="AP372" s="273"/>
    </row>
    <row r="373" spans="2:42" ht="12.75">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273"/>
      <c r="AO373" s="273"/>
      <c r="AP373" s="273"/>
    </row>
    <row r="374" spans="2:42" ht="12.75">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273"/>
      <c r="AO374" s="273"/>
      <c r="AP374" s="273"/>
    </row>
    <row r="375" spans="2:42" ht="12.75">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273"/>
      <c r="AO375" s="273"/>
      <c r="AP375" s="273"/>
    </row>
    <row r="376" spans="2:42" ht="12.75">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273"/>
      <c r="AO376" s="273"/>
      <c r="AP376" s="273"/>
    </row>
    <row r="377" spans="2:42" ht="12.75">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273"/>
      <c r="AO377" s="273"/>
      <c r="AP377" s="273"/>
    </row>
    <row r="378" spans="2:42" ht="12.75">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273"/>
      <c r="AO378" s="273"/>
      <c r="AP378" s="273"/>
    </row>
    <row r="379" spans="2:42" ht="12.75">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273"/>
      <c r="AO379" s="273"/>
      <c r="AP379" s="273"/>
    </row>
    <row r="380" spans="2:42" ht="12.75">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273"/>
      <c r="AO380" s="273"/>
      <c r="AP380" s="273"/>
    </row>
    <row r="381" spans="2:42" ht="12.75">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273"/>
      <c r="AO381" s="273"/>
      <c r="AP381" s="273"/>
    </row>
    <row r="382" spans="2:42" ht="12.75">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273"/>
      <c r="AO382" s="273"/>
      <c r="AP382" s="273"/>
    </row>
    <row r="383" spans="2:42" ht="12.75">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273"/>
      <c r="AO383" s="273"/>
      <c r="AP383" s="273"/>
    </row>
    <row r="384" spans="2:42" ht="12.75">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273"/>
      <c r="AO384" s="273"/>
      <c r="AP384" s="273"/>
    </row>
    <row r="385" spans="2:42" ht="12.75">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273"/>
      <c r="AO385" s="273"/>
      <c r="AP385" s="273"/>
    </row>
    <row r="386" spans="2:42" ht="12.75">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273"/>
      <c r="AO386" s="273"/>
      <c r="AP386" s="273"/>
    </row>
    <row r="387" spans="2:42" ht="12.75">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273"/>
      <c r="AO387" s="273"/>
      <c r="AP387" s="273"/>
    </row>
    <row r="388" spans="2:42" ht="12.75">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273"/>
      <c r="AO388" s="273"/>
      <c r="AP388" s="273"/>
    </row>
    <row r="389" spans="2:42" ht="12.75">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273"/>
      <c r="AO389" s="273"/>
      <c r="AP389" s="273"/>
    </row>
    <row r="390" spans="2:42" ht="12.75">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273"/>
      <c r="AO390" s="273"/>
      <c r="AP390" s="273"/>
    </row>
    <row r="391" spans="2:42" ht="12.75">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273"/>
      <c r="AO391" s="273"/>
      <c r="AP391" s="273"/>
    </row>
    <row r="392" spans="2:42" ht="12.75">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273"/>
      <c r="AO392" s="273"/>
      <c r="AP392" s="273"/>
    </row>
    <row r="393" spans="2:42" ht="12.75">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273"/>
      <c r="AO393" s="273"/>
      <c r="AP393" s="273"/>
    </row>
    <row r="394" spans="2:42" ht="12.75">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273"/>
      <c r="AO394" s="273"/>
      <c r="AP394" s="273"/>
    </row>
    <row r="395" spans="2:42" ht="12.75">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273"/>
      <c r="AO395" s="273"/>
      <c r="AP395" s="273"/>
    </row>
    <row r="396" spans="2:42" ht="12.75">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273"/>
      <c r="AO396" s="273"/>
      <c r="AP396" s="273"/>
    </row>
    <row r="397" spans="2:42" ht="12.75">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273"/>
      <c r="AO397" s="273"/>
      <c r="AP397" s="273"/>
    </row>
    <row r="398" spans="2:42" ht="12.75">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273"/>
      <c r="AO398" s="273"/>
      <c r="AP398" s="273"/>
    </row>
    <row r="399" spans="2:42" ht="12.75">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273"/>
      <c r="AO399" s="273"/>
      <c r="AP399" s="273"/>
    </row>
    <row r="400" spans="2:42" ht="12.75">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273"/>
      <c r="AO400" s="273"/>
      <c r="AP400" s="273"/>
    </row>
    <row r="401" spans="2:42" ht="12.75">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273"/>
      <c r="AO401" s="273"/>
      <c r="AP401" s="273"/>
    </row>
    <row r="402" spans="2:42" ht="12.75">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273"/>
      <c r="AO402" s="273"/>
      <c r="AP402" s="273"/>
    </row>
    <row r="403" spans="2:42" ht="12.75">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273"/>
      <c r="AO403" s="273"/>
      <c r="AP403" s="273"/>
    </row>
    <row r="404" spans="2:42" ht="12.75">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273"/>
      <c r="AO404" s="273"/>
      <c r="AP404" s="273"/>
    </row>
    <row r="405" spans="2:42" ht="12.75">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273"/>
      <c r="AO405" s="273"/>
      <c r="AP405" s="273"/>
    </row>
    <row r="406" spans="2:42" ht="12.75">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273"/>
      <c r="AO406" s="273"/>
      <c r="AP406" s="273"/>
    </row>
    <row r="407" spans="2:42" ht="12.75">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273"/>
      <c r="AO407" s="273"/>
      <c r="AP407" s="273"/>
    </row>
    <row r="408" spans="2:42" ht="12.75">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273"/>
      <c r="AO408" s="273"/>
      <c r="AP408" s="273"/>
    </row>
    <row r="409" spans="2:42" ht="12.75">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273"/>
      <c r="AO409" s="273"/>
      <c r="AP409" s="273"/>
    </row>
    <row r="410" spans="2:42" ht="12.75">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273"/>
      <c r="AO410" s="273"/>
      <c r="AP410" s="273"/>
    </row>
    <row r="411" spans="2:42" ht="12.75">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273"/>
      <c r="AO411" s="273"/>
      <c r="AP411" s="273"/>
    </row>
    <row r="412" spans="2:42" ht="12.75">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273"/>
      <c r="AO412" s="273"/>
      <c r="AP412" s="273"/>
    </row>
    <row r="413" spans="2:42" ht="12.75">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273"/>
      <c r="AO413" s="273"/>
      <c r="AP413" s="273"/>
    </row>
    <row r="414" spans="2:42" ht="12.75">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273"/>
      <c r="AO414" s="273"/>
      <c r="AP414" s="273"/>
    </row>
    <row r="415" spans="2:42" ht="12.75">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273"/>
      <c r="AO415" s="273"/>
      <c r="AP415" s="273"/>
    </row>
    <row r="416" spans="2:42" ht="12.75">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273"/>
      <c r="AO416" s="273"/>
      <c r="AP416" s="273"/>
    </row>
    <row r="417" spans="2:42" ht="12.75">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273"/>
      <c r="AO417" s="273"/>
      <c r="AP417" s="273"/>
    </row>
    <row r="418" spans="2:42" ht="12.75">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273"/>
      <c r="AO418" s="273"/>
      <c r="AP418" s="273"/>
    </row>
    <row r="419" spans="2:42" ht="12.75">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273"/>
      <c r="AO419" s="273"/>
      <c r="AP419" s="273"/>
    </row>
    <row r="420" spans="2:42" ht="12.75">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273"/>
      <c r="AO420" s="273"/>
      <c r="AP420" s="273"/>
    </row>
    <row r="421" spans="2:42" ht="12.75">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273"/>
      <c r="AO421" s="273"/>
      <c r="AP421" s="273"/>
    </row>
    <row r="422" spans="2:42" ht="12.75">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273"/>
      <c r="AO422" s="273"/>
      <c r="AP422" s="273"/>
    </row>
    <row r="423" spans="2:42" ht="12.75">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273"/>
      <c r="AO423" s="273"/>
      <c r="AP423" s="273"/>
    </row>
    <row r="424" spans="2:42" ht="12.75">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273"/>
      <c r="AO424" s="273"/>
      <c r="AP424" s="273"/>
    </row>
    <row r="425" spans="2:42" ht="12.75">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273"/>
      <c r="AO425" s="273"/>
      <c r="AP425" s="273"/>
    </row>
    <row r="426" spans="2:42" ht="12.75">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273"/>
      <c r="AO426" s="273"/>
      <c r="AP426" s="273"/>
    </row>
    <row r="427" spans="2:42" ht="12.75">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273"/>
      <c r="AO427" s="273"/>
      <c r="AP427" s="273"/>
    </row>
    <row r="428" spans="2:42" ht="12.75">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273"/>
      <c r="AO428" s="273"/>
      <c r="AP428" s="273"/>
    </row>
    <row r="429" spans="2:42" ht="12.75">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273"/>
      <c r="AO429" s="273"/>
      <c r="AP429" s="273"/>
    </row>
    <row r="430" spans="2:42" ht="12.75">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273"/>
      <c r="AO430" s="273"/>
      <c r="AP430" s="273"/>
    </row>
    <row r="431" spans="2:42" ht="12.75">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273"/>
      <c r="AO431" s="273"/>
      <c r="AP431" s="273"/>
    </row>
    <row r="432" spans="2:42" ht="12.75">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273"/>
      <c r="AO432" s="273"/>
      <c r="AP432" s="273"/>
    </row>
    <row r="433" spans="2:42" ht="12.75">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273"/>
      <c r="AO433" s="273"/>
      <c r="AP433" s="273"/>
    </row>
    <row r="434" spans="2:42" ht="12.75">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273"/>
      <c r="AO434" s="273"/>
      <c r="AP434" s="273"/>
    </row>
    <row r="435" spans="2:42" ht="12.75">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273"/>
      <c r="AO435" s="273"/>
      <c r="AP435" s="273"/>
    </row>
    <row r="436" spans="2:42" ht="12.75">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273"/>
      <c r="AO436" s="273"/>
      <c r="AP436" s="273"/>
    </row>
    <row r="437" spans="2:42" ht="12.75">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273"/>
      <c r="AO437" s="273"/>
      <c r="AP437" s="273"/>
    </row>
    <row r="438" spans="2:42" ht="12.75">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273"/>
      <c r="AO438" s="273"/>
      <c r="AP438" s="273"/>
    </row>
    <row r="439" spans="2:42" ht="12.75">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273"/>
      <c r="AO439" s="273"/>
      <c r="AP439" s="273"/>
    </row>
    <row r="440" spans="2:42" ht="12.75">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273"/>
      <c r="AO440" s="273"/>
      <c r="AP440" s="273"/>
    </row>
    <row r="441" spans="2:42" ht="12.75">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273"/>
      <c r="AO441" s="273"/>
      <c r="AP441" s="273"/>
    </row>
    <row r="442" spans="2:42" ht="12.75">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273"/>
      <c r="AO442" s="273"/>
      <c r="AP442" s="273"/>
    </row>
    <row r="443" spans="2:42" ht="12.75">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273"/>
      <c r="AO443" s="273"/>
      <c r="AP443" s="273"/>
    </row>
    <row r="444" spans="2:42" ht="12.75">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273"/>
      <c r="AO444" s="273"/>
      <c r="AP444" s="273"/>
    </row>
    <row r="445" spans="2:42" ht="12.75">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273"/>
      <c r="AO445" s="273"/>
      <c r="AP445" s="273"/>
    </row>
    <row r="446" spans="2:42" ht="12.75">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273"/>
      <c r="AO446" s="273"/>
      <c r="AP446" s="273"/>
    </row>
    <row r="447" spans="2:42" ht="12.75">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273"/>
      <c r="AO447" s="273"/>
      <c r="AP447" s="273"/>
    </row>
    <row r="448" spans="2:42" ht="12.75">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273"/>
      <c r="AO448" s="273"/>
      <c r="AP448" s="273"/>
    </row>
    <row r="449" spans="2:42" ht="12.75">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273"/>
      <c r="AO449" s="273"/>
      <c r="AP449" s="273"/>
    </row>
    <row r="450" spans="2:42" ht="12.75">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273"/>
      <c r="AO450" s="273"/>
      <c r="AP450" s="273"/>
    </row>
    <row r="451" spans="2:42" ht="12.75">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273"/>
      <c r="AO451" s="273"/>
      <c r="AP451" s="273"/>
    </row>
    <row r="452" spans="2:42" ht="12.75">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273"/>
      <c r="AO452" s="273"/>
      <c r="AP452" s="273"/>
    </row>
    <row r="453" spans="2:42" ht="12.75">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273"/>
      <c r="AO453" s="273"/>
      <c r="AP453" s="273"/>
    </row>
    <row r="454" spans="2:42" ht="12.75">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273"/>
      <c r="AO454" s="273"/>
      <c r="AP454" s="273"/>
    </row>
    <row r="455" spans="2:42" ht="12.75">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273"/>
      <c r="AO455" s="273"/>
      <c r="AP455" s="273"/>
    </row>
    <row r="456" spans="2:42" ht="12.75">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273"/>
      <c r="AO456" s="273"/>
      <c r="AP456" s="273"/>
    </row>
    <row r="457" spans="2:42" ht="12.75">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273"/>
      <c r="AO457" s="273"/>
      <c r="AP457" s="273"/>
    </row>
    <row r="458" spans="2:42" ht="12.75">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273"/>
      <c r="AO458" s="273"/>
      <c r="AP458" s="273"/>
    </row>
    <row r="459" spans="2:42" ht="12.75">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273"/>
      <c r="AO459" s="273"/>
      <c r="AP459" s="273"/>
    </row>
    <row r="460" spans="2:42" ht="12.75">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273"/>
      <c r="AO460" s="273"/>
      <c r="AP460" s="273"/>
    </row>
    <row r="461" spans="2:42" ht="12.75">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273"/>
      <c r="AO461" s="273"/>
      <c r="AP461" s="273"/>
    </row>
    <row r="462" spans="2:42" ht="12.75">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273"/>
      <c r="AO462" s="273"/>
      <c r="AP462" s="273"/>
    </row>
    <row r="463" spans="2:42" ht="12.75">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273"/>
      <c r="AO463" s="273"/>
      <c r="AP463" s="273"/>
    </row>
    <row r="464" spans="2:42" ht="12.75">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273"/>
      <c r="AO464" s="273"/>
      <c r="AP464" s="273"/>
    </row>
    <row r="465" spans="2:42" ht="12.75">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273"/>
      <c r="AO465" s="273"/>
      <c r="AP465" s="273"/>
    </row>
    <row r="466" spans="2:42" ht="12.75">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273"/>
      <c r="AO466" s="273"/>
      <c r="AP466" s="273"/>
    </row>
    <row r="467" spans="2:42" ht="12.75">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273"/>
      <c r="AO467" s="273"/>
      <c r="AP467" s="273"/>
    </row>
    <row r="468" spans="2:42" ht="12.75">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273"/>
      <c r="AO468" s="273"/>
      <c r="AP468" s="273"/>
    </row>
    <row r="469" spans="2:42" ht="12.75">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273"/>
      <c r="AO469" s="273"/>
      <c r="AP469" s="273"/>
    </row>
    <row r="470" spans="2:42" ht="12.75">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273"/>
      <c r="AO470" s="273"/>
      <c r="AP470" s="273"/>
    </row>
    <row r="471" spans="2:42" ht="12.75">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273"/>
      <c r="AO471" s="273"/>
      <c r="AP471" s="273"/>
    </row>
    <row r="472" spans="2:42" ht="12.75">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273"/>
      <c r="AO472" s="273"/>
      <c r="AP472" s="273"/>
    </row>
    <row r="473" spans="2:42" ht="12.75">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273"/>
      <c r="AO473" s="273"/>
      <c r="AP473" s="273"/>
    </row>
    <row r="474" spans="2:42" ht="12.75">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273"/>
      <c r="AO474" s="273"/>
      <c r="AP474" s="273"/>
    </row>
    <row r="475" spans="2:42" ht="12.75">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273"/>
      <c r="AO475" s="273"/>
      <c r="AP475" s="273"/>
    </row>
    <row r="476" spans="2:42" ht="12.75">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273"/>
      <c r="AO476" s="273"/>
      <c r="AP476" s="273"/>
    </row>
    <row r="477" spans="2:42" ht="12.75">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273"/>
      <c r="AO477" s="273"/>
      <c r="AP477" s="273"/>
    </row>
    <row r="478" spans="2:42" ht="12.75">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273"/>
      <c r="AO478" s="273"/>
      <c r="AP478" s="273"/>
    </row>
    <row r="479" spans="2:42" ht="12.75">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273"/>
      <c r="AO479" s="273"/>
      <c r="AP479" s="273"/>
    </row>
    <row r="480" spans="2:42" ht="12.75">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273"/>
      <c r="AO480" s="273"/>
      <c r="AP480" s="273"/>
    </row>
    <row r="481" spans="2:42" ht="12.75">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273"/>
      <c r="AO481" s="273"/>
      <c r="AP481" s="273"/>
    </row>
    <row r="482" spans="2:42" ht="12.75">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273"/>
      <c r="AO482" s="273"/>
      <c r="AP482" s="273"/>
    </row>
    <row r="483" spans="2:42" ht="12.75">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273"/>
      <c r="AO483" s="273"/>
      <c r="AP483" s="273"/>
    </row>
    <row r="484" spans="2:42" ht="12.75">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273"/>
      <c r="AO484" s="273"/>
      <c r="AP484" s="273"/>
    </row>
    <row r="485" spans="2:42" ht="12.75">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273"/>
      <c r="AO485" s="273"/>
      <c r="AP485" s="273"/>
    </row>
    <row r="486" spans="2:42" ht="12.75">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273"/>
      <c r="AO486" s="273"/>
      <c r="AP486" s="273"/>
    </row>
    <row r="487" spans="2:42" ht="12.75">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273"/>
      <c r="AO487" s="273"/>
      <c r="AP487" s="273"/>
    </row>
    <row r="488" spans="2:42" ht="12.75">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273"/>
      <c r="AO488" s="273"/>
      <c r="AP488" s="273"/>
    </row>
    <row r="489" spans="2:42" ht="12.75">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273"/>
      <c r="AO489" s="273"/>
      <c r="AP489" s="273"/>
    </row>
    <row r="490" spans="2:42" ht="12.75">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273"/>
      <c r="AO490" s="273"/>
      <c r="AP490" s="273"/>
    </row>
    <row r="491" spans="2:42" ht="12.75">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273"/>
      <c r="AO491" s="273"/>
      <c r="AP491" s="273"/>
    </row>
    <row r="492" spans="2:42" ht="12.75">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273"/>
      <c r="AO492" s="273"/>
      <c r="AP492" s="273"/>
    </row>
    <row r="493" spans="2:42" ht="12.75">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273"/>
      <c r="AO493" s="273"/>
      <c r="AP493" s="273"/>
    </row>
    <row r="494" spans="2:42" ht="12.75">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273"/>
      <c r="AO494" s="273"/>
      <c r="AP494" s="273"/>
    </row>
    <row r="495" spans="2:42" ht="12.75">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273"/>
      <c r="AO495" s="273"/>
      <c r="AP495" s="273"/>
    </row>
    <row r="496" spans="2:42" ht="12.75">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273"/>
      <c r="AO496" s="273"/>
      <c r="AP496" s="273"/>
    </row>
    <row r="497" spans="2:42" ht="12.75">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273"/>
      <c r="AO497" s="273"/>
      <c r="AP497" s="273"/>
    </row>
    <row r="498" spans="2:42" ht="12.75">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273"/>
      <c r="AO498" s="273"/>
      <c r="AP498" s="273"/>
    </row>
    <row r="499" spans="2:42" ht="12.75">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273"/>
      <c r="AO499" s="273"/>
      <c r="AP499" s="273"/>
    </row>
    <row r="500" spans="2:42" ht="12.75">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273"/>
      <c r="AO500" s="273"/>
      <c r="AP500" s="273"/>
    </row>
    <row r="501" spans="2:42" ht="12.75">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273"/>
      <c r="AO501" s="273"/>
      <c r="AP501" s="273"/>
    </row>
    <row r="502" spans="2:42" ht="12.75">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273"/>
      <c r="AO502" s="273"/>
      <c r="AP502" s="273"/>
    </row>
    <row r="503" spans="2:42" ht="12.75">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273"/>
      <c r="AO503" s="273"/>
      <c r="AP503" s="273"/>
    </row>
    <row r="504" spans="2:42" ht="12.75">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273"/>
      <c r="AO504" s="273"/>
      <c r="AP504" s="273"/>
    </row>
    <row r="505" spans="2:42" ht="12.75">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273"/>
      <c r="AO505" s="273"/>
      <c r="AP505" s="273"/>
    </row>
    <row r="506" spans="2:42" ht="12.75">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273"/>
      <c r="AO506" s="273"/>
      <c r="AP506" s="273"/>
    </row>
    <row r="507" spans="2:42" ht="12.75">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273"/>
      <c r="AO507" s="273"/>
      <c r="AP507" s="273"/>
    </row>
    <row r="508" spans="2:42" ht="12.75">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273"/>
      <c r="AO508" s="273"/>
      <c r="AP508" s="273"/>
    </row>
    <row r="509" spans="2:42" ht="12.75">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273"/>
      <c r="AO509" s="273"/>
      <c r="AP509" s="273"/>
    </row>
    <row r="510" spans="2:42" ht="12.75">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273"/>
      <c r="AO510" s="273"/>
      <c r="AP510" s="273"/>
    </row>
    <row r="511" spans="2:42" ht="12.75">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273"/>
      <c r="AO511" s="273"/>
      <c r="AP511" s="273"/>
    </row>
    <row r="512" spans="2:42" ht="12.75">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273"/>
      <c r="AO512" s="273"/>
      <c r="AP512" s="273"/>
    </row>
    <row r="513" spans="2:42" ht="12.75">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273"/>
      <c r="AO513" s="273"/>
      <c r="AP513" s="273"/>
    </row>
    <row r="514" spans="2:42" ht="12.75">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273"/>
      <c r="AO514" s="273"/>
      <c r="AP514" s="273"/>
    </row>
    <row r="515" spans="2:42" ht="12.75">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273"/>
      <c r="AO515" s="273"/>
      <c r="AP515" s="273"/>
    </row>
    <row r="516" spans="2:42" ht="12.75">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273"/>
      <c r="AO516" s="273"/>
      <c r="AP516" s="273"/>
    </row>
    <row r="517" spans="2:42" ht="12.75">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273"/>
      <c r="AO517" s="273"/>
      <c r="AP517" s="273"/>
    </row>
    <row r="518" spans="2:42" ht="12.75">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273"/>
      <c r="AO518" s="273"/>
      <c r="AP518" s="273"/>
    </row>
    <row r="519" spans="2:42" ht="12.75">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273"/>
      <c r="AO519" s="273"/>
      <c r="AP519" s="273"/>
    </row>
    <row r="520" spans="2:42" ht="12.75">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273"/>
      <c r="AO520" s="273"/>
      <c r="AP520" s="273"/>
    </row>
    <row r="521" spans="2:42" ht="12.75">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273"/>
      <c r="AO521" s="273"/>
      <c r="AP521" s="273"/>
    </row>
    <row r="522" spans="2:42" ht="12.75">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273"/>
      <c r="AO522" s="273"/>
      <c r="AP522" s="273"/>
    </row>
    <row r="523" spans="2:42" ht="12.75">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273"/>
      <c r="AO523" s="273"/>
      <c r="AP523" s="273"/>
    </row>
    <row r="524" spans="2:42" ht="12.75">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273"/>
      <c r="AO524" s="273"/>
      <c r="AP524" s="273"/>
    </row>
    <row r="525" spans="2:42" ht="12.75">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273"/>
      <c r="AO525" s="273"/>
      <c r="AP525" s="273"/>
    </row>
    <row r="526" spans="2:42" ht="12.75">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273"/>
      <c r="AO526" s="273"/>
      <c r="AP526" s="273"/>
    </row>
    <row r="527" spans="2:42" ht="12.75">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273"/>
      <c r="AO527" s="273"/>
      <c r="AP527" s="273"/>
    </row>
    <row r="528" spans="2:42" ht="12.75">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273"/>
      <c r="AO528" s="273"/>
      <c r="AP528" s="273"/>
    </row>
    <row r="529" spans="2:42" ht="12.75">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273"/>
      <c r="AO529" s="273"/>
      <c r="AP529" s="273"/>
    </row>
    <row r="530" spans="2:42" ht="12.75">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273"/>
      <c r="AO530" s="273"/>
      <c r="AP530" s="273"/>
    </row>
    <row r="531" spans="2:42" ht="12.75">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273"/>
      <c r="AO531" s="273"/>
      <c r="AP531" s="273"/>
    </row>
    <row r="532" spans="2:42" ht="12.75">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273"/>
      <c r="AO532" s="273"/>
      <c r="AP532" s="273"/>
    </row>
    <row r="533" spans="2:42" ht="12.75">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273"/>
      <c r="AO533" s="273"/>
      <c r="AP533" s="273"/>
    </row>
    <row r="534" spans="2:42" ht="12.75">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273"/>
      <c r="AO534" s="273"/>
      <c r="AP534" s="273"/>
    </row>
    <row r="535" spans="2:42" ht="12.75">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273"/>
      <c r="AO535" s="273"/>
      <c r="AP535" s="273"/>
    </row>
    <row r="536" spans="2:42" ht="12.75">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273"/>
      <c r="AO536" s="273"/>
      <c r="AP536" s="273"/>
    </row>
    <row r="537" spans="2:42" ht="12.75">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273"/>
      <c r="AO537" s="273"/>
      <c r="AP537" s="273"/>
    </row>
    <row r="538" spans="2:42" ht="12.75">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273"/>
      <c r="AO538" s="273"/>
      <c r="AP538" s="273"/>
    </row>
    <row r="539" spans="2:42" ht="12.75">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273"/>
      <c r="AO539" s="273"/>
      <c r="AP539" s="273"/>
    </row>
    <row r="540" spans="2:42" ht="12.75">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273"/>
      <c r="AO540" s="273"/>
      <c r="AP540" s="273"/>
    </row>
    <row r="541" spans="2:42" ht="12.75">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273"/>
      <c r="AO541" s="273"/>
      <c r="AP541" s="273"/>
    </row>
    <row r="542" spans="2:42" ht="12.75">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273"/>
      <c r="AO542" s="273"/>
      <c r="AP542" s="273"/>
    </row>
    <row r="543" spans="2:42" ht="12.75">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273"/>
      <c r="AO543" s="273"/>
      <c r="AP543" s="273"/>
    </row>
    <row r="544" spans="2:42" ht="12.75">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273"/>
      <c r="AO544" s="273"/>
      <c r="AP544" s="273"/>
    </row>
    <row r="545" spans="2:42" ht="12.75">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273"/>
      <c r="AO545" s="273"/>
      <c r="AP545" s="273"/>
    </row>
    <row r="546" spans="2:42" ht="12.75">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273"/>
      <c r="AO546" s="273"/>
      <c r="AP546" s="273"/>
    </row>
    <row r="547" spans="2:42" ht="12.75">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273"/>
      <c r="AO547" s="273"/>
      <c r="AP547" s="273"/>
    </row>
    <row r="548" spans="2:42" ht="12.75">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273"/>
      <c r="AO548" s="273"/>
      <c r="AP548" s="273"/>
    </row>
    <row r="549" spans="2:42" ht="12.75">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273"/>
      <c r="AO549" s="273"/>
      <c r="AP549" s="273"/>
    </row>
    <row r="550" spans="2:42" ht="12.75">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273"/>
      <c r="AO550" s="273"/>
      <c r="AP550" s="273"/>
    </row>
    <row r="551" spans="2:42" ht="12.75">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273"/>
      <c r="AO551" s="273"/>
      <c r="AP551" s="273"/>
    </row>
    <row r="552" spans="2:42" ht="12.75">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273"/>
      <c r="AO552" s="273"/>
      <c r="AP552" s="273"/>
    </row>
    <row r="553" spans="2:42" ht="12.75">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273"/>
      <c r="AO553" s="273"/>
      <c r="AP553" s="273"/>
    </row>
    <row r="554" spans="2:42" ht="12.75">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273"/>
      <c r="AO554" s="273"/>
      <c r="AP554" s="273"/>
    </row>
    <row r="555" spans="2:42" ht="12.75">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273"/>
      <c r="AO555" s="273"/>
      <c r="AP555" s="273"/>
    </row>
    <row r="556" spans="2:42" ht="12.75">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273"/>
      <c r="AO556" s="273"/>
      <c r="AP556" s="273"/>
    </row>
    <row r="557" spans="2:42" ht="12.75">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273"/>
      <c r="AO557" s="273"/>
      <c r="AP557" s="273"/>
    </row>
    <row r="558" spans="2:42" ht="12.75">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273"/>
      <c r="AO558" s="273"/>
      <c r="AP558" s="273"/>
    </row>
    <row r="559" spans="2:42" ht="12.75">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273"/>
      <c r="AO559" s="273"/>
      <c r="AP559" s="273"/>
    </row>
    <row r="560" spans="2:42" ht="12.75">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273"/>
      <c r="AO560" s="273"/>
      <c r="AP560" s="273"/>
    </row>
    <row r="561" spans="2:42" ht="12.75">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273"/>
      <c r="AO561" s="273"/>
      <c r="AP561" s="273"/>
    </row>
    <row r="562" spans="2:42" ht="12.75">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273"/>
      <c r="AO562" s="273"/>
      <c r="AP562" s="273"/>
    </row>
    <row r="563" spans="2:42" ht="12.75">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273"/>
      <c r="AO563" s="273"/>
      <c r="AP563" s="273"/>
    </row>
    <row r="564" spans="2:42" ht="12.75">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273"/>
      <c r="AO564" s="273"/>
      <c r="AP564" s="273"/>
    </row>
    <row r="565" spans="2:42" ht="12.75">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273"/>
      <c r="AO565" s="273"/>
      <c r="AP565" s="273"/>
    </row>
    <row r="566" spans="2:42" ht="12.75">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273"/>
      <c r="AO566" s="273"/>
      <c r="AP566" s="273"/>
    </row>
    <row r="567" spans="2:42" ht="12.75">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273"/>
      <c r="AO567" s="273"/>
      <c r="AP567" s="273"/>
    </row>
    <row r="568" spans="2:42" ht="12.75">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273"/>
      <c r="AO568" s="273"/>
      <c r="AP568" s="273"/>
    </row>
    <row r="569" spans="2:42" ht="12.75">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273"/>
      <c r="AO569" s="273"/>
      <c r="AP569" s="273"/>
    </row>
    <row r="570" spans="2:42" ht="12.75">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273"/>
      <c r="AO570" s="273"/>
      <c r="AP570" s="273"/>
    </row>
    <row r="571" spans="2:42" ht="12.75">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273"/>
      <c r="AO571" s="273"/>
      <c r="AP571" s="273"/>
    </row>
    <row r="572" spans="2:42" ht="12.75">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273"/>
      <c r="AO572" s="273"/>
      <c r="AP572" s="273"/>
    </row>
    <row r="573" spans="2:42" ht="12.75">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273"/>
      <c r="AO573" s="273"/>
      <c r="AP573" s="273"/>
    </row>
    <row r="574" spans="2:42" ht="12.75">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273"/>
      <c r="AO574" s="273"/>
      <c r="AP574" s="273"/>
    </row>
    <row r="575" spans="2:42" ht="12.75">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273"/>
      <c r="AO575" s="273"/>
      <c r="AP575" s="273"/>
    </row>
    <row r="576" spans="2:42" ht="12.75">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273"/>
      <c r="AO576" s="273"/>
      <c r="AP576" s="273"/>
    </row>
    <row r="577" spans="2:42" ht="12.75">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273"/>
      <c r="AO577" s="273"/>
      <c r="AP577" s="273"/>
    </row>
    <row r="578" spans="2:42" ht="12.75">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273"/>
      <c r="AO578" s="273"/>
      <c r="AP578" s="273"/>
    </row>
    <row r="579" spans="2:42" ht="12.75">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273"/>
      <c r="AO579" s="273"/>
      <c r="AP579" s="273"/>
    </row>
    <row r="580" spans="2:42" ht="12.75">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273"/>
      <c r="AO580" s="273"/>
      <c r="AP580" s="273"/>
    </row>
    <row r="581" spans="2:42" ht="12.75">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273"/>
      <c r="AO581" s="273"/>
      <c r="AP581" s="273"/>
    </row>
    <row r="582" spans="2:42" ht="12.75">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273"/>
      <c r="AO582" s="273"/>
      <c r="AP582" s="273"/>
    </row>
    <row r="583" spans="2:42" ht="12.75">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273"/>
      <c r="AO583" s="273"/>
      <c r="AP583" s="273"/>
    </row>
    <row r="584" spans="2:42" ht="12.75">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273"/>
      <c r="AO584" s="273"/>
      <c r="AP584" s="273"/>
    </row>
    <row r="585" spans="2:42" ht="12.75">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273"/>
      <c r="AO585" s="273"/>
      <c r="AP585" s="273"/>
    </row>
    <row r="586" spans="2:42" ht="12.75">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273"/>
      <c r="AO586" s="273"/>
      <c r="AP586" s="273"/>
    </row>
    <row r="587" spans="2:42" ht="12.75">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273"/>
      <c r="AO587" s="273"/>
      <c r="AP587" s="273"/>
    </row>
    <row r="588" spans="2:42" ht="12.75">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273"/>
      <c r="AO588" s="273"/>
      <c r="AP588" s="273"/>
    </row>
    <row r="589" spans="2:42" ht="12.75">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273"/>
      <c r="AO589" s="273"/>
      <c r="AP589" s="273"/>
    </row>
    <row r="590" spans="2:42" ht="12.75">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273"/>
      <c r="AO590" s="273"/>
      <c r="AP590" s="273"/>
    </row>
    <row r="591" spans="2:42" ht="12.75">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273"/>
      <c r="AO591" s="273"/>
      <c r="AP591" s="273"/>
    </row>
    <row r="592" spans="2:42" ht="12.75">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273"/>
      <c r="AO592" s="273"/>
      <c r="AP592" s="273"/>
    </row>
    <row r="593" spans="2:42" ht="12.75">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273"/>
      <c r="AO593" s="273"/>
      <c r="AP593" s="273"/>
    </row>
    <row r="594" spans="2:42" ht="12.75">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273"/>
      <c r="AO594" s="273"/>
      <c r="AP594" s="273"/>
    </row>
    <row r="595" spans="2:42" ht="12.75">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273"/>
      <c r="AO595" s="273"/>
      <c r="AP595" s="273"/>
    </row>
    <row r="596" spans="2:42" ht="12.75">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273"/>
      <c r="AO596" s="273"/>
      <c r="AP596" s="273"/>
    </row>
    <row r="597" spans="2:42" ht="12.75">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273"/>
      <c r="AO597" s="273"/>
      <c r="AP597" s="273"/>
    </row>
    <row r="598" spans="2:42" ht="12.75">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273"/>
      <c r="AO598" s="273"/>
      <c r="AP598" s="273"/>
    </row>
    <row r="599" spans="2:42" ht="12.75">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273"/>
      <c r="AO599" s="273"/>
      <c r="AP599" s="273"/>
    </row>
    <row r="600" spans="2:42" ht="12.75">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273"/>
      <c r="AO600" s="273"/>
      <c r="AP600" s="273"/>
    </row>
    <row r="601" spans="2:42" ht="12.75">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273"/>
      <c r="AO601" s="273"/>
      <c r="AP601" s="273"/>
    </row>
    <row r="602" spans="2:42" ht="12.75">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273"/>
      <c r="AO602" s="273"/>
      <c r="AP602" s="273"/>
    </row>
    <row r="603" spans="2:42" ht="12.75">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273"/>
      <c r="AO603" s="273"/>
      <c r="AP603" s="273"/>
    </row>
    <row r="604" spans="2:42" ht="12.75">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273"/>
      <c r="AO604" s="273"/>
      <c r="AP604" s="273"/>
    </row>
    <row r="605" spans="2:42" ht="12.75">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273"/>
      <c r="AO605" s="273"/>
      <c r="AP605" s="273"/>
    </row>
    <row r="606" spans="2:42" ht="12.75">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273"/>
      <c r="AO606" s="273"/>
      <c r="AP606" s="273"/>
    </row>
    <row r="607" spans="2:42" ht="12.75">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273"/>
      <c r="AO607" s="273"/>
      <c r="AP607" s="273"/>
    </row>
    <row r="608" spans="2:42" ht="12.75">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273"/>
      <c r="AO608" s="273"/>
      <c r="AP608" s="273"/>
    </row>
    <row r="609" spans="2:42" ht="12.75">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273"/>
      <c r="AO609" s="273"/>
      <c r="AP609" s="273"/>
    </row>
    <row r="610" spans="2:42" ht="12.75">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273"/>
      <c r="AO610" s="273"/>
      <c r="AP610" s="273"/>
    </row>
    <row r="611" spans="2:42" ht="12.75">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273"/>
      <c r="AO611" s="273"/>
      <c r="AP611" s="273"/>
    </row>
    <row r="612" spans="2:42" ht="12.75">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273"/>
      <c r="AO612" s="273"/>
      <c r="AP612" s="273"/>
    </row>
    <row r="613" spans="2:42" ht="12.75">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273"/>
      <c r="AO613" s="273"/>
      <c r="AP613" s="273"/>
    </row>
    <row r="614" spans="2:42" ht="12.75">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273"/>
      <c r="AO614" s="273"/>
      <c r="AP614" s="273"/>
    </row>
    <row r="615" spans="2:42" ht="12.75">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273"/>
      <c r="AO615" s="273"/>
      <c r="AP615" s="273"/>
    </row>
    <row r="616" spans="2:42" ht="12.75">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273"/>
      <c r="AO616" s="273"/>
      <c r="AP616" s="273"/>
    </row>
    <row r="617" spans="2:42" ht="12.75">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273"/>
      <c r="AO617" s="273"/>
      <c r="AP617" s="273"/>
    </row>
    <row r="618" spans="2:42" ht="12.75">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273"/>
      <c r="AO618" s="273"/>
      <c r="AP618" s="273"/>
    </row>
    <row r="619" spans="2:42" ht="12.75">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273"/>
      <c r="AO619" s="273"/>
      <c r="AP619" s="273"/>
    </row>
    <row r="620" spans="2:42" ht="12.75">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273"/>
      <c r="AO620" s="273"/>
      <c r="AP620" s="273"/>
    </row>
    <row r="621" spans="2:42" ht="12.75">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273"/>
      <c r="AO621" s="273"/>
      <c r="AP621" s="273"/>
    </row>
    <row r="622" spans="2:42" ht="12.75">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273"/>
      <c r="AO622" s="273"/>
      <c r="AP622" s="273"/>
    </row>
    <row r="623" spans="2:42" ht="12.75">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273"/>
      <c r="AO623" s="273"/>
      <c r="AP623" s="273"/>
    </row>
    <row r="624" spans="2:42" ht="12.75">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273"/>
      <c r="AO624" s="273"/>
      <c r="AP624" s="273"/>
    </row>
    <row r="625" spans="2:42" ht="12.75">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273"/>
      <c r="AO625" s="273"/>
      <c r="AP625" s="273"/>
    </row>
    <row r="626" spans="2:42" ht="12.75">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273"/>
      <c r="AO626" s="273"/>
      <c r="AP626" s="273"/>
    </row>
    <row r="627" spans="2:42" ht="12.75">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273"/>
      <c r="AO627" s="273"/>
      <c r="AP627" s="273"/>
    </row>
    <row r="628" spans="2:42" ht="12.75">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273"/>
      <c r="AO628" s="273"/>
      <c r="AP628" s="273"/>
    </row>
    <row r="629" spans="2:42" ht="12.75">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273"/>
      <c r="AO629" s="273"/>
      <c r="AP629" s="273"/>
    </row>
    <row r="630" spans="2:42" ht="12.75">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273"/>
      <c r="AO630" s="273"/>
      <c r="AP630" s="273"/>
    </row>
    <row r="631" spans="2:42" ht="12.75">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273"/>
      <c r="AO631" s="273"/>
      <c r="AP631" s="273"/>
    </row>
    <row r="632" spans="2:42" ht="12.75">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273"/>
      <c r="AO632" s="273"/>
      <c r="AP632" s="273"/>
    </row>
    <row r="633" spans="2:42" ht="12.75">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273"/>
      <c r="AO633" s="273"/>
      <c r="AP633" s="273"/>
    </row>
    <row r="634" spans="2:42" ht="12.75">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273"/>
      <c r="AO634" s="273"/>
      <c r="AP634" s="273"/>
    </row>
    <row r="635" spans="2:42" ht="12.75">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273"/>
      <c r="AO635" s="273"/>
      <c r="AP635" s="273"/>
    </row>
    <row r="636" spans="2:42" ht="12.75">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273"/>
      <c r="AO636" s="273"/>
      <c r="AP636" s="273"/>
    </row>
    <row r="637" spans="2:42" ht="12.75">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273"/>
      <c r="AO637" s="273"/>
      <c r="AP637" s="273"/>
    </row>
    <row r="638" spans="2:42" ht="12.75">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273"/>
      <c r="AO638" s="273"/>
      <c r="AP638" s="273"/>
    </row>
    <row r="639" spans="2:42" ht="12.75">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273"/>
      <c r="AO639" s="273"/>
      <c r="AP639" s="273"/>
    </row>
    <row r="640" spans="2:42" ht="12.75">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273"/>
      <c r="AO640" s="273"/>
      <c r="AP640" s="273"/>
    </row>
    <row r="641" spans="2:42" ht="12.75">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273"/>
      <c r="AO641" s="273"/>
      <c r="AP641" s="273"/>
    </row>
    <row r="642" spans="2:42" ht="12.75">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273"/>
      <c r="AO642" s="273"/>
      <c r="AP642" s="273"/>
    </row>
    <row r="643" spans="2:42" ht="12.75">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273"/>
      <c r="AO643" s="273"/>
      <c r="AP643" s="273"/>
    </row>
    <row r="644" spans="2:42" ht="12.75">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273"/>
      <c r="AO644" s="273"/>
      <c r="AP644" s="273"/>
    </row>
    <row r="645" spans="2:42" ht="12.75">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273"/>
      <c r="AO645" s="273"/>
      <c r="AP645" s="273"/>
    </row>
    <row r="646" spans="2:42" ht="12.75">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273"/>
      <c r="AO646" s="273"/>
      <c r="AP646" s="273"/>
    </row>
    <row r="647" spans="2:42" ht="12.75">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273"/>
      <c r="AO647" s="273"/>
      <c r="AP647" s="273"/>
    </row>
    <row r="648" spans="2:42" ht="12.75">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273"/>
      <c r="AO648" s="273"/>
      <c r="AP648" s="273"/>
    </row>
    <row r="649" spans="2:42" ht="12.75">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273"/>
      <c r="AO649" s="273"/>
      <c r="AP649" s="273"/>
    </row>
    <row r="650" spans="2:42" ht="12.75">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273"/>
      <c r="AO650" s="273"/>
      <c r="AP650" s="273"/>
    </row>
    <row r="651" spans="2:42" ht="12.75">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273"/>
      <c r="AO651" s="273"/>
      <c r="AP651" s="273"/>
    </row>
    <row r="652" spans="2:42" ht="12.75">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273"/>
      <c r="AO652" s="273"/>
      <c r="AP652" s="273"/>
    </row>
    <row r="653" spans="2:42" ht="12.75">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273"/>
      <c r="AO653" s="273"/>
      <c r="AP653" s="273"/>
    </row>
    <row r="654" spans="2:42" ht="12.75">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273"/>
      <c r="AO654" s="273"/>
      <c r="AP654" s="273"/>
    </row>
    <row r="655" spans="2:42" ht="12.75">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273"/>
      <c r="AO655" s="273"/>
      <c r="AP655" s="273"/>
    </row>
    <row r="656" spans="2:42" ht="12.75">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273"/>
      <c r="AO656" s="273"/>
      <c r="AP656" s="273"/>
    </row>
    <row r="657" spans="2:42" ht="12.75">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273"/>
      <c r="AO657" s="273"/>
      <c r="AP657" s="273"/>
    </row>
    <row r="658" spans="2:42" ht="12.75">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273"/>
      <c r="AO658" s="273"/>
      <c r="AP658" s="273"/>
    </row>
    <row r="659" spans="2:42" ht="12.75">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273"/>
      <c r="AO659" s="273"/>
      <c r="AP659" s="273"/>
    </row>
    <row r="660" spans="2:42" ht="12.75">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273"/>
      <c r="AO660" s="273"/>
      <c r="AP660" s="273"/>
    </row>
    <row r="661" spans="2:42" ht="12.75">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273"/>
      <c r="AO661" s="273"/>
      <c r="AP661" s="273"/>
    </row>
    <row r="662" spans="2:42" ht="12.75">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273"/>
      <c r="AO662" s="273"/>
      <c r="AP662" s="273"/>
    </row>
    <row r="663" spans="2:42" ht="12.75">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273"/>
      <c r="AO663" s="273"/>
      <c r="AP663" s="273"/>
    </row>
    <row r="664" spans="2:42" ht="12.75">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273"/>
      <c r="AO664" s="273"/>
      <c r="AP664" s="273"/>
    </row>
    <row r="665" spans="2:42" ht="12.75">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273"/>
      <c r="AO665" s="273"/>
      <c r="AP665" s="273"/>
    </row>
    <row r="666" spans="2:42" ht="12.75">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273"/>
      <c r="AO666" s="273"/>
      <c r="AP666" s="273"/>
    </row>
    <row r="667" spans="2:42" ht="12.75">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273"/>
      <c r="AO667" s="273"/>
      <c r="AP667" s="273"/>
    </row>
    <row r="668" spans="2:42" ht="12.75">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273"/>
      <c r="AO668" s="273"/>
      <c r="AP668" s="273"/>
    </row>
    <row r="669" spans="2:42" ht="12.75">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273"/>
      <c r="AO669" s="273"/>
      <c r="AP669" s="273"/>
    </row>
    <row r="670" spans="2:42" ht="12.75">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273"/>
      <c r="AO670" s="273"/>
      <c r="AP670" s="273"/>
    </row>
    <row r="671" spans="2:42" ht="12.75">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273"/>
      <c r="AO671" s="273"/>
      <c r="AP671" s="273"/>
    </row>
    <row r="672" spans="2:42" ht="12.75">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273"/>
      <c r="AO672" s="273"/>
      <c r="AP672" s="273"/>
    </row>
    <row r="673" spans="2:42" ht="12.75">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273"/>
      <c r="AO673" s="273"/>
      <c r="AP673" s="273"/>
    </row>
    <row r="674" spans="2:42" ht="12.75">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273"/>
      <c r="AO674" s="273"/>
      <c r="AP674" s="273"/>
    </row>
    <row r="675" spans="2:42" ht="12.75">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273"/>
      <c r="AO675" s="273"/>
      <c r="AP675" s="273"/>
    </row>
    <row r="676" spans="2:42" ht="12.75">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273"/>
      <c r="AO676" s="273"/>
      <c r="AP676" s="273"/>
    </row>
    <row r="677" spans="2:42" ht="12.75">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273"/>
      <c r="AO677" s="273"/>
      <c r="AP677" s="273"/>
    </row>
    <row r="678" spans="2:42" ht="12.75">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273"/>
      <c r="AO678" s="273"/>
      <c r="AP678" s="273"/>
    </row>
    <row r="679" spans="2:42" ht="12.75">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273"/>
      <c r="AO679" s="273"/>
      <c r="AP679" s="273"/>
    </row>
    <row r="680" spans="2:42" ht="12.75">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273"/>
      <c r="AO680" s="273"/>
      <c r="AP680" s="273"/>
    </row>
    <row r="681" spans="2:42" ht="12.75">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273"/>
      <c r="AO681" s="273"/>
      <c r="AP681" s="273"/>
    </row>
    <row r="682" spans="2:42" ht="12.75">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273"/>
      <c r="AO682" s="273"/>
      <c r="AP682" s="273"/>
    </row>
    <row r="683" spans="2:42" ht="12.75">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273"/>
      <c r="AO683" s="273"/>
      <c r="AP683" s="273"/>
    </row>
    <row r="684" spans="2:42" ht="12.75">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273"/>
      <c r="AO684" s="273"/>
      <c r="AP684" s="273"/>
    </row>
    <row r="685" spans="2:42" ht="12.75">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273"/>
      <c r="AO685" s="273"/>
      <c r="AP685" s="273"/>
    </row>
    <row r="686" spans="2:42" ht="12.75">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273"/>
      <c r="AO686" s="273"/>
      <c r="AP686" s="273"/>
    </row>
    <row r="687" spans="2:42" ht="12.75">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273"/>
      <c r="AO687" s="273"/>
      <c r="AP687" s="273"/>
    </row>
    <row r="688" spans="2:42" ht="12.75">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273"/>
      <c r="AO688" s="273"/>
      <c r="AP688" s="273"/>
    </row>
    <row r="689" spans="2:42" ht="12.75">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273"/>
      <c r="AO689" s="273"/>
      <c r="AP689" s="273"/>
    </row>
    <row r="690" spans="2:42" ht="12.75">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273"/>
      <c r="AO690" s="273"/>
      <c r="AP690" s="273"/>
    </row>
    <row r="691" spans="2:42" ht="12.75">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273"/>
      <c r="AO691" s="273"/>
      <c r="AP691" s="273"/>
    </row>
    <row r="692" spans="2:42" ht="12.75">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273"/>
      <c r="AO692" s="273"/>
      <c r="AP692" s="273"/>
    </row>
    <row r="693" spans="2:42" ht="12.75">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273"/>
      <c r="AO693" s="273"/>
      <c r="AP693" s="273"/>
    </row>
    <row r="694" spans="2:42" ht="12.75">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273"/>
      <c r="AO694" s="273"/>
      <c r="AP694" s="273"/>
    </row>
    <row r="695" spans="2:42" ht="12.75">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273"/>
      <c r="AO695" s="273"/>
      <c r="AP695" s="273"/>
    </row>
    <row r="696" spans="2:42" ht="12.75">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273"/>
      <c r="AO696" s="273"/>
      <c r="AP696" s="273"/>
    </row>
    <row r="697" spans="2:42" ht="12.75">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273"/>
      <c r="AO697" s="273"/>
      <c r="AP697" s="273"/>
    </row>
    <row r="698" spans="2:42" ht="12.75">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273"/>
      <c r="AO698" s="273"/>
      <c r="AP698" s="273"/>
    </row>
    <row r="699" spans="2:42" ht="12.75">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273"/>
      <c r="AO699" s="273"/>
      <c r="AP699" s="273"/>
    </row>
    <row r="700" spans="2:42" ht="12.75">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273"/>
      <c r="AO700" s="273"/>
      <c r="AP700" s="273"/>
    </row>
    <row r="701" spans="2:42" ht="12.75">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273"/>
      <c r="AO701" s="273"/>
      <c r="AP701" s="273"/>
    </row>
    <row r="702" spans="2:42" ht="12.75">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273"/>
      <c r="AO702" s="273"/>
      <c r="AP702" s="273"/>
    </row>
    <row r="703" spans="2:42" ht="12.75">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273"/>
      <c r="AO703" s="273"/>
      <c r="AP703" s="273"/>
    </row>
    <row r="704" spans="2:42" ht="12.75">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273"/>
      <c r="AO704" s="273"/>
      <c r="AP704" s="273"/>
    </row>
    <row r="705" spans="2:42" ht="12.75">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273"/>
      <c r="AO705" s="273"/>
      <c r="AP705" s="273"/>
    </row>
    <row r="706" spans="2:42" ht="12.75">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273"/>
      <c r="AO706" s="273"/>
      <c r="AP706" s="273"/>
    </row>
    <row r="707" spans="2:42" ht="12.75">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273"/>
      <c r="AO707" s="273"/>
      <c r="AP707" s="273"/>
    </row>
    <row r="708" spans="2:42" ht="12.75">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273"/>
      <c r="AO708" s="273"/>
      <c r="AP708" s="273"/>
    </row>
    <row r="709" spans="2:42" ht="12.75">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273"/>
      <c r="AO709" s="273"/>
      <c r="AP709" s="273"/>
    </row>
    <row r="710" spans="2:42" ht="12.75">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273"/>
      <c r="AO710" s="273"/>
      <c r="AP710" s="273"/>
    </row>
    <row r="711" spans="2:42" ht="12.75">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273"/>
      <c r="AO711" s="273"/>
      <c r="AP711" s="273"/>
    </row>
    <row r="712" spans="2:42" ht="12.75">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273"/>
      <c r="AO712" s="273"/>
      <c r="AP712" s="273"/>
    </row>
    <row r="713" spans="2:42" ht="12.75">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273"/>
      <c r="AO713" s="273"/>
      <c r="AP713" s="273"/>
    </row>
    <row r="714" spans="2:42" ht="12.75">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273"/>
      <c r="AO714" s="273"/>
      <c r="AP714" s="273"/>
    </row>
    <row r="715" spans="2:42" ht="12.75">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273"/>
      <c r="AO715" s="273"/>
      <c r="AP715" s="273"/>
    </row>
    <row r="716" spans="2:42" ht="12.75">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273"/>
      <c r="AO716" s="273"/>
      <c r="AP716" s="273"/>
    </row>
    <row r="717" spans="2:42" ht="12.75">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273"/>
      <c r="AO717" s="273"/>
      <c r="AP717" s="273"/>
    </row>
    <row r="718" spans="2:42" ht="12.75">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273"/>
      <c r="AO718" s="273"/>
      <c r="AP718" s="273"/>
    </row>
    <row r="719" spans="2:42" ht="12.75">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273"/>
      <c r="AO719" s="273"/>
      <c r="AP719" s="273"/>
    </row>
    <row r="720" spans="2:42" ht="12.75">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273"/>
      <c r="AO720" s="273"/>
      <c r="AP720" s="273"/>
    </row>
    <row r="721" spans="2:42" ht="12.75">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273"/>
      <c r="AO721" s="273"/>
      <c r="AP721" s="273"/>
    </row>
    <row r="722" spans="2:42" ht="12.75">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273"/>
      <c r="AO722" s="273"/>
      <c r="AP722" s="273"/>
    </row>
    <row r="723" spans="2:42" ht="12.75">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273"/>
      <c r="AO723" s="273"/>
      <c r="AP723" s="273"/>
    </row>
    <row r="724" spans="2:42" ht="12.75">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273"/>
      <c r="AO724" s="273"/>
      <c r="AP724" s="273"/>
    </row>
    <row r="725" spans="2:42" ht="12.75">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273"/>
      <c r="AO725" s="273"/>
      <c r="AP725" s="273"/>
    </row>
    <row r="726" spans="2:42" ht="12.75">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273"/>
      <c r="AO726" s="273"/>
      <c r="AP726" s="273"/>
    </row>
    <row r="727" spans="2:42" ht="12.75">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273"/>
      <c r="AO727" s="273"/>
      <c r="AP727" s="273"/>
    </row>
    <row r="728" spans="2:42" ht="12.75">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273"/>
      <c r="AO728" s="273"/>
      <c r="AP728" s="273"/>
    </row>
    <row r="729" spans="2:42" ht="12.75">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273"/>
      <c r="AO729" s="273"/>
      <c r="AP729" s="273"/>
    </row>
    <row r="730" spans="2:42" ht="12.75">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273"/>
      <c r="AO730" s="273"/>
      <c r="AP730" s="273"/>
    </row>
    <row r="731" spans="2:42" ht="12.75">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273"/>
      <c r="AO731" s="273"/>
      <c r="AP731" s="273"/>
    </row>
    <row r="732" spans="2:42" ht="12.75">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273"/>
      <c r="AO732" s="273"/>
      <c r="AP732" s="273"/>
    </row>
    <row r="733" spans="2:42" ht="12.75">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273"/>
      <c r="AO733" s="273"/>
      <c r="AP733" s="273"/>
    </row>
    <row r="734" spans="2:42" ht="12.75">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273"/>
      <c r="AO734" s="273"/>
      <c r="AP734" s="273"/>
    </row>
    <row r="735" spans="2:42" ht="12.75">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273"/>
      <c r="AO735" s="273"/>
      <c r="AP735" s="273"/>
    </row>
    <row r="736" spans="2:42" ht="12.75">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273"/>
      <c r="AO736" s="273"/>
      <c r="AP736" s="273"/>
    </row>
    <row r="737" spans="2:42" ht="12.75">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273"/>
      <c r="AO737" s="273"/>
      <c r="AP737" s="273"/>
    </row>
    <row r="738" spans="2:42" ht="12.75">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273"/>
      <c r="AO738" s="273"/>
      <c r="AP738" s="273"/>
    </row>
    <row r="739" spans="2:42" ht="12.75">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273"/>
      <c r="AO739" s="273"/>
      <c r="AP739" s="273"/>
    </row>
    <row r="740" spans="2:42" ht="12.75">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273"/>
      <c r="AO740" s="273"/>
      <c r="AP740" s="273"/>
    </row>
    <row r="741" spans="2:42" ht="12.75">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273"/>
      <c r="AO741" s="273"/>
      <c r="AP741" s="273"/>
    </row>
    <row r="742" spans="2:42" ht="12.75">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273"/>
      <c r="AO742" s="273"/>
      <c r="AP742" s="273"/>
    </row>
    <row r="743" spans="2:42" ht="12.75">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273"/>
      <c r="AO743" s="273"/>
      <c r="AP743" s="273"/>
    </row>
    <row r="744" spans="2:42" ht="12.75">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273"/>
      <c r="AO744" s="273"/>
      <c r="AP744" s="273"/>
    </row>
    <row r="745" spans="2:42" ht="12.75">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273"/>
      <c r="AO745" s="273"/>
      <c r="AP745" s="273"/>
    </row>
    <row r="746" spans="2:42" ht="12.75">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273"/>
      <c r="AO746" s="273"/>
      <c r="AP746" s="273"/>
    </row>
    <row r="747" spans="2:42" ht="12.75">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273"/>
      <c r="AO747" s="273"/>
      <c r="AP747" s="273"/>
    </row>
    <row r="748" spans="2:42" ht="12.75">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273"/>
      <c r="AO748" s="273"/>
      <c r="AP748" s="273"/>
    </row>
    <row r="749" spans="2:42" ht="12.75">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273"/>
      <c r="AO749" s="273"/>
      <c r="AP749" s="273"/>
    </row>
    <row r="750" spans="2:42" ht="12.75">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273"/>
      <c r="AO750" s="273"/>
      <c r="AP750" s="273"/>
    </row>
    <row r="751" spans="2:42" ht="12.75">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273"/>
      <c r="AO751" s="273"/>
      <c r="AP751" s="273"/>
    </row>
    <row r="752" spans="2:42" ht="12.75">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273"/>
      <c r="AO752" s="273"/>
      <c r="AP752" s="273"/>
    </row>
    <row r="753" spans="2:42" ht="12.75">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273"/>
      <c r="AO753" s="273"/>
      <c r="AP753" s="273"/>
    </row>
    <row r="754" spans="2:42" ht="12.75">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273"/>
      <c r="AO754" s="273"/>
      <c r="AP754" s="273"/>
    </row>
    <row r="755" spans="2:42" ht="12.75">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273"/>
      <c r="AO755" s="273"/>
      <c r="AP755" s="273"/>
    </row>
    <row r="756" spans="2:42" ht="12.75">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273"/>
      <c r="AO756" s="273"/>
      <c r="AP756" s="273"/>
    </row>
    <row r="757" spans="2:42" ht="12.75">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273"/>
      <c r="AO757" s="273"/>
      <c r="AP757" s="273"/>
    </row>
    <row r="758" spans="2:42" ht="12.75">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273"/>
      <c r="AO758" s="273"/>
      <c r="AP758" s="273"/>
    </row>
    <row r="759" spans="2:42" ht="12.75">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273"/>
      <c r="AO759" s="273"/>
      <c r="AP759" s="273"/>
    </row>
    <row r="760" spans="2:42" ht="12.75">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273"/>
      <c r="AO760" s="273"/>
      <c r="AP760" s="273"/>
    </row>
    <row r="761" spans="2:42" ht="12.75">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273"/>
      <c r="AO761" s="273"/>
      <c r="AP761" s="273"/>
    </row>
    <row r="762" spans="2:42" ht="12.75">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273"/>
      <c r="AO762" s="273"/>
      <c r="AP762" s="273"/>
    </row>
    <row r="763" spans="2:42" ht="12.75">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273"/>
      <c r="AO763" s="273"/>
      <c r="AP763" s="273"/>
    </row>
    <row r="764" spans="2:42" ht="12.75">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273"/>
      <c r="AO764" s="273"/>
      <c r="AP764" s="273"/>
    </row>
    <row r="765" spans="2:42" ht="12.75">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273"/>
      <c r="AO765" s="273"/>
      <c r="AP765" s="273"/>
    </row>
    <row r="766" spans="2:42" ht="12.75">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273"/>
      <c r="AO766" s="273"/>
      <c r="AP766" s="273"/>
    </row>
    <row r="767" spans="2:42" ht="12.75">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273"/>
      <c r="AO767" s="273"/>
      <c r="AP767" s="273"/>
    </row>
    <row r="768" spans="2:42" ht="12.75">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273"/>
      <c r="AO768" s="273"/>
      <c r="AP768" s="273"/>
    </row>
    <row r="769" spans="2:42" ht="12.75">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273"/>
      <c r="AO769" s="273"/>
      <c r="AP769" s="273"/>
    </row>
    <row r="770" spans="2:42" ht="12.75">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273"/>
      <c r="AO770" s="273"/>
      <c r="AP770" s="273"/>
    </row>
    <row r="771" spans="2:42" ht="12.75">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273"/>
      <c r="AO771" s="273"/>
      <c r="AP771" s="273"/>
    </row>
    <row r="772" spans="2:42" ht="12.75">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273"/>
      <c r="AO772" s="273"/>
      <c r="AP772" s="273"/>
    </row>
    <row r="773" spans="2:42" ht="12.75">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273"/>
      <c r="AO773" s="273"/>
      <c r="AP773" s="273"/>
    </row>
    <row r="774" spans="2:42" ht="12.75">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273"/>
      <c r="AO774" s="273"/>
      <c r="AP774" s="273"/>
    </row>
    <row r="775" spans="2:42" ht="12.75">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273"/>
      <c r="AO775" s="273"/>
      <c r="AP775" s="273"/>
    </row>
    <row r="776" spans="2:42" ht="12.75">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273"/>
      <c r="AO776" s="273"/>
      <c r="AP776" s="273"/>
    </row>
    <row r="777" spans="2:42" ht="12.75">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273"/>
      <c r="AO777" s="273"/>
      <c r="AP777" s="273"/>
    </row>
    <row r="778" spans="2:42" ht="12.75">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273"/>
      <c r="AO778" s="273"/>
      <c r="AP778" s="273"/>
    </row>
    <row r="779" spans="2:42" ht="12.75">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273"/>
      <c r="AO779" s="273"/>
      <c r="AP779" s="273"/>
    </row>
    <row r="780" spans="2:42" ht="12.75">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273"/>
      <c r="AO780" s="273"/>
      <c r="AP780" s="273"/>
    </row>
    <row r="781" spans="2:42" ht="12.75">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273"/>
      <c r="AO781" s="273"/>
      <c r="AP781" s="273"/>
    </row>
    <row r="782" spans="2:42" ht="12.75">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273"/>
      <c r="AO782" s="273"/>
      <c r="AP782" s="273"/>
    </row>
    <row r="783" spans="2:42" ht="12.75">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273"/>
      <c r="AO783" s="273"/>
      <c r="AP783" s="273"/>
    </row>
    <row r="784" spans="2:42" ht="12.75">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273"/>
      <c r="AO784" s="273"/>
      <c r="AP784" s="273"/>
    </row>
    <row r="785" spans="2:42" ht="12.75">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273"/>
      <c r="AO785" s="273"/>
      <c r="AP785" s="273"/>
    </row>
    <row r="786" spans="2:42" ht="12.75">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273"/>
      <c r="AO786" s="273"/>
      <c r="AP786" s="273"/>
    </row>
    <row r="787" spans="2:42" ht="12.75">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273"/>
      <c r="AO787" s="273"/>
      <c r="AP787" s="273"/>
    </row>
    <row r="788" spans="2:42" ht="12.75">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273"/>
      <c r="AO788" s="273"/>
      <c r="AP788" s="273"/>
    </row>
    <row r="789" spans="2:42" ht="12.75">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273"/>
      <c r="AO789" s="273"/>
      <c r="AP789" s="273"/>
    </row>
    <row r="790" spans="2:42" ht="12.75">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273"/>
      <c r="AO790" s="273"/>
      <c r="AP790" s="273"/>
    </row>
    <row r="791" spans="2:42" ht="12.75">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273"/>
      <c r="AO791" s="273"/>
      <c r="AP791" s="273"/>
    </row>
    <row r="792" spans="2:42" ht="12.75">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273"/>
      <c r="AO792" s="273"/>
      <c r="AP792" s="273"/>
    </row>
    <row r="793" spans="2:42" ht="12.75">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273"/>
      <c r="AO793" s="273"/>
      <c r="AP793" s="273"/>
    </row>
    <row r="794" spans="2:42" ht="12.75">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273"/>
      <c r="AO794" s="273"/>
      <c r="AP794" s="273"/>
    </row>
    <row r="795" spans="2:42" ht="12.75">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273"/>
      <c r="AO795" s="273"/>
      <c r="AP795" s="273"/>
    </row>
    <row r="796" spans="2:42" ht="12.75">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273"/>
      <c r="AO796" s="273"/>
      <c r="AP796" s="273"/>
    </row>
    <row r="797" spans="2:42" ht="12.75">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273"/>
      <c r="AO797" s="273"/>
      <c r="AP797" s="273"/>
    </row>
    <row r="798" spans="2:42" ht="12.75">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273"/>
      <c r="AO798" s="273"/>
      <c r="AP798" s="273"/>
    </row>
    <row r="799" spans="2:42" ht="12.75">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273"/>
      <c r="AO799" s="273"/>
      <c r="AP799" s="273"/>
    </row>
    <row r="800" spans="2:42" ht="12.75">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273"/>
      <c r="AO800" s="273"/>
      <c r="AP800" s="273"/>
    </row>
    <row r="801" spans="2:42" ht="12.75">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273"/>
      <c r="AO801" s="273"/>
      <c r="AP801" s="273"/>
    </row>
    <row r="802" spans="2:42" ht="12.75">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273"/>
      <c r="AO802" s="273"/>
      <c r="AP802" s="273"/>
    </row>
    <row r="803" spans="2:42" ht="12.75">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273"/>
      <c r="AO803" s="273"/>
      <c r="AP803" s="273"/>
    </row>
    <row r="804" spans="2:42" ht="12.75">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273"/>
      <c r="AO804" s="273"/>
      <c r="AP804" s="273"/>
    </row>
    <row r="805" spans="2:42" ht="12.75">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273"/>
      <c r="AO805" s="273"/>
      <c r="AP805" s="273"/>
    </row>
    <row r="806" spans="2:42" ht="12.75">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273"/>
      <c r="AO806" s="273"/>
      <c r="AP806" s="273"/>
    </row>
    <row r="807" spans="2:42" ht="12.75">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273"/>
      <c r="AO807" s="273"/>
      <c r="AP807" s="273"/>
    </row>
    <row r="808" spans="2:42" ht="12.75">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273"/>
      <c r="AO808" s="273"/>
      <c r="AP808" s="273"/>
    </row>
    <row r="809" spans="2:42" ht="12.75">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273"/>
      <c r="AO809" s="273"/>
      <c r="AP809" s="273"/>
    </row>
    <row r="810" spans="2:42" ht="12.75">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273"/>
      <c r="AO810" s="273"/>
      <c r="AP810" s="273"/>
    </row>
    <row r="811" spans="2:42" ht="12.75">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273"/>
      <c r="AO811" s="273"/>
      <c r="AP811" s="273"/>
    </row>
    <row r="812" spans="2:42" ht="12.75">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273"/>
      <c r="AO812" s="273"/>
      <c r="AP812" s="273"/>
    </row>
    <row r="813" spans="2:42" ht="12.75">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273"/>
      <c r="AO813" s="273"/>
      <c r="AP813" s="273"/>
    </row>
    <row r="814" spans="2:42" ht="12.75">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273"/>
      <c r="AO814" s="273"/>
      <c r="AP814" s="273"/>
    </row>
    <row r="815" spans="2:42" ht="12.75">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273"/>
      <c r="AO815" s="273"/>
      <c r="AP815" s="273"/>
    </row>
    <row r="816" spans="2:42" ht="12.75">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273"/>
      <c r="AO816" s="273"/>
      <c r="AP816" s="273"/>
    </row>
    <row r="817" spans="2:42" ht="12.75">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273"/>
      <c r="AO817" s="273"/>
      <c r="AP817" s="273"/>
    </row>
    <row r="818" spans="2:42" ht="12.75">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273"/>
      <c r="AO818" s="273"/>
      <c r="AP818" s="273"/>
    </row>
    <row r="819" spans="2:42" ht="12.75">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273"/>
      <c r="AO819" s="273"/>
      <c r="AP819" s="273"/>
    </row>
    <row r="820" spans="2:42" ht="12.75">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273"/>
      <c r="AO820" s="273"/>
      <c r="AP820" s="273"/>
    </row>
    <row r="821" spans="2:42" ht="12.75">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273"/>
      <c r="AO821" s="273"/>
      <c r="AP821" s="273"/>
    </row>
    <row r="822" spans="2:42" ht="12.75">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273"/>
      <c r="AO822" s="273"/>
      <c r="AP822" s="273"/>
    </row>
    <row r="823" spans="2:42" ht="12.75">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273"/>
      <c r="AO823" s="273"/>
      <c r="AP823" s="273"/>
    </row>
    <row r="824" spans="2:42" ht="12.75">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273"/>
      <c r="AO824" s="273"/>
      <c r="AP824" s="273"/>
    </row>
    <row r="825" spans="2:42" ht="12.75">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273"/>
      <c r="AO825" s="273"/>
      <c r="AP825" s="273"/>
    </row>
    <row r="826" spans="2:42" ht="12.75">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273"/>
      <c r="AO826" s="273"/>
      <c r="AP826" s="273"/>
    </row>
    <row r="827" spans="2:42" ht="12.75">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273"/>
      <c r="AO827" s="273"/>
      <c r="AP827" s="273"/>
    </row>
    <row r="828" spans="2:42" ht="12.75">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273"/>
      <c r="AO828" s="273"/>
      <c r="AP828" s="273"/>
    </row>
    <row r="829" spans="2:42" ht="12.75">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273"/>
      <c r="AO829" s="273"/>
      <c r="AP829" s="273"/>
    </row>
    <row r="830" spans="2:42" ht="12.75">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273"/>
      <c r="AO830" s="273"/>
      <c r="AP830" s="273"/>
    </row>
    <row r="831" spans="2:42" ht="12.75">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273"/>
      <c r="AO831" s="273"/>
      <c r="AP831" s="273"/>
    </row>
    <row r="832" spans="2:42" ht="12.75">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273"/>
      <c r="AO832" s="273"/>
      <c r="AP832" s="273"/>
    </row>
    <row r="833" spans="2:42" ht="12.75">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273"/>
      <c r="AO833" s="273"/>
      <c r="AP833" s="273"/>
    </row>
    <row r="834" spans="2:42" ht="12.75">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273"/>
      <c r="AO834" s="273"/>
      <c r="AP834" s="273"/>
    </row>
    <row r="835" spans="2:42" ht="12.75">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273"/>
      <c r="AO835" s="273"/>
      <c r="AP835" s="273"/>
    </row>
    <row r="836" spans="2:42" ht="12.75">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273"/>
      <c r="AO836" s="273"/>
      <c r="AP836" s="273"/>
    </row>
    <row r="837" spans="2:42" ht="12.75">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273"/>
      <c r="AO837" s="273"/>
      <c r="AP837" s="273"/>
    </row>
    <row r="838" spans="2:42" ht="12.75">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273"/>
      <c r="AO838" s="273"/>
      <c r="AP838" s="273"/>
    </row>
    <row r="839" spans="2:42" ht="12.75">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273"/>
      <c r="AO839" s="273"/>
      <c r="AP839" s="273"/>
    </row>
    <row r="840" spans="2:42" ht="12.75">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273"/>
      <c r="AO840" s="273"/>
      <c r="AP840" s="273"/>
    </row>
    <row r="841" spans="2:42" ht="12.75">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273"/>
      <c r="AO841" s="273"/>
      <c r="AP841" s="273"/>
    </row>
    <row r="842" spans="2:42" ht="12.75">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273"/>
      <c r="AO842" s="273"/>
      <c r="AP842" s="273"/>
    </row>
    <row r="843" spans="2:42" ht="12.75">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273"/>
      <c r="AO843" s="273"/>
      <c r="AP843" s="273"/>
    </row>
    <row r="844" spans="2:42" ht="12.75">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273"/>
      <c r="AO844" s="273"/>
      <c r="AP844" s="273"/>
    </row>
    <row r="845" spans="2:42" ht="12.75">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273"/>
      <c r="AO845" s="273"/>
      <c r="AP845" s="273"/>
    </row>
    <row r="846" spans="2:42" ht="12.75">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273"/>
      <c r="AO846" s="273"/>
      <c r="AP846" s="273"/>
    </row>
    <row r="847" spans="2:42" ht="12.75">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273"/>
      <c r="AO847" s="273"/>
      <c r="AP847" s="273"/>
    </row>
    <row r="848" spans="2:42" ht="12.75">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273"/>
      <c r="AO848" s="273"/>
      <c r="AP848" s="273"/>
    </row>
    <row r="849" spans="2:42" ht="12.75">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273"/>
      <c r="AO849" s="273"/>
      <c r="AP849" s="273"/>
    </row>
    <row r="850" spans="2:42" ht="12.75">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273"/>
      <c r="AO850" s="273"/>
      <c r="AP850" s="273"/>
    </row>
    <row r="851" spans="2:42" ht="12.75">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273"/>
      <c r="AO851" s="273"/>
      <c r="AP851" s="273"/>
    </row>
    <row r="852" spans="2:42" ht="12.75">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273"/>
      <c r="AO852" s="273"/>
      <c r="AP852" s="273"/>
    </row>
    <row r="853" spans="2:42" ht="12.75">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273"/>
      <c r="AO853" s="273"/>
      <c r="AP853" s="273"/>
    </row>
    <row r="854" spans="2:42" ht="12.75">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273"/>
      <c r="AO854" s="273"/>
      <c r="AP854" s="273"/>
    </row>
    <row r="855" spans="2:42" ht="12.75">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273"/>
      <c r="AO855" s="273"/>
      <c r="AP855" s="273"/>
    </row>
    <row r="856" spans="2:42" ht="12.75">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273"/>
      <c r="AO856" s="273"/>
      <c r="AP856" s="273"/>
    </row>
    <row r="857" spans="2:42" ht="12.75">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273"/>
      <c r="AO857" s="273"/>
      <c r="AP857" s="273"/>
    </row>
    <row r="858" spans="2:42" ht="12.75">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273"/>
      <c r="AO858" s="273"/>
      <c r="AP858" s="273"/>
    </row>
    <row r="859" spans="2:42" ht="12.75">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273"/>
      <c r="AO859" s="273"/>
      <c r="AP859" s="273"/>
    </row>
    <row r="860" spans="2:42" ht="12.75">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273"/>
      <c r="AO860" s="273"/>
      <c r="AP860" s="273"/>
    </row>
    <row r="861" spans="2:42" ht="12.75">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273"/>
      <c r="AO861" s="273"/>
      <c r="AP861" s="273"/>
    </row>
    <row r="862" spans="2:42" ht="12.75">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273"/>
      <c r="AO862" s="273"/>
      <c r="AP862" s="273"/>
    </row>
    <row r="863" spans="2:42" ht="12.75">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273"/>
      <c r="AO863" s="273"/>
      <c r="AP863" s="273"/>
    </row>
    <row r="864" spans="2:42" ht="12.75">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273"/>
      <c r="AO864" s="273"/>
      <c r="AP864" s="273"/>
    </row>
    <row r="865" spans="2:42" ht="12.75">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273"/>
      <c r="AO865" s="273"/>
      <c r="AP865" s="273"/>
    </row>
    <row r="866" spans="2:42" ht="12.75">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273"/>
      <c r="AO866" s="273"/>
      <c r="AP866" s="273"/>
    </row>
    <row r="867" spans="2:42" ht="12.75">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273"/>
      <c r="AO867" s="273"/>
      <c r="AP867" s="273"/>
    </row>
    <row r="868" spans="2:42" ht="12.75">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273"/>
      <c r="AO868" s="273"/>
      <c r="AP868" s="273"/>
    </row>
    <row r="869" spans="2:42" ht="12.75">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273"/>
      <c r="AO869" s="273"/>
      <c r="AP869" s="273"/>
    </row>
    <row r="870" spans="2:42" ht="12.75">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273"/>
      <c r="AO870" s="273"/>
      <c r="AP870" s="273"/>
    </row>
    <row r="871" spans="2:42" ht="12.75">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273"/>
      <c r="AO871" s="273"/>
      <c r="AP871" s="273"/>
    </row>
    <row r="872" spans="2:42" ht="12.75">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273"/>
      <c r="AO872" s="273"/>
      <c r="AP872" s="273"/>
    </row>
    <row r="873" spans="2:42" ht="12.75">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273"/>
      <c r="AO873" s="273"/>
      <c r="AP873" s="273"/>
    </row>
    <row r="874" spans="2:42" ht="12.75">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273"/>
      <c r="AO874" s="273"/>
      <c r="AP874" s="273"/>
    </row>
    <row r="875" spans="2:42" ht="12.75">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273"/>
      <c r="AO875" s="273"/>
      <c r="AP875" s="273"/>
    </row>
    <row r="876" spans="2:42" ht="12.75">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273"/>
      <c r="AO876" s="273"/>
      <c r="AP876" s="273"/>
    </row>
    <row r="877" spans="2:42" ht="12.75">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273"/>
      <c r="AO877" s="273"/>
      <c r="AP877" s="273"/>
    </row>
    <row r="878" spans="2:42" ht="12.75">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273"/>
      <c r="AO878" s="273"/>
      <c r="AP878" s="273"/>
    </row>
    <row r="879" spans="2:42" ht="12.75">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273"/>
      <c r="AO879" s="273"/>
      <c r="AP879" s="273"/>
    </row>
    <row r="880" spans="2:42" ht="12.75">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273"/>
      <c r="AO880" s="273"/>
      <c r="AP880" s="273"/>
    </row>
    <row r="881" spans="2:42" ht="12.75">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273"/>
      <c r="AO881" s="273"/>
      <c r="AP881" s="273"/>
    </row>
    <row r="882" spans="2:42" ht="12.75">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273"/>
      <c r="AO882" s="273"/>
      <c r="AP882" s="273"/>
    </row>
    <row r="883" spans="2:42" ht="12.75">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273"/>
      <c r="AO883" s="273"/>
      <c r="AP883" s="273"/>
    </row>
    <row r="884" spans="2:42" ht="12.75">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273"/>
      <c r="AO884" s="273"/>
      <c r="AP884" s="273"/>
    </row>
    <row r="885" spans="2:42" ht="12.75">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273"/>
      <c r="AO885" s="273"/>
      <c r="AP885" s="273"/>
    </row>
    <row r="886" spans="2:42" ht="12.75">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273"/>
      <c r="AO886" s="273"/>
      <c r="AP886" s="273"/>
    </row>
    <row r="887" spans="2:42" ht="12.75">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273"/>
      <c r="AO887" s="273"/>
      <c r="AP887" s="273"/>
    </row>
    <row r="888" spans="2:42" ht="12.75">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273"/>
      <c r="AO888" s="273"/>
      <c r="AP888" s="273"/>
    </row>
    <row r="889" spans="2:42" ht="12.75">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273"/>
      <c r="AO889" s="273"/>
      <c r="AP889" s="273"/>
    </row>
    <row r="890" spans="2:42" ht="12.75">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273"/>
      <c r="AO890" s="273"/>
      <c r="AP890" s="273"/>
    </row>
    <row r="891" spans="2:42" ht="12.75">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273"/>
      <c r="AO891" s="273"/>
      <c r="AP891" s="273"/>
    </row>
    <row r="892" spans="2:42" ht="12.75">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273"/>
      <c r="AO892" s="273"/>
      <c r="AP892" s="273"/>
    </row>
    <row r="893" spans="2:42" ht="12.75">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273"/>
      <c r="AO893" s="273"/>
      <c r="AP893" s="273"/>
    </row>
    <row r="894" spans="2:42" ht="12.75">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273"/>
      <c r="AO894" s="273"/>
      <c r="AP894" s="273"/>
    </row>
    <row r="895" spans="2:42" ht="12.75">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273"/>
      <c r="AO895" s="273"/>
      <c r="AP895" s="273"/>
    </row>
    <row r="896" spans="2:42" ht="12.75">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273"/>
      <c r="AO896" s="273"/>
      <c r="AP896" s="273"/>
    </row>
    <row r="897" spans="2:42" ht="12.75">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273"/>
      <c r="AO897" s="273"/>
      <c r="AP897" s="273"/>
    </row>
    <row r="898" spans="2:42" ht="12.75">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273"/>
      <c r="AO898" s="273"/>
      <c r="AP898" s="273"/>
    </row>
    <row r="899" spans="2:42" ht="12.75">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273"/>
      <c r="AO899" s="273"/>
      <c r="AP899" s="273"/>
    </row>
    <row r="900" spans="2:42" ht="12.75">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273"/>
      <c r="AO900" s="273"/>
      <c r="AP900" s="273"/>
    </row>
    <row r="901" spans="2:42" ht="12.75">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273"/>
      <c r="AO901" s="273"/>
      <c r="AP901" s="273"/>
    </row>
    <row r="902" spans="2:42" ht="12.75">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273"/>
      <c r="AO902" s="273"/>
      <c r="AP902" s="273"/>
    </row>
    <row r="903" spans="2:42" ht="12.75">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273"/>
      <c r="AO903" s="273"/>
      <c r="AP903" s="273"/>
    </row>
    <row r="904" spans="2:42" ht="12.75">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273"/>
      <c r="AO904" s="273"/>
      <c r="AP904" s="273"/>
    </row>
    <row r="905" spans="2:42" ht="12.75">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273"/>
      <c r="AO905" s="273"/>
      <c r="AP905" s="273"/>
    </row>
    <row r="906" spans="2:42" ht="12.75">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273"/>
      <c r="AO906" s="273"/>
      <c r="AP906" s="273"/>
    </row>
    <row r="907" spans="2:42" ht="12.75">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273"/>
      <c r="AO907" s="273"/>
      <c r="AP907" s="273"/>
    </row>
    <row r="908" spans="2:42" ht="12.75">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273"/>
      <c r="AO908" s="273"/>
      <c r="AP908" s="273"/>
    </row>
    <row r="909" spans="2:42" ht="12.75">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273"/>
      <c r="AO909" s="273"/>
      <c r="AP909" s="273"/>
    </row>
    <row r="910" spans="2:42" ht="12.75">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273"/>
      <c r="AO910" s="273"/>
      <c r="AP910" s="273"/>
    </row>
    <row r="911" spans="2:42" ht="12.75">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273"/>
      <c r="AO911" s="273"/>
      <c r="AP911" s="273"/>
    </row>
    <row r="912" spans="2:42" ht="12.75">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273"/>
      <c r="AO912" s="273"/>
      <c r="AP912" s="273"/>
    </row>
    <row r="913" spans="2:42" ht="12.75">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273"/>
      <c r="AO913" s="273"/>
      <c r="AP913" s="273"/>
    </row>
    <row r="914" spans="2:42" ht="12.75">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273"/>
      <c r="AO914" s="273"/>
      <c r="AP914" s="273"/>
    </row>
    <row r="915" spans="2:42" ht="12.75">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273"/>
      <c r="AO915" s="273"/>
      <c r="AP915" s="273"/>
    </row>
    <row r="916" spans="2:42" ht="12.75">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273"/>
      <c r="AO916" s="273"/>
      <c r="AP916" s="273"/>
    </row>
    <row r="917" spans="2:42" ht="12.75">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273"/>
      <c r="AO917" s="273"/>
      <c r="AP917" s="273"/>
    </row>
    <row r="918" spans="2:42" ht="12.75">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273"/>
      <c r="AO918" s="273"/>
      <c r="AP918" s="273"/>
    </row>
    <row r="919" spans="2:42" ht="12.75">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273"/>
      <c r="AO919" s="273"/>
      <c r="AP919" s="273"/>
    </row>
    <row r="920" spans="2:42" ht="12.75">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273"/>
      <c r="AO920" s="273"/>
      <c r="AP920" s="273"/>
    </row>
    <row r="921" spans="2:42" ht="12.75">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273"/>
      <c r="AO921" s="273"/>
      <c r="AP921" s="273"/>
    </row>
    <row r="922" spans="2:42" ht="12.75">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273"/>
      <c r="AO922" s="273"/>
      <c r="AP922" s="273"/>
    </row>
    <row r="923" spans="2:42" ht="12.75">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273"/>
      <c r="AO923" s="273"/>
      <c r="AP923" s="273"/>
    </row>
    <row r="924" spans="2:42" ht="12.75">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273"/>
      <c r="AO924" s="273"/>
      <c r="AP924" s="273"/>
    </row>
    <row r="925" spans="2:42" ht="12.75">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273"/>
      <c r="AO925" s="273"/>
      <c r="AP925" s="273"/>
    </row>
    <row r="926" spans="2:42" ht="12.75">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273"/>
      <c r="AO926" s="273"/>
      <c r="AP926" s="273"/>
    </row>
    <row r="927" spans="2:42" ht="12.75">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273"/>
      <c r="AO927" s="273"/>
      <c r="AP927" s="273"/>
    </row>
    <row r="928" spans="2:42" ht="12.75">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273"/>
      <c r="AO928" s="273"/>
      <c r="AP928" s="273"/>
    </row>
    <row r="929" spans="2:42" ht="12.75">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273"/>
      <c r="AO929" s="273"/>
      <c r="AP929" s="273"/>
    </row>
    <row r="930" spans="2:42" ht="12.75">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273"/>
      <c r="AO930" s="273"/>
      <c r="AP930" s="273"/>
    </row>
    <row r="931" spans="2:42" ht="12.75">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273"/>
      <c r="AO931" s="273"/>
      <c r="AP931" s="273"/>
    </row>
    <row r="932" spans="2:42" ht="12.75">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273"/>
      <c r="AO932" s="273"/>
      <c r="AP932" s="273"/>
    </row>
    <row r="933" spans="2:42" ht="12.75">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273"/>
      <c r="AO933" s="273"/>
      <c r="AP933" s="273"/>
    </row>
    <row r="934" spans="2:42" ht="12.75">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273"/>
      <c r="AO934" s="273"/>
      <c r="AP934" s="273"/>
    </row>
    <row r="935" spans="2:42" ht="12.75">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273"/>
      <c r="AO935" s="273"/>
      <c r="AP935" s="273"/>
    </row>
    <row r="936" spans="2:42" ht="12.75">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273"/>
      <c r="AO936" s="273"/>
      <c r="AP936" s="273"/>
    </row>
    <row r="937" spans="2:42" ht="12.75">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273"/>
      <c r="AO937" s="273"/>
      <c r="AP937" s="273"/>
    </row>
    <row r="938" spans="2:42" ht="12.75">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273"/>
      <c r="AO938" s="273"/>
      <c r="AP938" s="273"/>
    </row>
    <row r="939" spans="2:42" ht="12.75">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273"/>
      <c r="AO939" s="273"/>
      <c r="AP939" s="273"/>
    </row>
    <row r="940" spans="2:42" ht="12.75">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273"/>
      <c r="AO940" s="273"/>
      <c r="AP940" s="273"/>
    </row>
    <row r="941" spans="2:42" ht="12.75">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273"/>
      <c r="AO941" s="273"/>
      <c r="AP941" s="273"/>
    </row>
    <row r="942" spans="2:42" ht="12.75">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273"/>
      <c r="AO942" s="273"/>
      <c r="AP942" s="273"/>
    </row>
    <row r="943" spans="2:42" ht="12.75">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273"/>
      <c r="AO943" s="273"/>
      <c r="AP943" s="273"/>
    </row>
    <row r="944" spans="2:42" ht="12.75">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273"/>
      <c r="AO944" s="273"/>
      <c r="AP944" s="273"/>
    </row>
    <row r="945" spans="2:42" ht="12.75">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273"/>
      <c r="AO945" s="273"/>
      <c r="AP945" s="273"/>
    </row>
    <row r="946" spans="2:42" ht="12.75">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273"/>
      <c r="AO946" s="273"/>
      <c r="AP946" s="273"/>
    </row>
    <row r="947" spans="2:42" ht="12.75">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273"/>
      <c r="AO947" s="273"/>
      <c r="AP947" s="273"/>
    </row>
    <row r="948" spans="2:42" ht="12.75">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273"/>
      <c r="AO948" s="273"/>
      <c r="AP948" s="273"/>
    </row>
    <row r="949" spans="2:42" ht="12.75">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273"/>
      <c r="AO949" s="273"/>
      <c r="AP949" s="273"/>
    </row>
    <row r="950" spans="2:42" ht="12.75">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273"/>
      <c r="AO950" s="273"/>
      <c r="AP950" s="273"/>
    </row>
    <row r="951" spans="2:42" ht="12.75">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273"/>
      <c r="AO951" s="273"/>
      <c r="AP951" s="273"/>
    </row>
    <row r="952" spans="2:42" ht="12.75">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273"/>
      <c r="AO952" s="273"/>
      <c r="AP952" s="273"/>
    </row>
    <row r="953" spans="2:42" ht="12.75">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273"/>
      <c r="AO953" s="273"/>
      <c r="AP953" s="273"/>
    </row>
    <row r="954" spans="2:42" ht="12.75">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273"/>
      <c r="AO954" s="273"/>
      <c r="AP954" s="273"/>
    </row>
    <row r="955" spans="2:42" ht="12.75">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273"/>
      <c r="AO955" s="273"/>
      <c r="AP955" s="273"/>
    </row>
    <row r="956" spans="2:42" ht="12.75">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273"/>
      <c r="AO956" s="273"/>
      <c r="AP956" s="273"/>
    </row>
    <row r="957" spans="2:42" ht="12.75">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273"/>
      <c r="AO957" s="273"/>
      <c r="AP957" s="273"/>
    </row>
    <row r="958" spans="2:42" ht="12.75">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273"/>
      <c r="AO958" s="273"/>
      <c r="AP958" s="273"/>
    </row>
    <row r="959" spans="2:42" ht="12.75">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273"/>
      <c r="AO959" s="273"/>
      <c r="AP959" s="273"/>
    </row>
    <row r="960" spans="2:42" ht="12.75">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273"/>
      <c r="AO960" s="273"/>
      <c r="AP960" s="273"/>
    </row>
    <row r="961" spans="2:42" ht="12.75">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273"/>
      <c r="AO961" s="273"/>
      <c r="AP961" s="273"/>
    </row>
    <row r="962" spans="2:42" ht="12.75">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273"/>
      <c r="AO962" s="273"/>
      <c r="AP962" s="273"/>
    </row>
    <row r="963" spans="2:42" ht="12.75">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273"/>
      <c r="AO963" s="273"/>
      <c r="AP963" s="273"/>
    </row>
    <row r="964" spans="2:42" ht="12.75">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273"/>
      <c r="AO964" s="273"/>
      <c r="AP964" s="273"/>
    </row>
    <row r="965" spans="2:42" ht="12.75">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273"/>
      <c r="AO965" s="273"/>
      <c r="AP965" s="273"/>
    </row>
    <row r="966" spans="2:42" ht="12.75">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273"/>
      <c r="AO966" s="273"/>
      <c r="AP966" s="273"/>
    </row>
    <row r="967" spans="2:42" ht="12.75">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273"/>
      <c r="AO967" s="273"/>
      <c r="AP967" s="273"/>
    </row>
    <row r="968" spans="2:42" ht="12.75">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273"/>
      <c r="AO968" s="273"/>
      <c r="AP968" s="273"/>
    </row>
    <row r="969" spans="2:42" ht="12.75">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273"/>
      <c r="AO969" s="273"/>
      <c r="AP969" s="273"/>
    </row>
    <row r="970" spans="2:42" ht="12.75">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273"/>
      <c r="AO970" s="273"/>
      <c r="AP970" s="273"/>
    </row>
    <row r="971" spans="2:42" ht="12.75">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273"/>
      <c r="AO971" s="273"/>
      <c r="AP971" s="273"/>
    </row>
    <row r="972" spans="2:42" ht="12.75">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273"/>
      <c r="AO972" s="273"/>
      <c r="AP972" s="273"/>
    </row>
    <row r="973" spans="2:42" ht="12.75">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273"/>
      <c r="AO973" s="273"/>
      <c r="AP973" s="273"/>
    </row>
    <row r="974" spans="2:42" ht="12.75">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273"/>
      <c r="AO974" s="273"/>
      <c r="AP974" s="273"/>
    </row>
    <row r="975" spans="2:42" ht="12.75">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273"/>
      <c r="AO975" s="273"/>
      <c r="AP975" s="273"/>
    </row>
    <row r="976" spans="2:42" ht="12.75">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273"/>
      <c r="AO976" s="273"/>
      <c r="AP976" s="273"/>
    </row>
    <row r="977" spans="2:42" ht="12.75">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273"/>
      <c r="AO977" s="273"/>
      <c r="AP977" s="273"/>
    </row>
    <row r="978" spans="2:42" ht="12.75">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273"/>
      <c r="AO978" s="273"/>
      <c r="AP978" s="273"/>
    </row>
    <row r="979" spans="2:42" ht="12.75">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273"/>
      <c r="AO979" s="273"/>
      <c r="AP979" s="273"/>
    </row>
    <row r="980" spans="2:42" ht="12.75">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273"/>
      <c r="AO980" s="273"/>
      <c r="AP980" s="273"/>
    </row>
    <row r="981" spans="2:42" ht="12.75">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273"/>
      <c r="AO981" s="273"/>
      <c r="AP981" s="273"/>
    </row>
    <row r="982" spans="2:42" ht="12.75">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273"/>
      <c r="AO982" s="273"/>
      <c r="AP982" s="273"/>
    </row>
    <row r="983" spans="2:42" ht="12.75">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273"/>
      <c r="AO983" s="273"/>
      <c r="AP983" s="273"/>
    </row>
    <row r="984" spans="2:42" ht="12.75">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273"/>
      <c r="AO984" s="273"/>
      <c r="AP984" s="273"/>
    </row>
    <row r="985" spans="2:42" ht="12.75">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273"/>
      <c r="AO985" s="273"/>
      <c r="AP985" s="273"/>
    </row>
    <row r="986" spans="2:42" ht="12.75">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273"/>
      <c r="AO986" s="273"/>
      <c r="AP986" s="273"/>
    </row>
    <row r="987" spans="2:42" ht="12.75">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273"/>
      <c r="AO987" s="273"/>
      <c r="AP987" s="273"/>
    </row>
    <row r="988" spans="2:42" ht="12.75">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273"/>
      <c r="AO988" s="273"/>
      <c r="AP988" s="273"/>
    </row>
    <row r="989" spans="2:42" ht="12.75">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273"/>
      <c r="AO989" s="273"/>
      <c r="AP989" s="273"/>
    </row>
    <row r="990" spans="2:42" ht="12.75">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273"/>
      <c r="AO990" s="273"/>
      <c r="AP990" s="273"/>
    </row>
    <row r="991" spans="2:42" ht="12.75">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273"/>
      <c r="AO991" s="273"/>
      <c r="AP991" s="273"/>
    </row>
    <row r="992" spans="2:42" ht="12.75">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273"/>
      <c r="AO992" s="273"/>
      <c r="AP992" s="273"/>
    </row>
    <row r="993" spans="2:42" ht="12.75">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273"/>
      <c r="AO993" s="273"/>
      <c r="AP993" s="273"/>
    </row>
    <row r="994" spans="2:42" ht="12.75">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273"/>
      <c r="AO994" s="273"/>
      <c r="AP994" s="273"/>
    </row>
    <row r="995" spans="2:42" ht="12.75">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273"/>
      <c r="AO995" s="273"/>
      <c r="AP995" s="273"/>
    </row>
    <row r="996" spans="2:42" ht="12.75">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273"/>
      <c r="AO996" s="273"/>
      <c r="AP996" s="273"/>
    </row>
    <row r="997" spans="2:42" ht="12.75">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273"/>
      <c r="AO997" s="273"/>
      <c r="AP997" s="273"/>
    </row>
    <row r="998" spans="2:42" ht="12.75">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273"/>
      <c r="AO998" s="273"/>
      <c r="AP998" s="273"/>
    </row>
    <row r="999" spans="2:42" ht="12.75">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273"/>
      <c r="AO999" s="273"/>
      <c r="AP999" s="27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25"/>
  <sheetViews>
    <sheetView topLeftCell="A10" workbookViewId="0">
      <selection activeCell="F21" sqref="F21"/>
    </sheetView>
  </sheetViews>
  <sheetFormatPr defaultColWidth="14.42578125" defaultRowHeight="15.75" customHeight="1"/>
  <cols>
    <col min="1" max="1" width="15.5703125" style="73" bestFit="1" customWidth="1"/>
  </cols>
  <sheetData>
    <row r="1" spans="1:16" ht="15.75" customHeight="1">
      <c r="A1" s="72" t="s">
        <v>60</v>
      </c>
      <c r="B1" s="48" t="s">
        <v>1847</v>
      </c>
      <c r="C1" s="273" t="s">
        <v>1848</v>
      </c>
      <c r="D1" s="273" t="s">
        <v>1849</v>
      </c>
      <c r="E1" s="273" t="s">
        <v>1850</v>
      </c>
      <c r="F1" s="48"/>
      <c r="G1" s="48"/>
      <c r="H1" s="273"/>
      <c r="I1" s="273"/>
      <c r="J1" s="273"/>
      <c r="K1" s="273"/>
      <c r="L1" s="273"/>
      <c r="M1" s="273"/>
      <c r="N1" s="273"/>
      <c r="O1" s="273"/>
      <c r="P1" s="273"/>
    </row>
    <row r="2" spans="1:16" ht="12.75">
      <c r="A2" s="72">
        <v>43866</v>
      </c>
      <c r="B2" s="48" t="s">
        <v>1851</v>
      </c>
      <c r="C2" s="273">
        <v>21</v>
      </c>
      <c r="D2" s="273"/>
      <c r="E2" s="273"/>
      <c r="F2" s="273"/>
      <c r="G2" s="273" t="s">
        <v>1852</v>
      </c>
      <c r="H2" s="273"/>
      <c r="I2" s="273"/>
      <c r="J2" s="273"/>
      <c r="K2" s="273"/>
      <c r="L2" s="273"/>
      <c r="M2" s="273"/>
      <c r="N2" s="273"/>
      <c r="O2" s="273"/>
      <c r="P2" s="273"/>
    </row>
    <row r="3" spans="1:16" ht="15.75" customHeight="1">
      <c r="A3" s="72">
        <v>44015</v>
      </c>
      <c r="B3" s="273" t="s">
        <v>1853</v>
      </c>
      <c r="C3" s="273"/>
      <c r="D3" s="273">
        <v>3.54</v>
      </c>
      <c r="E3" s="273"/>
      <c r="F3" s="273"/>
      <c r="G3" s="273" t="s">
        <v>1854</v>
      </c>
      <c r="H3" s="273"/>
      <c r="I3" s="273"/>
      <c r="J3" s="273"/>
      <c r="K3" s="273"/>
      <c r="L3" s="273"/>
      <c r="M3" s="273"/>
      <c r="N3" s="273"/>
      <c r="O3" s="273"/>
      <c r="P3" s="273"/>
    </row>
    <row r="4" spans="1:16" ht="15.75" customHeight="1">
      <c r="A4" s="72">
        <v>44029</v>
      </c>
      <c r="B4" s="273" t="s">
        <v>1853</v>
      </c>
      <c r="C4" s="273"/>
      <c r="D4" s="273">
        <v>11</v>
      </c>
      <c r="E4" s="273"/>
      <c r="F4" s="273"/>
      <c r="G4" s="273"/>
      <c r="H4" s="273"/>
      <c r="I4" s="273"/>
      <c r="J4" s="273"/>
      <c r="K4" s="273"/>
      <c r="L4" s="273"/>
      <c r="M4" s="273"/>
      <c r="N4" s="273"/>
      <c r="O4" s="273"/>
      <c r="P4" s="273"/>
    </row>
    <row r="5" spans="1:16" ht="15.75" customHeight="1">
      <c r="A5" s="72">
        <v>44064</v>
      </c>
      <c r="B5" s="273" t="s">
        <v>1853</v>
      </c>
      <c r="C5" s="273"/>
      <c r="D5" s="273">
        <v>7.2788000000000004</v>
      </c>
      <c r="E5" s="273"/>
      <c r="F5" s="273"/>
      <c r="G5" s="273"/>
      <c r="H5" s="273"/>
      <c r="I5" s="273"/>
      <c r="J5" s="273"/>
      <c r="K5" s="273"/>
      <c r="L5" s="273"/>
      <c r="M5" s="273"/>
      <c r="N5" s="273"/>
      <c r="O5" s="273"/>
      <c r="P5" s="273"/>
    </row>
    <row r="6" spans="1:16" ht="15.75" customHeight="1">
      <c r="A6" s="72">
        <v>44067</v>
      </c>
      <c r="B6" s="273" t="s">
        <v>1853</v>
      </c>
      <c r="C6" s="273"/>
      <c r="D6" s="273">
        <v>8.9928999999999988</v>
      </c>
      <c r="E6" s="273"/>
      <c r="F6" s="273"/>
      <c r="G6" s="273"/>
      <c r="H6" s="273"/>
      <c r="I6" s="273"/>
      <c r="J6" s="273"/>
      <c r="K6" s="273"/>
      <c r="L6" s="273"/>
      <c r="M6" s="273"/>
      <c r="N6" s="273"/>
      <c r="O6" s="273"/>
      <c r="P6" s="273"/>
    </row>
    <row r="7" spans="1:16" ht="15.75" customHeight="1">
      <c r="A7" s="72">
        <v>44074</v>
      </c>
      <c r="B7" s="273" t="s">
        <v>1853</v>
      </c>
      <c r="C7" s="273"/>
      <c r="D7" s="273">
        <v>8</v>
      </c>
      <c r="E7" s="273"/>
      <c r="F7" s="273"/>
      <c r="G7" s="273"/>
      <c r="H7" s="273"/>
      <c r="I7" s="273"/>
      <c r="J7" s="273"/>
      <c r="K7" s="273"/>
      <c r="L7" s="273"/>
      <c r="M7" s="273"/>
      <c r="N7" s="273"/>
      <c r="O7" s="273"/>
      <c r="P7" s="273"/>
    </row>
    <row r="8" spans="1:16" ht="15.75" customHeight="1">
      <c r="A8" s="73">
        <v>44098</v>
      </c>
      <c r="B8" s="273" t="s">
        <v>1855</v>
      </c>
      <c r="C8" s="273">
        <v>20</v>
      </c>
      <c r="D8" s="273"/>
      <c r="E8" s="273"/>
      <c r="F8" s="273"/>
      <c r="G8" s="273"/>
      <c r="H8" s="273"/>
      <c r="I8" s="273"/>
      <c r="J8" s="273"/>
      <c r="K8" s="273"/>
      <c r="L8" s="72"/>
      <c r="M8" s="48"/>
      <c r="N8" s="273"/>
      <c r="O8" s="273"/>
      <c r="P8" s="48"/>
    </row>
    <row r="9" spans="1:16" ht="15.75" customHeight="1">
      <c r="A9" s="73">
        <v>44099</v>
      </c>
      <c r="B9" s="273" t="s">
        <v>1851</v>
      </c>
      <c r="C9" s="273">
        <v>150</v>
      </c>
      <c r="D9" s="273"/>
      <c r="E9" s="273"/>
      <c r="F9" s="273"/>
      <c r="G9" s="273"/>
      <c r="H9" s="273"/>
      <c r="I9" s="273"/>
      <c r="J9" s="273"/>
      <c r="K9" s="273"/>
      <c r="L9" s="72"/>
      <c r="M9" s="48"/>
      <c r="N9" s="35"/>
      <c r="O9" s="273"/>
      <c r="P9" s="273"/>
    </row>
    <row r="10" spans="1:16" ht="15.75" customHeight="1">
      <c r="A10" s="73">
        <v>44102</v>
      </c>
      <c r="B10" s="273" t="s">
        <v>1853</v>
      </c>
      <c r="C10" s="273"/>
      <c r="D10" s="273">
        <v>7.6</v>
      </c>
      <c r="E10" s="273"/>
      <c r="F10" s="273"/>
      <c r="G10" s="273"/>
      <c r="H10" s="273"/>
      <c r="I10" s="273"/>
      <c r="J10" s="273"/>
      <c r="K10" s="273"/>
      <c r="L10" s="72"/>
      <c r="M10" s="273"/>
      <c r="N10" s="273"/>
      <c r="O10" s="273"/>
      <c r="P10" s="273"/>
    </row>
    <row r="11" spans="1:16" ht="15.75" customHeight="1">
      <c r="A11" s="73">
        <v>44111</v>
      </c>
      <c r="B11" s="273" t="s">
        <v>1853</v>
      </c>
      <c r="C11" s="273"/>
      <c r="D11" s="273">
        <v>7.5</v>
      </c>
      <c r="E11" s="273"/>
      <c r="F11" s="273"/>
      <c r="G11" s="273"/>
      <c r="H11" s="273"/>
      <c r="I11" s="273"/>
      <c r="J11" s="273"/>
      <c r="K11" s="273"/>
      <c r="L11" s="72"/>
      <c r="M11" s="273"/>
      <c r="N11" s="273"/>
      <c r="O11" s="273"/>
      <c r="P11" s="273"/>
    </row>
    <row r="12" spans="1:16" s="243" customFormat="1" ht="15.75" customHeight="1">
      <c r="A12" s="73">
        <v>44118</v>
      </c>
      <c r="B12" s="273" t="s">
        <v>1853</v>
      </c>
      <c r="C12" s="273"/>
      <c r="D12" s="273">
        <v>7</v>
      </c>
      <c r="E12" s="273"/>
      <c r="F12" s="273"/>
      <c r="G12" s="273"/>
      <c r="H12" s="273"/>
      <c r="I12" s="273"/>
      <c r="J12" s="273"/>
      <c r="K12" s="273"/>
      <c r="L12" s="72"/>
      <c r="M12" s="273"/>
      <c r="N12" s="273"/>
      <c r="O12" s="273"/>
      <c r="P12" s="273"/>
    </row>
    <row r="13" spans="1:16" s="243" customFormat="1" ht="15.75" customHeight="1">
      <c r="A13" s="73">
        <v>44123</v>
      </c>
      <c r="B13" s="273" t="s">
        <v>1853</v>
      </c>
      <c r="C13" s="273"/>
      <c r="D13" s="273">
        <v>9</v>
      </c>
      <c r="E13" s="273"/>
      <c r="F13" s="273"/>
      <c r="G13" s="273"/>
      <c r="H13" s="273"/>
      <c r="I13" s="273"/>
      <c r="J13" s="273"/>
      <c r="K13" s="273"/>
      <c r="L13" s="72"/>
      <c r="M13" s="273"/>
      <c r="N13" s="273"/>
      <c r="O13" s="273"/>
      <c r="P13" s="273"/>
    </row>
    <row r="14" spans="1:16" ht="15.75" customHeight="1">
      <c r="A14" s="73">
        <v>44124</v>
      </c>
      <c r="B14" s="273" t="s">
        <v>1855</v>
      </c>
      <c r="C14" s="273">
        <v>23</v>
      </c>
      <c r="D14" s="273"/>
      <c r="E14" s="273"/>
      <c r="F14" s="273"/>
      <c r="G14" s="273"/>
      <c r="H14" s="273"/>
      <c r="I14" s="273"/>
      <c r="J14" s="273"/>
      <c r="K14" s="273"/>
      <c r="L14" s="72"/>
      <c r="M14" s="273"/>
      <c r="N14" s="106"/>
      <c r="O14" s="273"/>
      <c r="P14" s="273"/>
    </row>
    <row r="15" spans="1:16" ht="15.75" customHeight="1">
      <c r="A15" s="73">
        <v>44130</v>
      </c>
      <c r="B15" s="273" t="s">
        <v>1856</v>
      </c>
      <c r="C15" s="273">
        <v>0.3</v>
      </c>
      <c r="D15" s="273"/>
      <c r="E15" s="273"/>
      <c r="F15" s="273"/>
      <c r="G15" s="273"/>
      <c r="H15" s="273"/>
      <c r="I15" s="273"/>
      <c r="J15" s="273"/>
      <c r="K15" s="273"/>
      <c r="L15" s="73"/>
      <c r="M15" s="273"/>
      <c r="N15" s="273"/>
      <c r="O15" s="273"/>
      <c r="P15" s="273"/>
    </row>
    <row r="16" spans="1:16" ht="15.75" customHeight="1">
      <c r="A16" s="73">
        <v>44130</v>
      </c>
      <c r="B16" s="273" t="s">
        <v>1853</v>
      </c>
      <c r="C16" s="273"/>
      <c r="D16" s="273">
        <v>9</v>
      </c>
      <c r="E16" s="273"/>
      <c r="F16" s="273"/>
      <c r="G16" s="273"/>
      <c r="H16" s="273"/>
      <c r="I16" s="273"/>
      <c r="J16" s="273"/>
      <c r="K16" s="273"/>
      <c r="L16" s="73"/>
      <c r="M16" s="273"/>
      <c r="N16" s="273"/>
      <c r="O16" s="273"/>
      <c r="P16" s="273"/>
    </row>
    <row r="17" spans="1:16" ht="15.75" customHeight="1">
      <c r="A17" s="73">
        <v>44139</v>
      </c>
      <c r="B17" s="273" t="s">
        <v>1853</v>
      </c>
      <c r="C17" s="273"/>
      <c r="D17" s="273">
        <v>12.1</v>
      </c>
      <c r="E17" s="273"/>
      <c r="F17" s="273"/>
      <c r="G17" s="273"/>
      <c r="H17" s="273"/>
      <c r="I17" s="273"/>
      <c r="J17" s="273"/>
      <c r="K17" s="273"/>
      <c r="L17" s="73"/>
      <c r="M17" s="273"/>
      <c r="N17" s="273"/>
      <c r="O17" s="273"/>
      <c r="P17" s="273"/>
    </row>
    <row r="18" spans="1:16" ht="15.75" customHeight="1">
      <c r="A18" s="73">
        <v>44160</v>
      </c>
      <c r="B18" s="273" t="s">
        <v>1853</v>
      </c>
      <c r="C18" s="273"/>
      <c r="D18" s="273">
        <v>11.7</v>
      </c>
      <c r="E18" s="273"/>
      <c r="F18" s="273"/>
      <c r="G18" s="273"/>
      <c r="H18" s="273"/>
      <c r="I18" s="273"/>
      <c r="J18" s="273"/>
      <c r="K18" s="273"/>
      <c r="L18" s="73"/>
      <c r="M18" s="273"/>
      <c r="N18" s="273"/>
      <c r="O18" s="273"/>
      <c r="P18" s="273"/>
    </row>
    <row r="19" spans="1:16" ht="15.75" customHeight="1">
      <c r="A19" s="73">
        <v>44165</v>
      </c>
      <c r="B19" s="273" t="s">
        <v>1853</v>
      </c>
      <c r="C19" s="273"/>
      <c r="D19" s="273">
        <v>11.5</v>
      </c>
      <c r="E19" s="273"/>
      <c r="F19" s="273"/>
      <c r="G19" s="273"/>
      <c r="H19" s="273"/>
      <c r="I19" s="273"/>
      <c r="J19" s="273"/>
      <c r="K19" s="273"/>
      <c r="L19" s="73"/>
      <c r="M19" s="273"/>
      <c r="N19" s="273"/>
      <c r="O19" s="273"/>
      <c r="P19" s="273"/>
    </row>
    <row r="20" spans="1:16" ht="15.75" customHeight="1">
      <c r="A20" s="73">
        <v>44172</v>
      </c>
      <c r="B20" s="273" t="s">
        <v>1853</v>
      </c>
      <c r="C20" s="273"/>
      <c r="D20" s="273">
        <v>18</v>
      </c>
      <c r="E20" s="273"/>
      <c r="F20" s="273"/>
      <c r="G20" s="273"/>
      <c r="H20" s="273"/>
      <c r="I20" s="273"/>
      <c r="J20" s="273"/>
      <c r="K20" s="273"/>
      <c r="L20" s="73"/>
      <c r="M20" s="273"/>
      <c r="N20" s="273"/>
      <c r="O20" s="273"/>
      <c r="P20" s="273"/>
    </row>
    <row r="21" spans="1:16" ht="15.75" customHeight="1">
      <c r="A21" s="73">
        <v>44181</v>
      </c>
      <c r="B21" s="273" t="s">
        <v>1853</v>
      </c>
      <c r="C21" s="273"/>
      <c r="D21" s="273">
        <v>10</v>
      </c>
      <c r="E21" s="273"/>
      <c r="F21" s="273"/>
      <c r="G21" s="273"/>
      <c r="H21" s="273"/>
      <c r="I21" s="273"/>
      <c r="J21" s="273"/>
      <c r="K21" s="273"/>
      <c r="L21" s="73"/>
      <c r="M21" s="273"/>
      <c r="N21" s="273"/>
      <c r="O21" s="273"/>
      <c r="P21" s="273"/>
    </row>
    <row r="22" spans="1:16" ht="15.75" customHeight="1">
      <c r="A22" s="73">
        <v>44186</v>
      </c>
      <c r="B22" s="273" t="s">
        <v>1853</v>
      </c>
      <c r="C22" s="273"/>
      <c r="D22" s="273">
        <v>10.5</v>
      </c>
      <c r="E22" s="273"/>
      <c r="F22" s="273"/>
      <c r="G22" s="273"/>
      <c r="H22" s="273"/>
      <c r="I22" s="273"/>
      <c r="J22" s="273"/>
      <c r="K22" s="273"/>
      <c r="L22" s="73"/>
      <c r="M22" s="273"/>
      <c r="N22" s="273"/>
      <c r="O22" s="273"/>
      <c r="P22" s="273"/>
    </row>
    <row r="23" spans="1:16" ht="15.75" customHeight="1">
      <c r="A23" s="73">
        <v>44187</v>
      </c>
      <c r="B23" s="273" t="s">
        <v>1855</v>
      </c>
      <c r="C23" s="273">
        <v>23</v>
      </c>
      <c r="D23" s="273"/>
      <c r="E23" s="273"/>
      <c r="F23" s="273"/>
      <c r="G23" s="273"/>
      <c r="H23" s="273"/>
      <c r="I23" s="273"/>
      <c r="J23" s="273"/>
      <c r="K23" s="273"/>
      <c r="L23" s="73"/>
      <c r="M23" s="273"/>
      <c r="N23" s="273"/>
      <c r="O23" s="273"/>
      <c r="P23" s="273"/>
    </row>
    <row r="24" spans="1:16" ht="15.75" customHeight="1">
      <c r="A24" s="73">
        <v>44189</v>
      </c>
      <c r="B24" s="273" t="s">
        <v>1853</v>
      </c>
      <c r="C24" s="273"/>
      <c r="D24" s="273">
        <v>8</v>
      </c>
      <c r="E24" s="273"/>
      <c r="F24" s="273"/>
      <c r="G24" s="273"/>
      <c r="H24" s="273"/>
      <c r="I24" s="273"/>
      <c r="J24" s="273"/>
      <c r="K24" s="273"/>
      <c r="L24" s="273"/>
      <c r="M24" s="273"/>
      <c r="N24" s="273"/>
      <c r="O24" s="273"/>
      <c r="P24" s="273"/>
    </row>
    <row r="25" spans="1:16" ht="15.75" customHeight="1">
      <c r="A25" s="73">
        <v>44193</v>
      </c>
      <c r="B25" s="273" t="s">
        <v>1853</v>
      </c>
      <c r="C25" s="273"/>
      <c r="D25" s="273">
        <v>50</v>
      </c>
      <c r="E25" s="273"/>
      <c r="F25" s="273"/>
      <c r="G25" s="273"/>
      <c r="H25" s="273"/>
      <c r="I25" s="273"/>
      <c r="J25" s="273"/>
      <c r="K25" s="273"/>
      <c r="L25" s="273"/>
      <c r="M25" s="273"/>
      <c r="N25" s="273"/>
      <c r="O25" s="273"/>
      <c r="P25" s="273"/>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0B1B718-77BD-449F-98E4-0CC224045E5D}">
          <x14:formula1>
            <xm:f>'Read me and More'!$C$18:$C$23</xm:f>
          </x14:formula1>
          <xm:sqref>O9:O22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E549-7E2C-40C4-BEC2-7E6B4E186174}">
  <dimension ref="A1:S43"/>
  <sheetViews>
    <sheetView topLeftCell="E806" workbookViewId="0">
      <selection activeCell="E806" sqref="E806"/>
    </sheetView>
  </sheetViews>
  <sheetFormatPr defaultRowHeight="12.75"/>
  <cols>
    <col min="1" max="1" width="12.7109375" bestFit="1" customWidth="1"/>
    <col min="3" max="3" width="11.42578125" bestFit="1" customWidth="1"/>
  </cols>
  <sheetData>
    <row r="1" spans="1:16" ht="12.75" customHeight="1">
      <c r="A1" s="282" t="s">
        <v>1857</v>
      </c>
      <c r="B1" s="282"/>
      <c r="C1" s="282"/>
      <c r="D1" s="282"/>
      <c r="E1" s="282"/>
      <c r="F1" s="282"/>
      <c r="G1" s="282"/>
      <c r="H1" s="282"/>
      <c r="I1" s="282"/>
      <c r="J1" s="282"/>
      <c r="K1" s="282"/>
      <c r="L1" s="282"/>
      <c r="M1" s="282"/>
      <c r="N1" s="282"/>
      <c r="O1" s="282"/>
      <c r="P1" s="282"/>
    </row>
    <row r="2" spans="1:16">
      <c r="A2" s="282"/>
      <c r="B2" s="282"/>
      <c r="C2" s="282"/>
      <c r="D2" s="282"/>
      <c r="E2" s="282"/>
      <c r="F2" s="282"/>
      <c r="G2" s="282"/>
      <c r="H2" s="282"/>
      <c r="I2" s="282"/>
      <c r="J2" s="282"/>
      <c r="K2" s="282"/>
      <c r="L2" s="282"/>
      <c r="M2" s="282"/>
      <c r="N2" s="282"/>
      <c r="O2" s="282"/>
      <c r="P2" s="282"/>
    </row>
    <row r="3" spans="1:16">
      <c r="A3" s="282"/>
      <c r="B3" s="282"/>
      <c r="C3" s="282"/>
      <c r="D3" s="282"/>
      <c r="E3" s="282"/>
      <c r="F3" s="282"/>
      <c r="G3" s="282"/>
      <c r="H3" s="282"/>
      <c r="I3" s="282"/>
      <c r="J3" s="282"/>
      <c r="K3" s="282"/>
      <c r="L3" s="282"/>
      <c r="M3" s="282"/>
      <c r="N3" s="282"/>
      <c r="O3" s="282"/>
      <c r="P3" s="282"/>
    </row>
    <row r="4" spans="1:16">
      <c r="A4" s="282"/>
      <c r="B4" s="282"/>
      <c r="C4" s="282"/>
      <c r="D4" s="282"/>
      <c r="E4" s="282"/>
      <c r="F4" s="282"/>
      <c r="G4" s="282"/>
      <c r="H4" s="282"/>
      <c r="I4" s="282"/>
      <c r="J4" s="282"/>
      <c r="K4" s="282"/>
      <c r="L4" s="282"/>
      <c r="M4" s="282"/>
      <c r="N4" s="282"/>
      <c r="O4" s="282"/>
      <c r="P4" s="282"/>
    </row>
    <row r="5" spans="1:16">
      <c r="A5" s="282"/>
      <c r="B5" s="282"/>
      <c r="C5" s="282"/>
      <c r="D5" s="282"/>
      <c r="E5" s="282"/>
      <c r="F5" s="282"/>
      <c r="G5" s="282"/>
      <c r="H5" s="282"/>
      <c r="I5" s="282"/>
      <c r="J5" s="282"/>
      <c r="K5" s="282"/>
      <c r="L5" s="282"/>
      <c r="M5" s="282"/>
      <c r="N5" s="282"/>
      <c r="O5" s="282"/>
      <c r="P5" s="282"/>
    </row>
    <row r="6" spans="1:16">
      <c r="A6" s="282"/>
      <c r="B6" s="282"/>
      <c r="C6" s="282"/>
      <c r="D6" s="282"/>
      <c r="E6" s="282"/>
      <c r="F6" s="282"/>
      <c r="G6" s="282"/>
      <c r="H6" s="282"/>
      <c r="I6" s="282"/>
      <c r="J6" s="282"/>
      <c r="K6" s="282"/>
      <c r="L6" s="282"/>
      <c r="M6" s="282"/>
      <c r="N6" s="282"/>
      <c r="O6" s="282"/>
      <c r="P6" s="282"/>
    </row>
    <row r="7" spans="1:16">
      <c r="A7" s="282"/>
      <c r="B7" s="282"/>
      <c r="C7" s="282"/>
      <c r="D7" s="282"/>
      <c r="E7" s="282"/>
      <c r="F7" s="282"/>
      <c r="G7" s="282"/>
      <c r="H7" s="282"/>
      <c r="I7" s="282"/>
      <c r="J7" s="282"/>
      <c r="K7" s="282"/>
      <c r="L7" s="282"/>
      <c r="M7" s="282"/>
      <c r="N7" s="282"/>
      <c r="O7" s="282"/>
      <c r="P7" s="282"/>
    </row>
    <row r="8" spans="1:16">
      <c r="A8" s="282"/>
      <c r="B8" s="282"/>
      <c r="C8" s="282"/>
      <c r="D8" s="282"/>
      <c r="E8" s="282"/>
      <c r="F8" s="282"/>
      <c r="G8" s="282"/>
      <c r="H8" s="282"/>
      <c r="I8" s="282"/>
      <c r="J8" s="282"/>
      <c r="K8" s="282"/>
      <c r="L8" s="282"/>
      <c r="M8" s="282"/>
      <c r="N8" s="282"/>
      <c r="O8" s="282"/>
      <c r="P8" s="282"/>
    </row>
    <row r="9" spans="1:16" s="76" customFormat="1">
      <c r="A9" s="282" t="s">
        <v>1858</v>
      </c>
      <c r="B9" s="282"/>
      <c r="C9" s="282"/>
      <c r="D9" s="282"/>
      <c r="E9" s="282"/>
      <c r="F9" s="282"/>
      <c r="G9" s="282"/>
      <c r="H9" s="282"/>
      <c r="I9" s="282"/>
      <c r="J9" s="282"/>
      <c r="K9" s="282"/>
      <c r="L9" s="282"/>
      <c r="M9" s="282"/>
      <c r="N9" s="282"/>
      <c r="O9" s="282"/>
      <c r="P9" s="282"/>
    </row>
    <row r="10" spans="1:16" s="76" customFormat="1">
      <c r="A10" s="282"/>
      <c r="B10" s="282"/>
      <c r="C10" s="282"/>
      <c r="D10" s="282"/>
      <c r="E10" s="282"/>
      <c r="F10" s="282"/>
      <c r="G10" s="282"/>
      <c r="H10" s="282"/>
      <c r="I10" s="282"/>
      <c r="J10" s="282"/>
      <c r="K10" s="282"/>
      <c r="L10" s="282"/>
      <c r="M10" s="282"/>
      <c r="N10" s="282"/>
      <c r="O10" s="282"/>
      <c r="P10" s="282"/>
    </row>
    <row r="11" spans="1:16" s="76" customFormat="1">
      <c r="A11" s="282"/>
      <c r="B11" s="282"/>
      <c r="C11" s="282"/>
      <c r="D11" s="282"/>
      <c r="E11" s="282"/>
      <c r="F11" s="282"/>
      <c r="G11" s="282"/>
      <c r="H11" s="282"/>
      <c r="I11" s="282"/>
      <c r="J11" s="282"/>
      <c r="K11" s="282"/>
      <c r="L11" s="282"/>
      <c r="M11" s="282"/>
      <c r="N11" s="282"/>
      <c r="O11" s="282"/>
      <c r="P11" s="282"/>
    </row>
    <row r="12" spans="1:16" s="76" customFormat="1">
      <c r="A12" s="282"/>
      <c r="B12" s="282"/>
      <c r="C12" s="282"/>
      <c r="D12" s="282"/>
      <c r="E12" s="282"/>
      <c r="F12" s="282"/>
      <c r="G12" s="282"/>
      <c r="H12" s="282"/>
      <c r="I12" s="282"/>
      <c r="J12" s="282"/>
      <c r="K12" s="282"/>
      <c r="L12" s="282"/>
      <c r="M12" s="282"/>
      <c r="N12" s="282"/>
      <c r="O12" s="282"/>
      <c r="P12" s="282"/>
    </row>
    <row r="13" spans="1:16" s="76" customFormat="1">
      <c r="A13" s="275"/>
      <c r="B13" s="275"/>
      <c r="C13" s="275"/>
      <c r="D13" s="275"/>
      <c r="E13" s="275"/>
      <c r="F13" s="275"/>
      <c r="G13" s="275"/>
      <c r="H13" s="275"/>
      <c r="I13" s="275"/>
      <c r="J13" s="275"/>
      <c r="K13" s="275"/>
      <c r="L13" s="275"/>
      <c r="M13" s="275"/>
      <c r="N13" s="275"/>
      <c r="O13" s="275"/>
      <c r="P13" s="275"/>
    </row>
    <row r="14" spans="1:16" s="76" customFormat="1">
      <c r="A14" s="275"/>
      <c r="B14" s="275"/>
      <c r="C14" s="275"/>
      <c r="D14" s="275"/>
      <c r="E14" s="275"/>
      <c r="F14" s="275"/>
      <c r="G14" s="275"/>
      <c r="H14" s="275"/>
      <c r="I14" s="275"/>
      <c r="J14" s="275"/>
      <c r="K14" s="275"/>
      <c r="L14" s="275"/>
      <c r="M14" s="275"/>
      <c r="N14" s="275"/>
      <c r="O14" s="275"/>
      <c r="P14" s="275"/>
    </row>
    <row r="15" spans="1:16" s="76" customFormat="1">
      <c r="A15" s="273"/>
      <c r="B15" s="273"/>
      <c r="C15" s="273"/>
      <c r="D15" s="273"/>
      <c r="E15" s="273"/>
      <c r="F15" s="273"/>
      <c r="G15" s="273"/>
      <c r="H15" s="273"/>
      <c r="I15" s="273"/>
      <c r="J15" s="273"/>
      <c r="K15" s="273"/>
      <c r="L15" s="273"/>
      <c r="M15" s="273"/>
      <c r="N15" s="273"/>
      <c r="O15" s="273"/>
      <c r="P15" s="273"/>
    </row>
    <row r="16" spans="1:16">
      <c r="A16" s="273" t="s">
        <v>1859</v>
      </c>
      <c r="B16" s="273"/>
      <c r="C16" s="273"/>
      <c r="D16" s="273"/>
      <c r="E16" s="273"/>
      <c r="F16" s="273"/>
      <c r="G16" s="273"/>
      <c r="H16" s="273"/>
      <c r="I16" s="273"/>
      <c r="J16" s="273"/>
      <c r="K16" s="273"/>
      <c r="L16" s="273"/>
      <c r="M16" s="273"/>
      <c r="N16" s="273"/>
      <c r="O16" s="273"/>
      <c r="P16" s="273"/>
    </row>
    <row r="17" spans="1:19">
      <c r="A17" s="273" t="s">
        <v>1860</v>
      </c>
      <c r="B17" s="273"/>
      <c r="C17" s="273" t="s">
        <v>1861</v>
      </c>
      <c r="D17" s="273"/>
      <c r="E17" s="273"/>
      <c r="F17" s="273" t="s">
        <v>1862</v>
      </c>
      <c r="G17" s="273"/>
      <c r="H17" s="273"/>
      <c r="I17" s="273"/>
      <c r="J17" s="273"/>
      <c r="K17" s="273"/>
      <c r="L17" s="273"/>
      <c r="M17" s="273"/>
      <c r="N17" s="273"/>
      <c r="O17" s="273"/>
      <c r="P17" s="273" t="s">
        <v>1863</v>
      </c>
      <c r="Q17" s="273"/>
      <c r="R17" s="273"/>
      <c r="S17" s="273"/>
    </row>
    <row r="18" spans="1:19">
      <c r="A18" s="273" t="s">
        <v>1864</v>
      </c>
      <c r="B18" s="273"/>
      <c r="C18" s="273" t="s">
        <v>1865</v>
      </c>
      <c r="D18" s="273"/>
      <c r="E18" s="273"/>
      <c r="F18" s="273" t="s">
        <v>1629</v>
      </c>
      <c r="G18" s="273"/>
      <c r="H18" s="273"/>
      <c r="I18" s="273"/>
      <c r="J18" s="273"/>
      <c r="K18" s="273"/>
      <c r="L18" s="273"/>
      <c r="M18" s="273"/>
      <c r="N18" s="273"/>
      <c r="O18" s="273"/>
      <c r="P18" s="273" t="s">
        <v>186</v>
      </c>
      <c r="Q18" s="273">
        <f>50*47</f>
        <v>2350</v>
      </c>
      <c r="R18" s="273">
        <v>10000</v>
      </c>
      <c r="S18" s="273">
        <f>R18/Q18</f>
        <v>4.2553191489361701</v>
      </c>
    </row>
    <row r="19" spans="1:19">
      <c r="A19" s="273" t="s">
        <v>323</v>
      </c>
      <c r="B19" s="273"/>
      <c r="C19" s="273" t="s">
        <v>94</v>
      </c>
      <c r="D19" s="273"/>
      <c r="E19" s="273"/>
      <c r="F19" s="273" t="s">
        <v>1627</v>
      </c>
      <c r="G19" s="273"/>
      <c r="H19" s="273"/>
      <c r="I19" s="273"/>
      <c r="J19" s="273"/>
      <c r="K19" s="273"/>
      <c r="L19" s="273"/>
      <c r="M19" s="273"/>
      <c r="N19" s="273"/>
      <c r="O19" s="273"/>
      <c r="P19" s="273" t="s">
        <v>187</v>
      </c>
      <c r="Q19" s="273">
        <f>40*26.5</f>
        <v>1060</v>
      </c>
      <c r="R19" s="273">
        <f>Q19*S19</f>
        <v>4515.5999999999995</v>
      </c>
      <c r="S19" s="273">
        <v>4.26</v>
      </c>
    </row>
    <row r="20" spans="1:19">
      <c r="A20" s="273" t="s">
        <v>263</v>
      </c>
      <c r="B20" s="273"/>
      <c r="C20" s="273" t="s">
        <v>1866</v>
      </c>
      <c r="D20" s="273"/>
      <c r="E20" s="273"/>
      <c r="F20" s="273" t="s">
        <v>1638</v>
      </c>
      <c r="G20" s="273"/>
      <c r="H20" s="273"/>
      <c r="I20" s="273"/>
      <c r="J20" s="273"/>
      <c r="K20" s="273"/>
      <c r="L20" s="273"/>
      <c r="M20" s="273"/>
      <c r="N20" s="273"/>
      <c r="O20" s="273"/>
      <c r="P20" s="273"/>
      <c r="Q20" s="273"/>
      <c r="R20" s="273"/>
      <c r="S20" s="273"/>
    </row>
    <row r="21" spans="1:19">
      <c r="A21" s="273" t="s">
        <v>1567</v>
      </c>
      <c r="B21" s="273"/>
      <c r="C21" s="273" t="s">
        <v>1867</v>
      </c>
      <c r="D21" s="273"/>
      <c r="E21" s="273"/>
      <c r="F21" s="273"/>
      <c r="G21" s="273"/>
      <c r="H21" s="273"/>
      <c r="I21" s="273" cm="1">
        <f t="array" ref="I21">DATEVALUE(IFERROR(INDEX(TEXT('Cage Tally'!$A$2:$A114,"d/m/y"), MATCH(0,COUNTIF('Cage tracking'!$A$4:I20, TEXT('Cage Tally'!$A$2:$A114,"d/m/y")), 0)),""))</f>
        <v>44062</v>
      </c>
      <c r="J21" s="273"/>
      <c r="K21" s="273"/>
      <c r="L21" s="273"/>
      <c r="M21" s="273"/>
      <c r="N21" s="273"/>
      <c r="O21" s="273"/>
      <c r="P21" s="273"/>
      <c r="Q21" s="273"/>
      <c r="R21" s="273"/>
      <c r="S21" s="273"/>
    </row>
    <row r="22" spans="1:19">
      <c r="A22" s="273" t="s">
        <v>1868</v>
      </c>
      <c r="B22" s="273"/>
      <c r="C22" s="273" t="s">
        <v>1869</v>
      </c>
      <c r="D22" s="273"/>
      <c r="E22" s="273"/>
      <c r="F22" s="273"/>
      <c r="G22" s="273"/>
      <c r="H22" s="273"/>
      <c r="I22" s="273" cm="1">
        <f t="array" ref="I22">DATEVALUE(IFERROR(INDEX(TEXT('Cage Tally'!$A$2:$A115,"d/m/y"), MATCH(0,COUNTIF('Cage tracking'!$A$4:I21, TEXT('Cage Tally'!$A$2:$A115,"d/m/y")), 0)),""))</f>
        <v>44063</v>
      </c>
      <c r="J22" s="273"/>
      <c r="K22" s="273"/>
      <c r="L22" s="273"/>
      <c r="M22" s="273"/>
      <c r="N22" s="273"/>
      <c r="O22" s="273"/>
      <c r="P22" s="273"/>
      <c r="Q22" s="273"/>
      <c r="R22" s="273"/>
      <c r="S22" s="273"/>
    </row>
    <row r="23" spans="1:19">
      <c r="A23" s="273"/>
      <c r="B23" s="273"/>
      <c r="C23" s="273" t="s">
        <v>1870</v>
      </c>
      <c r="D23" s="273"/>
      <c r="E23" s="273"/>
      <c r="F23" s="273"/>
      <c r="G23" s="273"/>
      <c r="H23" s="273"/>
      <c r="I23" s="273" cm="1">
        <f t="array" ref="I23">DATEVALUE(IFERROR(INDEX(TEXT('Cage Tally'!$A$2:$A116,"d/m/y"), MATCH(0,COUNTIF('Cage tracking'!$A$4:I22, TEXT('Cage Tally'!$A$2:$A116,"d/m/y")), 0)),""))</f>
        <v>44067</v>
      </c>
      <c r="J23" s="273"/>
      <c r="K23" s="273"/>
      <c r="L23" s="273"/>
      <c r="M23" s="273"/>
      <c r="N23" s="273"/>
      <c r="O23" s="273"/>
      <c r="P23" s="273"/>
      <c r="Q23" s="273"/>
      <c r="R23" s="273"/>
      <c r="S23" s="273"/>
    </row>
    <row r="24" spans="1:19">
      <c r="A24" s="273"/>
      <c r="B24" s="273"/>
      <c r="C24" s="273"/>
      <c r="D24" s="273"/>
      <c r="E24" s="273"/>
      <c r="F24" s="273"/>
      <c r="G24" s="273"/>
      <c r="H24" s="273"/>
      <c r="I24" s="273" cm="1">
        <f t="array" ref="I24">DATEVALUE(IFERROR(INDEX(TEXT('Cage Tally'!$A$2:$A117,"d/m/y"), MATCH(0,COUNTIF('Cage tracking'!$A$4:I23, TEXT('Cage Tally'!$A$2:$A117,"d/m/y")), 0)),""))</f>
        <v>44069</v>
      </c>
      <c r="J24" s="273"/>
      <c r="K24" s="273"/>
      <c r="L24" s="273"/>
      <c r="M24" s="273"/>
      <c r="N24" s="273"/>
      <c r="O24" s="273"/>
      <c r="P24" s="273"/>
      <c r="Q24" s="273"/>
      <c r="R24" s="273"/>
      <c r="S24" s="273"/>
    </row>
    <row r="25" spans="1:19">
      <c r="A25" s="77" t="s">
        <v>1871</v>
      </c>
      <c r="B25" s="273"/>
      <c r="C25" s="273"/>
      <c r="D25" s="273"/>
      <c r="E25" s="273"/>
      <c r="F25" s="273"/>
      <c r="G25" s="273"/>
      <c r="H25" s="273"/>
      <c r="I25" s="273" cm="1">
        <f t="array" ref="I25">DATEVALUE(IFERROR(INDEX(TEXT('Cage Tally'!$A$2:$A118,"d/m/y"), MATCH(0,COUNTIF('Cage tracking'!$A$4:I24, TEXT('Cage Tally'!$A$2:$A118,"d/m/y")), 0)),""))</f>
        <v>44075</v>
      </c>
      <c r="J25" s="273"/>
      <c r="K25" s="273"/>
      <c r="L25" s="273"/>
      <c r="M25" s="273"/>
      <c r="N25" s="273"/>
      <c r="O25" s="273"/>
      <c r="P25" s="273"/>
      <c r="Q25" s="273"/>
      <c r="R25" s="273"/>
      <c r="S25" s="273"/>
    </row>
    <row r="26" spans="1:19">
      <c r="A26" s="273"/>
      <c r="B26" s="273"/>
      <c r="C26" s="273"/>
      <c r="D26" s="273"/>
      <c r="E26" s="273"/>
      <c r="F26" s="273"/>
      <c r="G26" s="273"/>
      <c r="H26" s="273"/>
      <c r="I26" s="273" cm="1">
        <f t="array" ref="I26">DATEVALUE(IFERROR(INDEX(TEXT('Cage Tally'!$A$2:$A119,"d/m/y"), MATCH(0,COUNTIF('Cage tracking'!$A$4:I25, TEXT('Cage Tally'!$A$2:$A119,"d/m/y")), 0)),""))</f>
        <v>44076</v>
      </c>
      <c r="J26" s="273"/>
      <c r="K26" s="273"/>
      <c r="L26" s="273"/>
      <c r="M26" s="273"/>
      <c r="N26" s="273"/>
      <c r="O26" s="273"/>
      <c r="P26" s="273"/>
      <c r="Q26" s="273"/>
      <c r="R26" s="273"/>
      <c r="S26" s="273"/>
    </row>
    <row r="27" spans="1:19">
      <c r="A27" s="273" t="s">
        <v>1872</v>
      </c>
      <c r="B27" s="273"/>
      <c r="C27" s="273"/>
      <c r="D27" s="273"/>
      <c r="E27" s="273"/>
      <c r="F27" s="273"/>
      <c r="G27" s="273"/>
      <c r="H27" s="273"/>
      <c r="I27" s="273" cm="1">
        <f t="array" ref="I27">DATEVALUE(IFERROR(INDEX(TEXT('Cage Tally'!$A$2:$A120,"d/m/y"), MATCH(0,COUNTIF('Cage tracking'!$A$4:I26, TEXT('Cage Tally'!$A$2:$A120,"d/m/y")), 0)),""))</f>
        <v>44077</v>
      </c>
      <c r="J27" s="273"/>
      <c r="K27" s="273"/>
      <c r="L27" s="273"/>
      <c r="M27" s="273"/>
      <c r="N27" s="273"/>
      <c r="O27" s="273"/>
      <c r="P27" s="273"/>
      <c r="Q27" s="273"/>
      <c r="R27" s="273"/>
      <c r="S27" s="273"/>
    </row>
    <row r="28" spans="1:19">
      <c r="A28" s="273"/>
      <c r="B28" s="273"/>
      <c r="C28" s="273"/>
      <c r="D28" s="273"/>
      <c r="E28" s="273"/>
      <c r="F28" s="273"/>
      <c r="G28" s="273"/>
      <c r="H28" s="273"/>
      <c r="I28" s="273" cm="1">
        <f t="array" ref="I28">DATEVALUE(IFERROR(INDEX(TEXT('Cage Tally'!$A$2:$A121,"d/m/y"), MATCH(0,COUNTIF('Cage tracking'!$A$4:I27, TEXT('Cage Tally'!$A$2:$A121,"d/m/y")), 0)),""))</f>
        <v>44078</v>
      </c>
      <c r="J28" s="273"/>
      <c r="K28" s="273"/>
      <c r="L28" s="273"/>
      <c r="M28" s="273"/>
      <c r="N28" s="273"/>
      <c r="O28" s="273"/>
      <c r="P28" s="273"/>
      <c r="Q28" s="273"/>
      <c r="R28" s="273"/>
      <c r="S28" s="273"/>
    </row>
    <row r="29" spans="1:19">
      <c r="A29" s="273"/>
      <c r="B29" s="273"/>
      <c r="C29" s="273"/>
      <c r="D29" s="273"/>
      <c r="E29" s="273"/>
      <c r="F29" s="273"/>
      <c r="G29" s="273"/>
      <c r="H29" s="273"/>
      <c r="I29" s="273" cm="1">
        <f t="array" ref="I29">DATEVALUE(IFERROR(INDEX(TEXT('Cage Tally'!$A$2:$A122,"d/m/y"), MATCH(0,COUNTIF('Cage tracking'!$A$4:I28, TEXT('Cage Tally'!$A$2:$A122,"d/m/y")), 0)),""))</f>
        <v>44081</v>
      </c>
      <c r="J29" s="273"/>
      <c r="K29" s="273"/>
      <c r="L29" s="273"/>
      <c r="M29" s="273"/>
      <c r="N29" s="273"/>
      <c r="O29" s="273"/>
      <c r="P29" s="273"/>
      <c r="Q29" s="273"/>
      <c r="R29" s="273"/>
      <c r="S29" s="273"/>
    </row>
    <row r="30" spans="1:19">
      <c r="A30" s="273"/>
      <c r="B30" s="273"/>
      <c r="C30" s="273"/>
      <c r="D30" s="273"/>
      <c r="E30" s="273"/>
      <c r="F30" s="273"/>
      <c r="G30" s="273"/>
      <c r="H30" s="273"/>
      <c r="I30" s="273" cm="1">
        <f t="array" ref="I30">DATEVALUE(IFERROR(INDEX(TEXT('Cage Tally'!$A$2:$A123,"d/m/y"), MATCH(0,COUNTIF('Cage tracking'!$A$4:I29, TEXT('Cage Tally'!$A$2:$A123,"d/m/y")), 0)),""))</f>
        <v>44081</v>
      </c>
      <c r="J30" s="273"/>
      <c r="K30" s="273"/>
      <c r="L30" s="273"/>
      <c r="M30" s="273"/>
      <c r="N30" s="273"/>
      <c r="O30" s="273"/>
      <c r="P30" s="273"/>
      <c r="Q30" s="273"/>
      <c r="R30" s="273"/>
      <c r="S30" s="273"/>
    </row>
    <row r="31" spans="1:19">
      <c r="A31" s="273"/>
      <c r="B31" s="273"/>
      <c r="C31" s="273"/>
      <c r="D31" s="273"/>
      <c r="E31" s="273"/>
      <c r="F31" s="273"/>
      <c r="G31" s="273"/>
      <c r="H31" s="273"/>
      <c r="I31" s="273" cm="1">
        <f t="array" ref="I31">DATEVALUE(IFERROR(INDEX(TEXT('Cage Tally'!$A$2:$A124,"d/m/y"), MATCH(0,COUNTIF('Cage tracking'!$A$4:I30, TEXT('Cage Tally'!$A$2:$A124,"d/m/y")), 0)),""))</f>
        <v>44081</v>
      </c>
      <c r="J31" s="273"/>
      <c r="K31" s="273"/>
      <c r="L31" s="273"/>
      <c r="M31" s="273"/>
      <c r="N31" s="273"/>
      <c r="O31" s="273"/>
      <c r="P31" s="273"/>
      <c r="Q31" s="273"/>
      <c r="R31" s="273"/>
      <c r="S31" s="273"/>
    </row>
    <row r="32" spans="1:19">
      <c r="A32" s="273"/>
      <c r="B32" s="273"/>
      <c r="C32" s="273"/>
      <c r="D32" s="273"/>
      <c r="E32" s="273"/>
      <c r="F32" s="273"/>
      <c r="G32" s="273"/>
      <c r="H32" s="273"/>
      <c r="I32" s="273" t="e" cm="1">
        <f t="array" ref="I32">DATEVALUE(IFERROR(INDEX(TEXT('Cage Tally'!$A$2:$A125,"d/m/y"), MATCH(0,COUNTIF('Cage tracking'!$A$4:I31, TEXT('Cage Tally'!$A$2:$A125,"d/m/y")), 0)),""))</f>
        <v>#VALUE!</v>
      </c>
      <c r="J32" s="273"/>
      <c r="K32" s="273"/>
      <c r="L32" s="273"/>
      <c r="M32" s="273"/>
      <c r="N32" s="273"/>
      <c r="O32" s="273"/>
      <c r="P32" s="273"/>
      <c r="Q32" s="273"/>
      <c r="R32" s="273"/>
      <c r="S32" s="273"/>
    </row>
    <row r="33" spans="9:10">
      <c r="I33" s="273" t="e" cm="1">
        <f t="array" ref="I33">DATEVALUE(IFERROR(INDEX(TEXT('Cage Tally'!$A$2:$A126,"d/m/y"), MATCH(0,COUNTIF('Cage tracking'!$A$4:I32, TEXT('Cage Tally'!$A$2:$A126,"d/m/y")), 0)),""))</f>
        <v>#VALUE!</v>
      </c>
      <c r="J33" s="273"/>
    </row>
    <row r="34" spans="9:10">
      <c r="I34" s="273" t="e" cm="1">
        <f t="array" ref="I34">DATEVALUE(IFERROR(INDEX(TEXT('Cage Tally'!$A$2:$A127,"d/m/y"), MATCH(0,COUNTIF('Cage tracking'!$A$4:I33, TEXT('Cage Tally'!$A$2:$A127,"d/m/y")), 0)),""))</f>
        <v>#VALUE!</v>
      </c>
      <c r="J34" s="273"/>
    </row>
    <row r="35" spans="9:10">
      <c r="I35" s="273" t="e" cm="1">
        <f t="array" ref="I35">DATEVALUE(IFERROR(INDEX(TEXT('Cage Tally'!$A$2:$A128,"d/m/y"), MATCH(0,COUNTIF('Cage tracking'!$A$4:I34, TEXT('Cage Tally'!$A$2:$A128,"d/m/y")), 0)),""))</f>
        <v>#VALUE!</v>
      </c>
      <c r="J35" s="273"/>
    </row>
    <row r="36" spans="9:10">
      <c r="I36" s="273" t="e" cm="1">
        <f t="array" ref="I36">DATEVALUE(IFERROR(INDEX(TEXT('Cage Tally'!$A$2:$A129,"d/m/y"), MATCH(0,COUNTIF('Cage tracking'!$A$4:I35, TEXT('Cage Tally'!$A$2:$A129,"d/m/y")), 0)),""))</f>
        <v>#VALUE!</v>
      </c>
      <c r="J36" s="273"/>
    </row>
    <row r="37" spans="9:10">
      <c r="I37" s="273" t="e" cm="1">
        <f t="array" ref="I37">DATEVALUE(IFERROR(INDEX(TEXT('Cage Tally'!$A$2:$A130,"d/m/y"), MATCH(0,COUNTIF('Cage tracking'!$A$4:I36, TEXT('Cage Tally'!$A$2:$A130,"d/m/y")), 0)),""))</f>
        <v>#VALUE!</v>
      </c>
      <c r="J37" s="273"/>
    </row>
    <row r="38" spans="9:10">
      <c r="I38" s="273" t="e" cm="1">
        <f t="array" ref="I38">DATEVALUE(IFERROR(INDEX(TEXT('Cage Tally'!$A$2:$A131,"d/m/y"), MATCH(0,COUNTIF('Cage tracking'!$A$4:I37, TEXT('Cage Tally'!$A$2:$A131,"d/m/y")), 0)),""))</f>
        <v>#VALUE!</v>
      </c>
      <c r="J38" s="273"/>
    </row>
    <row r="39" spans="9:10">
      <c r="I39" s="273" t="e" cm="1">
        <f t="array" ref="I39">DATEVALUE(IFERROR(INDEX(TEXT('Cage Tally'!$A$2:$A132,"d/m/y"), MATCH(0,COUNTIF('Cage tracking'!$A$4:I38, TEXT('Cage Tally'!$A$2:$A132,"d/m/y")), 0)),""))</f>
        <v>#VALUE!</v>
      </c>
      <c r="J39" s="273"/>
    </row>
    <row r="40" spans="9:10">
      <c r="I40" s="273" t="e" cm="1">
        <f t="array" ref="I40">DATEVALUE(IFERROR(INDEX(TEXT('Cage Tally'!$A$2:$A133,"d/m/y"), MATCH(0,COUNTIF('Cage tracking'!$A$4:I39, TEXT('Cage Tally'!$A$2:$A133,"d/m/y")), 0)),""))</f>
        <v>#VALUE!</v>
      </c>
      <c r="J40" s="273"/>
    </row>
    <row r="41" spans="9:10">
      <c r="I41" s="273" t="e" cm="1">
        <f t="array" ref="I41">DATEVALUE(IFERROR(INDEX(TEXT('Cage Tally'!$A$2:$A134,"d/m/y"), MATCH(0,COUNTIF('Cage tracking'!$A$4:I40, TEXT('Cage Tally'!$A$2:$A134,"d/m/y")), 0)),""))</f>
        <v>#VALUE!</v>
      </c>
      <c r="J41" s="273"/>
    </row>
    <row r="42" spans="9:10">
      <c r="I42" s="273" t="e" cm="1">
        <f t="array" ref="I42">DATEVALUE(IFERROR(INDEX(TEXT('Cage Tally'!$A$2:$A135,"d/m/y"), MATCH(0,COUNTIF('Cage tracking'!$A$4:I41, TEXT('Cage Tally'!$A$2:$A135,"d/m/y")), 0)),""))</f>
        <v>#VALUE!</v>
      </c>
      <c r="J42" s="273"/>
    </row>
    <row r="43" spans="9:10">
      <c r="I43" s="273" t="e" cm="1">
        <f t="array" ref="I43">DATEVALUE(IFERROR(INDEX(TEXT('Cage Tally'!$A$2:$A136,"d/m/y"), MATCH(0,COUNTIF('Cage tracking'!$A$4:I42, TEXT('Cage Tally'!$A$2:$A136,"d/m/y")), 0)),""))</f>
        <v>#VALUE!</v>
      </c>
      <c r="J43" s="273"/>
    </row>
  </sheetData>
  <mergeCells count="2">
    <mergeCell ref="A1:P8"/>
    <mergeCell ref="A9:P12"/>
  </mergeCell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33"/>
  <sheetViews>
    <sheetView workbookViewId="0">
      <pane xSplit="1" ySplit="4" topLeftCell="B5" activePane="bottomRight" state="frozen"/>
      <selection pane="bottomRight" activeCell="B1" sqref="B1"/>
      <selection pane="bottomLeft" activeCell="A5" sqref="A5"/>
      <selection pane="topRight" activeCell="B1" sqref="B1"/>
    </sheetView>
  </sheetViews>
  <sheetFormatPr defaultColWidth="14.42578125" defaultRowHeight="15.75" customHeight="1"/>
  <sheetData>
    <row r="1" spans="1:24" ht="15.75" customHeight="1">
      <c r="A1" s="22"/>
      <c r="B1" s="274" t="s">
        <v>1873</v>
      </c>
      <c r="C1" s="274"/>
      <c r="D1" s="274" t="s">
        <v>1874</v>
      </c>
      <c r="E1" s="5"/>
      <c r="F1" s="5"/>
      <c r="G1" s="5"/>
      <c r="H1" s="5"/>
      <c r="I1" s="5"/>
      <c r="J1" s="5"/>
      <c r="K1" s="5"/>
      <c r="L1" s="5"/>
      <c r="M1" s="5"/>
      <c r="N1" s="5"/>
      <c r="O1" s="5"/>
      <c r="P1" s="5"/>
      <c r="Q1" s="5"/>
      <c r="R1" s="5"/>
      <c r="S1" s="5"/>
      <c r="T1" s="5"/>
      <c r="U1" s="273"/>
      <c r="V1" s="273"/>
      <c r="W1" s="273"/>
      <c r="X1" s="273"/>
    </row>
    <row r="2" spans="1:24" ht="12.75">
      <c r="A2" s="2"/>
      <c r="B2" s="48">
        <v>2.7000000000000001E-3</v>
      </c>
      <c r="C2" s="48"/>
      <c r="D2" s="273"/>
      <c r="E2" s="273"/>
      <c r="F2" s="273"/>
      <c r="G2" s="273"/>
      <c r="H2" s="273"/>
      <c r="I2" s="273"/>
      <c r="J2" s="273"/>
      <c r="K2" s="273"/>
      <c r="L2" s="273"/>
      <c r="M2" s="273"/>
      <c r="N2" s="273"/>
      <c r="O2" s="273"/>
      <c r="P2" s="273"/>
      <c r="Q2" s="273"/>
      <c r="R2" s="273"/>
      <c r="S2" s="273"/>
      <c r="T2" s="273"/>
      <c r="U2" s="273"/>
      <c r="V2" s="273"/>
      <c r="W2" s="273"/>
      <c r="X2" s="273"/>
    </row>
    <row r="3" spans="1:24" ht="12.75">
      <c r="A3" s="2"/>
      <c r="B3" s="273"/>
      <c r="C3" s="273"/>
      <c r="D3" s="273"/>
      <c r="E3" s="274" t="s">
        <v>35</v>
      </c>
      <c r="F3" s="273"/>
      <c r="G3" s="273"/>
      <c r="H3" s="273"/>
      <c r="I3" s="273"/>
      <c r="J3" s="273"/>
      <c r="K3" s="273"/>
      <c r="L3" s="273"/>
      <c r="M3" s="273"/>
      <c r="N3" s="274" t="s">
        <v>1875</v>
      </c>
      <c r="O3" s="273"/>
      <c r="P3" s="273"/>
      <c r="Q3" s="273"/>
      <c r="R3" s="273"/>
      <c r="S3" s="273"/>
      <c r="T3" s="273"/>
      <c r="U3" s="273"/>
      <c r="V3" s="273"/>
      <c r="W3" s="273"/>
      <c r="X3" s="273"/>
    </row>
    <row r="4" spans="1:24" ht="12.75">
      <c r="A4" s="1" t="s">
        <v>1876</v>
      </c>
      <c r="B4" s="274" t="s">
        <v>1877</v>
      </c>
      <c r="C4" s="274" t="s">
        <v>1878</v>
      </c>
      <c r="D4" s="274" t="s">
        <v>1879</v>
      </c>
      <c r="E4" s="274" t="s">
        <v>1880</v>
      </c>
      <c r="F4" s="274" t="s">
        <v>1881</v>
      </c>
      <c r="G4" s="274" t="s">
        <v>1882</v>
      </c>
      <c r="H4" s="274" t="s">
        <v>1883</v>
      </c>
      <c r="I4" s="1" t="s">
        <v>1884</v>
      </c>
      <c r="J4" s="274" t="s">
        <v>1877</v>
      </c>
      <c r="K4" s="274" t="s">
        <v>1878</v>
      </c>
      <c r="L4" s="274" t="s">
        <v>1879</v>
      </c>
      <c r="M4" s="274" t="s">
        <v>1880</v>
      </c>
      <c r="N4" s="274" t="s">
        <v>1881</v>
      </c>
      <c r="O4" s="274" t="s">
        <v>1882</v>
      </c>
      <c r="P4" s="274" t="s">
        <v>1883</v>
      </c>
      <c r="Q4" s="1" t="s">
        <v>40</v>
      </c>
      <c r="R4" s="274" t="s">
        <v>41</v>
      </c>
      <c r="S4" s="274" t="s">
        <v>42</v>
      </c>
      <c r="T4" s="5"/>
      <c r="U4" s="273"/>
      <c r="V4" s="273"/>
      <c r="W4" s="273"/>
      <c r="X4" s="273"/>
    </row>
    <row r="5" spans="1:24" ht="12.75">
      <c r="A5" s="7">
        <v>43847</v>
      </c>
      <c r="B5" s="35">
        <f>-1.986+2.1166</f>
        <v>0.13060000000000005</v>
      </c>
      <c r="C5" s="35">
        <f>-1.8371+1.9043</f>
        <v>6.7200000000000149E-2</v>
      </c>
      <c r="D5" s="35">
        <f>-1.9141+2.3975</f>
        <v>0.48340000000000005</v>
      </c>
      <c r="E5" s="35">
        <f>-1.8534+5.2543</f>
        <v>3.4009</v>
      </c>
      <c r="F5" s="35">
        <f>-1.7925+3.1852</f>
        <v>1.3927</v>
      </c>
      <c r="G5" s="35">
        <f>-1.9311+2.0018</f>
        <v>7.0699999999999763E-2</v>
      </c>
      <c r="H5" s="35">
        <f>-1.7631+2.1704</f>
        <v>0.4073</v>
      </c>
      <c r="I5" s="2">
        <f t="shared" ref="I5:I9" si="0">SUM(B5:H5)</f>
        <v>5.9527999999999999</v>
      </c>
      <c r="J5" s="273"/>
      <c r="K5" s="273"/>
      <c r="L5" s="273"/>
      <c r="M5" s="273"/>
      <c r="N5" s="273"/>
      <c r="O5" s="273"/>
      <c r="P5" s="273"/>
      <c r="Q5" s="2">
        <f>SUM(J5:P5)</f>
        <v>0</v>
      </c>
      <c r="R5" s="35">
        <f>Q5*0.02554</f>
        <v>0</v>
      </c>
      <c r="S5" s="35">
        <f>I5+R5</f>
        <v>5.9527999999999999</v>
      </c>
      <c r="T5" s="273"/>
      <c r="U5" s="273"/>
      <c r="V5" s="273"/>
      <c r="W5" s="273"/>
      <c r="X5" s="273"/>
    </row>
    <row r="6" spans="1:24" ht="12.75">
      <c r="A6" s="26">
        <v>43850</v>
      </c>
      <c r="B6" s="48">
        <f>-1.9685+ 2.0976</f>
        <v>0.12909999999999999</v>
      </c>
      <c r="C6" s="35">
        <f>-1.8734+2.0971</f>
        <v>0.22370000000000023</v>
      </c>
      <c r="D6" s="35">
        <f>-1.9368+2.6825</f>
        <v>0.74570000000000003</v>
      </c>
      <c r="E6" s="35">
        <f>-1.9261+7.0541</f>
        <v>5.1280000000000001</v>
      </c>
      <c r="F6" s="35">
        <f>-1.9557+3.8571</f>
        <v>1.9014</v>
      </c>
      <c r="G6" s="35">
        <f>-1.8851+1.9834</f>
        <v>9.8300000000000054E-2</v>
      </c>
      <c r="H6" s="35">
        <f>-2.1447+2.434</f>
        <v>0.28930000000000033</v>
      </c>
      <c r="I6" s="2">
        <f t="shared" si="0"/>
        <v>8.5155000000000012</v>
      </c>
      <c r="J6" s="273"/>
      <c r="K6" s="273"/>
      <c r="L6" s="273"/>
      <c r="M6" s="273"/>
      <c r="N6" s="273"/>
      <c r="O6" s="273"/>
      <c r="P6" s="273"/>
      <c r="Q6" s="273"/>
      <c r="R6" s="273"/>
      <c r="S6" s="273"/>
      <c r="T6" s="273"/>
      <c r="U6" s="273"/>
      <c r="V6" s="273"/>
      <c r="W6" s="273"/>
      <c r="X6" s="273"/>
    </row>
    <row r="7" spans="1:24" ht="12.75">
      <c r="A7" s="26">
        <v>43852</v>
      </c>
      <c r="B7" s="48">
        <f>-1.91+2.1072</f>
        <v>0.19720000000000026</v>
      </c>
      <c r="C7" s="35">
        <f>-2.0058+2.1548</f>
        <v>0.14900000000000002</v>
      </c>
      <c r="D7" s="35">
        <f>-1.8684+3.0377</f>
        <v>1.1693</v>
      </c>
      <c r="E7" s="35">
        <f>-1.9542+2.5672</f>
        <v>0.61300000000000021</v>
      </c>
      <c r="F7" s="35">
        <f>-1.7641+2.1587</f>
        <v>0.39460000000000006</v>
      </c>
      <c r="G7" s="35">
        <f>-1.9288+1.9862</f>
        <v>5.7399999999999896E-2</v>
      </c>
      <c r="H7" s="35">
        <f>-1.949+2.1913</f>
        <v>0.24229999999999996</v>
      </c>
      <c r="I7" s="2">
        <f t="shared" si="0"/>
        <v>2.8228000000000009</v>
      </c>
      <c r="J7" s="273"/>
      <c r="K7" s="273"/>
      <c r="L7" s="273"/>
      <c r="M7" s="273"/>
      <c r="N7" s="273"/>
      <c r="O7" s="273"/>
      <c r="P7" s="273"/>
      <c r="Q7" s="273"/>
      <c r="R7" s="273"/>
      <c r="S7" s="273"/>
      <c r="T7" s="273"/>
      <c r="U7" s="273"/>
      <c r="V7" s="48" t="s">
        <v>1885</v>
      </c>
      <c r="W7" s="273"/>
      <c r="X7" s="273"/>
    </row>
    <row r="8" spans="1:24" ht="12.75">
      <c r="A8" s="26">
        <v>43864</v>
      </c>
      <c r="B8" s="273"/>
      <c r="C8" s="273"/>
      <c r="D8" s="273"/>
      <c r="E8" s="35">
        <f>-1.8567+4.3965</f>
        <v>2.5397999999999996</v>
      </c>
      <c r="F8" s="273"/>
      <c r="G8" s="273"/>
      <c r="H8" s="273"/>
      <c r="I8" s="2">
        <f t="shared" si="0"/>
        <v>2.5397999999999996</v>
      </c>
      <c r="J8" s="273"/>
      <c r="K8" s="273"/>
      <c r="L8" s="273"/>
      <c r="M8" s="273"/>
      <c r="N8" s="273"/>
      <c r="O8" s="273"/>
      <c r="P8" s="273"/>
      <c r="Q8" s="273"/>
      <c r="R8" s="273"/>
      <c r="S8" s="273"/>
      <c r="T8" s="273"/>
      <c r="U8" s="273"/>
      <c r="V8" s="48" t="s">
        <v>1886</v>
      </c>
      <c r="W8" s="48" t="s">
        <v>1887</v>
      </c>
      <c r="X8" s="48" t="s">
        <v>1888</v>
      </c>
    </row>
    <row r="9" spans="1:24" ht="12.75">
      <c r="A9" s="26">
        <v>43866</v>
      </c>
      <c r="B9" s="273"/>
      <c r="C9" s="273"/>
      <c r="D9" s="273"/>
      <c r="E9" s="273"/>
      <c r="F9" s="273"/>
      <c r="G9" s="273"/>
      <c r="H9" s="273"/>
      <c r="I9" s="2">
        <f t="shared" si="0"/>
        <v>0</v>
      </c>
      <c r="J9" s="48">
        <v>7</v>
      </c>
      <c r="K9" s="273"/>
      <c r="L9" s="48">
        <v>2</v>
      </c>
      <c r="M9" s="48">
        <v>4</v>
      </c>
      <c r="N9" s="48">
        <v>4</v>
      </c>
      <c r="O9" s="48">
        <v>0</v>
      </c>
      <c r="P9" s="48">
        <v>5</v>
      </c>
      <c r="Q9" s="273"/>
      <c r="R9" s="273"/>
      <c r="S9" s="273"/>
      <c r="T9" s="273"/>
      <c r="U9" s="273"/>
      <c r="V9" s="48">
        <v>13.8818</v>
      </c>
      <c r="W9" s="48">
        <v>14.9322</v>
      </c>
      <c r="X9" s="35">
        <f t="shared" ref="X9:X29" si="1">W9-V9</f>
        <v>1.0503999999999998</v>
      </c>
    </row>
    <row r="10" spans="1:24" ht="12.75">
      <c r="A10" s="26">
        <v>43868</v>
      </c>
      <c r="B10" s="35">
        <f>-49.425</f>
        <v>-49.424999999999997</v>
      </c>
      <c r="C10" s="273"/>
      <c r="D10" s="273"/>
      <c r="E10" s="273"/>
      <c r="F10" s="273"/>
      <c r="G10" s="273"/>
      <c r="H10" s="273"/>
      <c r="I10" s="35">
        <f>B10+49.7347</f>
        <v>0.30969999999999942</v>
      </c>
      <c r="J10" s="273"/>
      <c r="K10" s="273"/>
      <c r="L10" s="273"/>
      <c r="M10" s="273"/>
      <c r="N10" s="273"/>
      <c r="O10" s="273"/>
      <c r="P10" s="273"/>
      <c r="Q10" s="273"/>
      <c r="R10" s="273"/>
      <c r="S10" s="273"/>
      <c r="T10" s="273"/>
      <c r="U10" s="273"/>
      <c r="V10" s="48">
        <v>13.6981</v>
      </c>
      <c r="W10" s="48">
        <v>14.96</v>
      </c>
      <c r="X10" s="35">
        <f t="shared" si="1"/>
        <v>1.2619000000000007</v>
      </c>
    </row>
    <row r="11" spans="1:24" ht="12.75">
      <c r="A11" s="273"/>
      <c r="B11" s="273"/>
      <c r="C11" s="273"/>
      <c r="D11" s="273"/>
      <c r="E11" s="273"/>
      <c r="F11" s="273"/>
      <c r="G11" s="273"/>
      <c r="H11" s="273"/>
      <c r="I11" s="35">
        <f>B10+48.3068+4.557</f>
        <v>3.4388000000000059</v>
      </c>
      <c r="J11" s="273"/>
      <c r="K11" s="273"/>
      <c r="L11" s="273"/>
      <c r="M11" s="273"/>
      <c r="N11" s="273"/>
      <c r="O11" s="273"/>
      <c r="P11" s="273"/>
      <c r="Q11" s="273"/>
      <c r="R11" s="273"/>
      <c r="S11" s="273"/>
      <c r="T11" s="273"/>
      <c r="U11" s="273"/>
      <c r="V11" s="48">
        <v>14.116</v>
      </c>
      <c r="W11" s="48">
        <v>21.51</v>
      </c>
      <c r="X11" s="35">
        <f t="shared" si="1"/>
        <v>7.3940000000000019</v>
      </c>
    </row>
    <row r="12" spans="1:24" ht="12.75">
      <c r="A12" s="26">
        <v>43878</v>
      </c>
      <c r="B12" s="48">
        <f>-6.2243+7.9332</f>
        <v>1.7088999999999999</v>
      </c>
      <c r="C12" s="48">
        <f>-16.4594+17.3202</f>
        <v>0.86080000000000112</v>
      </c>
      <c r="D12" s="48">
        <f>-5.2887+9.8482</f>
        <v>4.5594999999999999</v>
      </c>
      <c r="E12" s="48">
        <f>-6.1239+10.0738</f>
        <v>3.9499000000000004</v>
      </c>
      <c r="F12" s="48">
        <f>-6.5542+7.9062</f>
        <v>1.3520000000000003</v>
      </c>
      <c r="G12" s="48">
        <f>-6.2768+12.3648</f>
        <v>6.088000000000001</v>
      </c>
      <c r="H12" s="48">
        <f>-6.7986+7.1712</f>
        <v>0.37259999999999938</v>
      </c>
      <c r="I12" s="35">
        <f t="shared" ref="I12:I16" si="2">SUM(B12:H12)</f>
        <v>18.8917</v>
      </c>
      <c r="J12" s="273"/>
      <c r="K12" s="273"/>
      <c r="L12" s="273"/>
      <c r="M12" s="273"/>
      <c r="N12" s="273"/>
      <c r="O12" s="273"/>
      <c r="P12" s="273"/>
      <c r="Q12" s="273"/>
      <c r="R12" s="273"/>
      <c r="S12" s="273"/>
      <c r="T12" s="273"/>
      <c r="U12" s="273"/>
      <c r="V12" s="48">
        <v>15.998699999999999</v>
      </c>
      <c r="W12" s="48">
        <v>21.44</v>
      </c>
      <c r="X12" s="35">
        <f t="shared" si="1"/>
        <v>5.4413000000000018</v>
      </c>
    </row>
    <row r="13" spans="1:24" ht="12.75">
      <c r="A13" s="26">
        <v>43880</v>
      </c>
      <c r="B13" s="48">
        <f>6.713-6.0543</f>
        <v>0.65870000000000051</v>
      </c>
      <c r="C13" s="48">
        <f>23.0179-22.6313</f>
        <v>0.38660000000000139</v>
      </c>
      <c r="D13" s="48">
        <f>7.9662-5.4841</f>
        <v>2.4821</v>
      </c>
      <c r="E13" s="48">
        <f>7.1462-4.8906</f>
        <v>2.2556000000000003</v>
      </c>
      <c r="F13" s="48">
        <f>4.7969-4.3073</f>
        <v>0.48960000000000026</v>
      </c>
      <c r="G13" s="48">
        <f>8.2281-4.7757</f>
        <v>3.4523999999999999</v>
      </c>
      <c r="H13" s="48">
        <f>6.2-5.5372</f>
        <v>0.66279999999999983</v>
      </c>
      <c r="I13" s="35">
        <f t="shared" si="2"/>
        <v>10.387800000000002</v>
      </c>
      <c r="J13" s="273"/>
      <c r="K13" s="35">
        <f>D13+E13+F13+H13</f>
        <v>5.8901000000000003</v>
      </c>
      <c r="L13" s="273"/>
      <c r="M13" s="273"/>
      <c r="N13" s="273"/>
      <c r="O13" s="273"/>
      <c r="P13" s="273"/>
      <c r="Q13" s="273"/>
      <c r="R13" s="273"/>
      <c r="S13" s="273"/>
      <c r="T13" s="273"/>
      <c r="U13" s="273"/>
      <c r="V13" s="48">
        <v>14.296799999999999</v>
      </c>
      <c r="W13" s="48">
        <v>17.34</v>
      </c>
      <c r="X13" s="35">
        <f t="shared" si="1"/>
        <v>3.0432000000000006</v>
      </c>
    </row>
    <row r="14" spans="1:24" ht="12.75">
      <c r="A14" s="26">
        <v>43882</v>
      </c>
      <c r="B14" s="48">
        <f>-4.9826+8.234</f>
        <v>3.2514000000000003</v>
      </c>
      <c r="C14" s="48">
        <f>19.4353-18.2692</f>
        <v>1.1661000000000001</v>
      </c>
      <c r="D14" s="48">
        <f>7.2136-5.066</f>
        <v>2.1475999999999997</v>
      </c>
      <c r="E14" s="48">
        <f>7.5426-5.024</f>
        <v>2.5186000000000002</v>
      </c>
      <c r="F14" s="48">
        <f>6.9997-6.8125</f>
        <v>0.18719999999999981</v>
      </c>
      <c r="G14" s="48">
        <f>7.3925-5.9068</f>
        <v>1.4857000000000005</v>
      </c>
      <c r="H14" s="48">
        <f>6.1271-4.9057</f>
        <v>1.2214</v>
      </c>
      <c r="I14" s="35">
        <f t="shared" si="2"/>
        <v>11.978000000000002</v>
      </c>
      <c r="J14" s="273"/>
      <c r="K14" s="273"/>
      <c r="L14" s="273"/>
      <c r="M14" s="273"/>
      <c r="N14" s="273"/>
      <c r="O14" s="273"/>
      <c r="P14" s="273"/>
      <c r="Q14" s="273"/>
      <c r="R14" s="273"/>
      <c r="S14" s="273"/>
      <c r="T14" s="273"/>
      <c r="U14" s="273"/>
      <c r="V14" s="48">
        <v>12.6616</v>
      </c>
      <c r="W14" s="48">
        <v>13.12</v>
      </c>
      <c r="X14" s="35">
        <f t="shared" si="1"/>
        <v>0.45839999999999925</v>
      </c>
    </row>
    <row r="15" spans="1:24" ht="12.75">
      <c r="A15" s="26">
        <v>43885</v>
      </c>
      <c r="B15" s="35">
        <f>-5.6505+8.1968</f>
        <v>2.5462999999999996</v>
      </c>
      <c r="C15" s="35">
        <f>-19.1509+20.3946</f>
        <v>1.2437000000000005</v>
      </c>
      <c r="D15" s="35">
        <f>-6.4507+7.2132</f>
        <v>0.76249999999999929</v>
      </c>
      <c r="E15" s="35">
        <f>-6.8133+7.1807</f>
        <v>0.36739999999999995</v>
      </c>
      <c r="F15" s="35">
        <f>-4.6297+4.7055</f>
        <v>7.580000000000009E-2</v>
      </c>
      <c r="G15" s="35">
        <f>-5.6296+5.8516</f>
        <v>0.22200000000000042</v>
      </c>
      <c r="H15" s="35">
        <f>-5.9029+7.0894</f>
        <v>1.1865000000000006</v>
      </c>
      <c r="I15" s="35">
        <f t="shared" si="2"/>
        <v>6.4042000000000003</v>
      </c>
      <c r="J15" s="273"/>
      <c r="K15" s="273"/>
      <c r="L15" s="273"/>
      <c r="M15" s="273"/>
      <c r="N15" s="273"/>
      <c r="O15" s="273"/>
      <c r="P15" s="273"/>
      <c r="Q15" s="273"/>
      <c r="R15" s="273"/>
      <c r="S15" s="273"/>
      <c r="T15" s="273"/>
      <c r="U15" s="273"/>
      <c r="V15" s="48">
        <v>13.554600000000001</v>
      </c>
      <c r="W15" s="48">
        <v>14.29</v>
      </c>
      <c r="X15" s="35">
        <f t="shared" si="1"/>
        <v>0.7353999999999985</v>
      </c>
    </row>
    <row r="16" spans="1:24" ht="12.75">
      <c r="A16" s="26">
        <v>43887</v>
      </c>
      <c r="B16" s="35">
        <f>-4.8192</f>
        <v>-4.8192000000000004</v>
      </c>
      <c r="C16" s="35">
        <f>-15.3359</f>
        <v>-15.335900000000001</v>
      </c>
      <c r="D16" s="35">
        <f>-4.0749</f>
        <v>-4.0749000000000004</v>
      </c>
      <c r="E16" s="35">
        <f>-7.4647</f>
        <v>-7.4646999999999997</v>
      </c>
      <c r="F16" s="35">
        <f>-4.7777</f>
        <v>-4.7777000000000003</v>
      </c>
      <c r="G16" s="35">
        <f>-5.02</f>
        <v>-5.0199999999999996</v>
      </c>
      <c r="H16" s="35">
        <f>-4.0904</f>
        <v>-4.0903999999999998</v>
      </c>
      <c r="I16" s="35">
        <f t="shared" si="2"/>
        <v>-45.582800000000006</v>
      </c>
      <c r="J16" s="273"/>
      <c r="K16" s="273"/>
      <c r="L16" s="273"/>
      <c r="M16" s="273"/>
      <c r="N16" s="273"/>
      <c r="O16" s="273"/>
      <c r="P16" s="273"/>
      <c r="Q16" s="273"/>
      <c r="R16" s="273"/>
      <c r="S16" s="273"/>
      <c r="T16" s="273"/>
      <c r="U16" s="273"/>
      <c r="V16" s="48">
        <v>14.6974</v>
      </c>
      <c r="W16" s="48">
        <v>15.8</v>
      </c>
      <c r="X16" s="35">
        <f t="shared" si="1"/>
        <v>1.1026000000000007</v>
      </c>
    </row>
    <row r="17" spans="1:24" ht="12.75">
      <c r="A17" s="273"/>
      <c r="B17" s="273"/>
      <c r="C17" s="273"/>
      <c r="D17" s="273"/>
      <c r="E17" s="273"/>
      <c r="F17" s="273"/>
      <c r="G17" s="273"/>
      <c r="H17" s="273"/>
      <c r="I17" s="273"/>
      <c r="J17" s="273"/>
      <c r="K17" s="273"/>
      <c r="L17" s="273"/>
      <c r="M17" s="273"/>
      <c r="N17" s="273"/>
      <c r="O17" s="273"/>
      <c r="P17" s="273"/>
      <c r="Q17" s="273"/>
      <c r="R17" s="273"/>
      <c r="S17" s="273"/>
      <c r="T17" s="273"/>
      <c r="U17" s="273"/>
      <c r="V17" s="48">
        <v>13.4451</v>
      </c>
      <c r="W17" s="48">
        <v>15.2</v>
      </c>
      <c r="X17" s="35">
        <f t="shared" si="1"/>
        <v>1.7548999999999992</v>
      </c>
    </row>
    <row r="18" spans="1:24" ht="12.75">
      <c r="A18" s="26">
        <v>43887</v>
      </c>
      <c r="B18" s="35">
        <f>B16+5.6803</f>
        <v>0.86109999999999953</v>
      </c>
      <c r="C18" s="35">
        <f>C16+16.0382</f>
        <v>0.70229999999999926</v>
      </c>
      <c r="D18" s="35">
        <f>D16+8.5285</f>
        <v>4.4535999999999989</v>
      </c>
      <c r="E18" s="35">
        <f>E16+12.152</f>
        <v>4.6872999999999996</v>
      </c>
      <c r="F18" s="35">
        <f>F16+4.8995</f>
        <v>0.12179999999999946</v>
      </c>
      <c r="G18" s="35">
        <f>G16+5.7279</f>
        <v>0.70790000000000042</v>
      </c>
      <c r="H18" s="35">
        <f>H16+4.7251</f>
        <v>0.63470000000000049</v>
      </c>
      <c r="I18" s="35">
        <f t="shared" ref="I18:I19" si="3">SUM(B18:H18)</f>
        <v>12.168699999999998</v>
      </c>
      <c r="J18" s="273"/>
      <c r="K18" s="35">
        <f>I18-E18-F18</f>
        <v>7.3595999999999986</v>
      </c>
      <c r="L18" s="273"/>
      <c r="M18" s="273"/>
      <c r="N18" s="273"/>
      <c r="O18" s="273"/>
      <c r="P18" s="273"/>
      <c r="Q18" s="273"/>
      <c r="R18" s="273"/>
      <c r="S18" s="273"/>
      <c r="T18" s="273"/>
      <c r="U18" s="273"/>
      <c r="V18" s="48">
        <v>9.9801000000000002</v>
      </c>
      <c r="W18" s="48">
        <v>10.94</v>
      </c>
      <c r="X18" s="35">
        <f t="shared" si="1"/>
        <v>0.95989999999999931</v>
      </c>
    </row>
    <row r="19" spans="1:24" ht="12.75">
      <c r="A19" s="26">
        <v>43889</v>
      </c>
      <c r="B19" s="35">
        <f>-7.5149+8.5937</f>
        <v>1.0788000000000002</v>
      </c>
      <c r="C19" s="35">
        <f>-20.3718+21.9572</f>
        <v>1.5853999999999999</v>
      </c>
      <c r="D19" s="35">
        <f>-5.5345+12.1303</f>
        <v>6.5957999999999997</v>
      </c>
      <c r="E19" s="35">
        <f>-5.0553+7.6464</f>
        <v>2.5911</v>
      </c>
      <c r="F19" s="35">
        <f>-5.3686+5.448</f>
        <v>7.9400000000000581E-2</v>
      </c>
      <c r="G19" s="35">
        <f>-5.7134+5.8084</f>
        <v>9.4999999999999751E-2</v>
      </c>
      <c r="H19" s="48">
        <f>-7.1104+9.7939</f>
        <v>2.6835000000000004</v>
      </c>
      <c r="I19" s="35">
        <f t="shared" si="3"/>
        <v>14.708999999999998</v>
      </c>
      <c r="J19" s="273"/>
      <c r="K19" s="273"/>
      <c r="L19" s="273"/>
      <c r="M19" s="273"/>
      <c r="N19" s="273"/>
      <c r="O19" s="273"/>
      <c r="P19" s="273"/>
      <c r="Q19" s="273"/>
      <c r="R19" s="273"/>
      <c r="S19" s="273"/>
      <c r="T19" s="273"/>
      <c r="U19" s="273"/>
      <c r="V19" s="48">
        <v>14.2918</v>
      </c>
      <c r="W19" s="48">
        <v>15.47</v>
      </c>
      <c r="X19" s="35">
        <f t="shared" si="1"/>
        <v>1.1782000000000004</v>
      </c>
    </row>
    <row r="20" spans="1:24" ht="12.75">
      <c r="A20" s="26">
        <v>43892</v>
      </c>
      <c r="B20" s="35">
        <f>-6.968</f>
        <v>-6.968</v>
      </c>
      <c r="C20" s="35">
        <f>-15.265</f>
        <v>-15.265000000000001</v>
      </c>
      <c r="D20" s="35">
        <f>-4.7387</f>
        <v>-4.7386999999999997</v>
      </c>
      <c r="E20" s="35">
        <f>-5.1325</f>
        <v>-5.1325000000000003</v>
      </c>
      <c r="F20" s="35">
        <f>-3.0296</f>
        <v>-3.0295999999999998</v>
      </c>
      <c r="G20" s="35">
        <f>-4.6825</f>
        <v>-4.6825000000000001</v>
      </c>
      <c r="H20" s="35">
        <f>-4.0549</f>
        <v>-4.0548999999999999</v>
      </c>
      <c r="I20" s="35">
        <f>-44.2692+51.9149</f>
        <v>7.645700000000005</v>
      </c>
      <c r="J20" s="273"/>
      <c r="K20" s="273"/>
      <c r="L20" s="273"/>
      <c r="M20" s="273"/>
      <c r="N20" s="273"/>
      <c r="O20" s="273"/>
      <c r="P20" s="273"/>
      <c r="Q20" s="273"/>
      <c r="R20" s="273"/>
      <c r="S20" s="273"/>
      <c r="T20" s="273"/>
      <c r="U20" s="273"/>
      <c r="V20" s="48">
        <v>14.54</v>
      </c>
      <c r="W20" s="48">
        <v>17.23</v>
      </c>
      <c r="X20" s="35">
        <f t="shared" si="1"/>
        <v>2.6900000000000013</v>
      </c>
    </row>
    <row r="21" spans="1:24" ht="12.75">
      <c r="A21" s="26">
        <v>43894</v>
      </c>
      <c r="B21" s="273"/>
      <c r="C21" s="273"/>
      <c r="D21" s="273"/>
      <c r="E21" s="273"/>
      <c r="F21" s="273"/>
      <c r="G21" s="273"/>
      <c r="H21" s="273"/>
      <c r="I21" s="48">
        <f>-47.0536+49.4015</f>
        <v>2.3478999999999957</v>
      </c>
      <c r="J21" s="273"/>
      <c r="K21" s="273"/>
      <c r="L21" s="273"/>
      <c r="M21" s="273"/>
      <c r="N21" s="273"/>
      <c r="O21" s="273"/>
      <c r="P21" s="273"/>
      <c r="Q21" s="273"/>
      <c r="R21" s="273"/>
      <c r="S21" s="273"/>
      <c r="T21" s="273"/>
      <c r="U21" s="273"/>
      <c r="V21" s="48">
        <v>10.77</v>
      </c>
      <c r="W21" s="48">
        <v>11.91</v>
      </c>
      <c r="X21" s="35">
        <f t="shared" si="1"/>
        <v>1.1400000000000006</v>
      </c>
    </row>
    <row r="22" spans="1:24" ht="12.75">
      <c r="A22" s="26">
        <v>43896</v>
      </c>
      <c r="B22" s="35">
        <f>-5.8547+6.325</f>
        <v>0.47029999999999994</v>
      </c>
      <c r="C22" s="35">
        <f>-16.3153+16.6066</f>
        <v>0.29129999999999967</v>
      </c>
      <c r="D22" s="35">
        <f>-6.3197+8.4517</f>
        <v>2.1320000000000006</v>
      </c>
      <c r="E22" s="35">
        <f>-5.0571+5.5441</f>
        <v>0.4870000000000001</v>
      </c>
      <c r="F22" s="35">
        <f>-4.9558+5.8818</f>
        <v>0.92600000000000016</v>
      </c>
      <c r="G22" s="35">
        <f>-5.4051+5.4059</f>
        <v>7.9999999999991189E-4</v>
      </c>
      <c r="H22" s="35">
        <f>-5.878+6.1632</f>
        <v>0.28519999999999968</v>
      </c>
      <c r="I22" s="35">
        <f t="shared" ref="I22:I23" si="4">SUM(B22:H22)</f>
        <v>4.5926</v>
      </c>
      <c r="J22" s="273"/>
      <c r="K22" s="273"/>
      <c r="L22" s="273"/>
      <c r="M22" s="273"/>
      <c r="N22" s="273"/>
      <c r="O22" s="273"/>
      <c r="P22" s="273"/>
      <c r="Q22" s="273"/>
      <c r="R22" s="273"/>
      <c r="S22" s="273"/>
      <c r="T22" s="273"/>
      <c r="U22" s="273"/>
      <c r="V22" s="48">
        <v>12.61</v>
      </c>
      <c r="W22" s="48">
        <v>15.47</v>
      </c>
      <c r="X22" s="35">
        <f t="shared" si="1"/>
        <v>2.8600000000000012</v>
      </c>
    </row>
    <row r="23" spans="1:24" ht="12.75">
      <c r="A23" s="26">
        <v>43899</v>
      </c>
      <c r="B23" s="35">
        <f>-4.8844+5.0748</f>
        <v>0.19039999999999946</v>
      </c>
      <c r="C23" s="35">
        <f>-17.5582+17.8654</f>
        <v>0.30720000000000169</v>
      </c>
      <c r="D23" s="35">
        <f>-5.918+6.6509</f>
        <v>0.73289999999999988</v>
      </c>
      <c r="E23" s="35">
        <f>-6.9896+7.0935</f>
        <v>0.10389999999999944</v>
      </c>
      <c r="F23" s="35">
        <f>-5.8648+6.9726</f>
        <v>1.1078000000000001</v>
      </c>
      <c r="G23" s="35">
        <f>-5.0565+5.8958</f>
        <v>0.8393000000000006</v>
      </c>
      <c r="H23" s="35">
        <f>-6.6631+7.3384</f>
        <v>0.67530000000000001</v>
      </c>
      <c r="I23" s="35">
        <f t="shared" si="4"/>
        <v>3.9568000000000012</v>
      </c>
      <c r="J23" s="273"/>
      <c r="K23" s="273"/>
      <c r="L23" s="273"/>
      <c r="M23" s="273"/>
      <c r="N23" s="273"/>
      <c r="O23" s="273"/>
      <c r="P23" s="273"/>
      <c r="Q23" s="273"/>
      <c r="R23" s="273"/>
      <c r="S23" s="273"/>
      <c r="T23" s="273"/>
      <c r="U23" s="273"/>
      <c r="V23" s="48">
        <v>13.06</v>
      </c>
      <c r="W23" s="48">
        <v>18.13</v>
      </c>
      <c r="X23" s="35">
        <f t="shared" si="1"/>
        <v>5.0699999999999985</v>
      </c>
    </row>
    <row r="24" spans="1:24" ht="12.75">
      <c r="A24" s="26">
        <v>43901</v>
      </c>
      <c r="B24" s="273"/>
      <c r="C24" s="273"/>
      <c r="D24" s="273"/>
      <c r="E24" s="273"/>
      <c r="F24" s="273"/>
      <c r="G24" s="273"/>
      <c r="H24" s="273"/>
      <c r="I24" s="48">
        <f>47.0773-43.087</f>
        <v>3.9902999999999977</v>
      </c>
      <c r="J24" s="273"/>
      <c r="K24" s="273"/>
      <c r="L24" s="273"/>
      <c r="M24" s="273"/>
      <c r="N24" s="273"/>
      <c r="O24" s="273"/>
      <c r="P24" s="273"/>
      <c r="Q24" s="273"/>
      <c r="R24" s="273"/>
      <c r="S24" s="273"/>
      <c r="T24" s="273"/>
      <c r="U24" s="273"/>
      <c r="V24" s="48">
        <v>13.79</v>
      </c>
      <c r="W24" s="48">
        <v>18.18</v>
      </c>
      <c r="X24" s="35">
        <f t="shared" si="1"/>
        <v>4.3900000000000006</v>
      </c>
    </row>
    <row r="25" spans="1:24" ht="12.75">
      <c r="A25" s="26">
        <v>43903</v>
      </c>
      <c r="B25" s="273"/>
      <c r="C25" s="273"/>
      <c r="D25" s="273"/>
      <c r="E25" s="273"/>
      <c r="F25" s="273"/>
      <c r="G25" s="273"/>
      <c r="H25" s="273"/>
      <c r="I25" s="35">
        <f>-49.177+53.7404</f>
        <v>4.5634000000000015</v>
      </c>
      <c r="J25" s="273"/>
      <c r="K25" s="273"/>
      <c r="L25" s="273"/>
      <c r="M25" s="273"/>
      <c r="N25" s="273"/>
      <c r="O25" s="273"/>
      <c r="P25" s="273"/>
      <c r="Q25" s="273"/>
      <c r="R25" s="273"/>
      <c r="S25" s="273"/>
      <c r="T25" s="273"/>
      <c r="U25" s="273"/>
      <c r="V25" s="48">
        <v>12.29</v>
      </c>
      <c r="W25" s="48">
        <v>16.75</v>
      </c>
      <c r="X25" s="35">
        <f t="shared" si="1"/>
        <v>4.4600000000000009</v>
      </c>
    </row>
    <row r="26" spans="1:24" ht="12.75">
      <c r="A26" s="26">
        <v>43906</v>
      </c>
      <c r="B26" s="48">
        <f>-3.769+3.7712</f>
        <v>2.1999999999997577E-3</v>
      </c>
      <c r="C26" s="48">
        <f>-14.7924+14.8239</f>
        <v>3.1499999999999417E-2</v>
      </c>
      <c r="D26" s="48">
        <f>-5.3069+5.3665</f>
        <v>5.9600000000000541E-2</v>
      </c>
      <c r="E26" s="48">
        <f>-4.467+4.663</f>
        <v>0.19600000000000062</v>
      </c>
      <c r="F26" s="48">
        <f>-3.7915+4.1642</f>
        <v>0.37270000000000003</v>
      </c>
      <c r="G26" s="48">
        <f>-3.4153+3.4778</f>
        <v>6.25E-2</v>
      </c>
      <c r="H26" s="48">
        <f>-3.6623+3.8426</f>
        <v>0.1802999999999999</v>
      </c>
      <c r="I26" s="35">
        <f>SUM(B26:H26)</f>
        <v>0.90480000000000027</v>
      </c>
      <c r="J26" s="273"/>
      <c r="K26" s="273"/>
      <c r="L26" s="273"/>
      <c r="M26" s="273"/>
      <c r="N26" s="273"/>
      <c r="O26" s="273"/>
      <c r="P26" s="273"/>
      <c r="Q26" s="273"/>
      <c r="R26" s="273"/>
      <c r="S26" s="273"/>
      <c r="T26" s="273"/>
      <c r="U26" s="273"/>
      <c r="V26" s="48">
        <v>12.08</v>
      </c>
      <c r="W26" s="48">
        <v>13.38</v>
      </c>
      <c r="X26" s="35">
        <f t="shared" si="1"/>
        <v>1.3000000000000007</v>
      </c>
    </row>
    <row r="27" spans="1:24" ht="12.75">
      <c r="A27" s="26">
        <v>43908</v>
      </c>
      <c r="B27" s="273"/>
      <c r="C27" s="273"/>
      <c r="D27" s="273"/>
      <c r="E27" s="273"/>
      <c r="F27" s="273"/>
      <c r="G27" s="273"/>
      <c r="H27" s="273"/>
      <c r="I27" s="35">
        <f>-54.6797+55.7177</f>
        <v>1.0380000000000038</v>
      </c>
      <c r="J27" s="273"/>
      <c r="K27" s="273"/>
      <c r="L27" s="273"/>
      <c r="M27" s="273"/>
      <c r="N27" s="273"/>
      <c r="O27" s="273"/>
      <c r="P27" s="273"/>
      <c r="Q27" s="273"/>
      <c r="R27" s="273"/>
      <c r="S27" s="273"/>
      <c r="T27" s="273"/>
      <c r="U27" s="273"/>
      <c r="V27" s="48">
        <v>14.8994</v>
      </c>
      <c r="W27" s="48">
        <v>17.649999999999999</v>
      </c>
      <c r="X27" s="35">
        <f t="shared" si="1"/>
        <v>2.7505999999999986</v>
      </c>
    </row>
    <row r="28" spans="1:24" ht="12.75">
      <c r="A28" s="26">
        <v>43910</v>
      </c>
      <c r="B28" s="273"/>
      <c r="C28" s="273"/>
      <c r="D28" s="273"/>
      <c r="E28" s="273"/>
      <c r="F28" s="273"/>
      <c r="G28" s="273"/>
      <c r="H28" s="273"/>
      <c r="I28" s="48">
        <f>-52.7856+53.5163</f>
        <v>0.73069999999999879</v>
      </c>
      <c r="J28" s="273"/>
      <c r="K28" s="273"/>
      <c r="L28" s="273"/>
      <c r="M28" s="273"/>
      <c r="N28" s="273"/>
      <c r="O28" s="273"/>
      <c r="P28" s="273"/>
      <c r="Q28" s="273"/>
      <c r="R28" s="273"/>
      <c r="S28" s="273"/>
      <c r="T28" s="273"/>
      <c r="U28" s="273"/>
      <c r="V28" s="48">
        <v>14.07</v>
      </c>
      <c r="W28" s="48">
        <v>21.17</v>
      </c>
      <c r="X28" s="35">
        <f t="shared" si="1"/>
        <v>7.1000000000000014</v>
      </c>
    </row>
    <row r="29" spans="1:24" ht="12.75">
      <c r="A29" s="26">
        <v>43913</v>
      </c>
      <c r="B29" s="273"/>
      <c r="C29" s="273"/>
      <c r="D29" s="273"/>
      <c r="E29" s="273"/>
      <c r="F29" s="273"/>
      <c r="G29" s="273"/>
      <c r="H29" s="273"/>
      <c r="I29" s="35">
        <f>-46.365+46.7564</f>
        <v>0.39139999999999731</v>
      </c>
      <c r="J29" s="273"/>
      <c r="K29" s="273"/>
      <c r="L29" s="273"/>
      <c r="M29" s="273"/>
      <c r="N29" s="273"/>
      <c r="O29" s="273"/>
      <c r="P29" s="273"/>
      <c r="Q29" s="273"/>
      <c r="R29" s="273"/>
      <c r="S29" s="273"/>
      <c r="T29" s="273"/>
      <c r="U29" s="273"/>
      <c r="V29" s="48">
        <v>14.97</v>
      </c>
      <c r="W29" s="48">
        <v>19.64</v>
      </c>
      <c r="X29" s="35">
        <f t="shared" si="1"/>
        <v>4.67</v>
      </c>
    </row>
    <row r="30" spans="1:24" ht="12.75">
      <c r="A30" s="26">
        <v>43915</v>
      </c>
      <c r="B30" s="35">
        <f>-5.0963</f>
        <v>-5.0963000000000003</v>
      </c>
      <c r="C30" s="35">
        <f>-17.7568</f>
        <v>-17.756799999999998</v>
      </c>
      <c r="D30" s="35">
        <f>-5.9014</f>
        <v>-5.9013999999999998</v>
      </c>
      <c r="E30" s="35">
        <f>-5.1324</f>
        <v>-5.1323999999999996</v>
      </c>
      <c r="F30" s="35">
        <f>-6.7193</f>
        <v>-6.7192999999999996</v>
      </c>
      <c r="G30" s="35">
        <f>-5.7553</f>
        <v>-5.7553000000000001</v>
      </c>
      <c r="H30" s="35">
        <f>-5.8434</f>
        <v>-5.8433999999999999</v>
      </c>
      <c r="I30" s="273"/>
      <c r="J30" s="273"/>
      <c r="K30" s="273"/>
      <c r="L30" s="273"/>
      <c r="M30" s="273"/>
      <c r="N30" s="273"/>
      <c r="O30" s="273"/>
      <c r="P30" s="273"/>
      <c r="Q30" s="273"/>
      <c r="R30" s="273"/>
      <c r="S30" s="273"/>
      <c r="T30" s="273"/>
      <c r="U30" s="273"/>
      <c r="V30" s="273"/>
      <c r="W30" s="273"/>
      <c r="X30" s="35">
        <f>SUM(X9:X29)</f>
        <v>60.8108</v>
      </c>
    </row>
    <row r="31" spans="1:24" ht="12.75">
      <c r="A31" s="26">
        <v>43917</v>
      </c>
      <c r="B31" s="273"/>
      <c r="C31" s="273"/>
      <c r="D31" s="273"/>
      <c r="E31" s="273"/>
      <c r="F31" s="273"/>
      <c r="G31" s="273"/>
      <c r="H31" s="273"/>
      <c r="I31" s="48">
        <f>-50.8396+51.3644</f>
        <v>0.52480000000000615</v>
      </c>
      <c r="J31" s="273"/>
      <c r="K31" s="273"/>
      <c r="L31" s="273"/>
      <c r="M31" s="273"/>
      <c r="N31" s="273"/>
      <c r="O31" s="273"/>
      <c r="P31" s="273"/>
      <c r="Q31" s="273"/>
      <c r="R31" s="273"/>
      <c r="S31" s="273"/>
      <c r="T31" s="273"/>
      <c r="U31" s="273"/>
      <c r="V31" s="273"/>
      <c r="W31" s="273"/>
      <c r="X31" s="273"/>
    </row>
    <row r="32" spans="1:24" ht="12.75">
      <c r="A32" s="26">
        <v>43920</v>
      </c>
      <c r="B32" s="273"/>
      <c r="C32" s="273"/>
      <c r="D32" s="273"/>
      <c r="E32" s="273"/>
      <c r="F32" s="273"/>
      <c r="G32" s="273"/>
      <c r="H32" s="273"/>
      <c r="I32" s="35">
        <f>-40.6343-6.3433+47.1413</f>
        <v>0.16369999999999862</v>
      </c>
      <c r="J32" s="273"/>
      <c r="K32" s="273"/>
      <c r="L32" s="273"/>
      <c r="M32" s="273"/>
      <c r="N32" s="273"/>
      <c r="O32" s="273"/>
      <c r="P32" s="273"/>
      <c r="Q32" s="273"/>
      <c r="R32" s="273"/>
      <c r="S32" s="273"/>
      <c r="T32" s="273"/>
      <c r="U32" s="273"/>
      <c r="V32" s="273"/>
      <c r="W32" s="273"/>
      <c r="X32" s="273"/>
    </row>
    <row r="33" spans="1:1" ht="12.75">
      <c r="A33" s="27">
        <v>43922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9F9C5004D2534E9488E6618A293E50" ma:contentTypeVersion="11" ma:contentTypeDescription="Create a new document." ma:contentTypeScope="" ma:versionID="c43d5243545c6594a51d4fb3de99376a">
  <xsd:schema xmlns:xsd="http://www.w3.org/2001/XMLSchema" xmlns:xs="http://www.w3.org/2001/XMLSchema" xmlns:p="http://schemas.microsoft.com/office/2006/metadata/properties" xmlns:ns2="6eb045dc-39c4-4809-bcdf-91f408ca1c45" xmlns:ns3="04b09f97-5728-4b51-9ed2-328d6ea89615" targetNamespace="http://schemas.microsoft.com/office/2006/metadata/properties" ma:root="true" ma:fieldsID="6adbd4ec5513ffd9f28d30683f09ce9c" ns2:_="" ns3:_="">
    <xsd:import namespace="6eb045dc-39c4-4809-bcdf-91f408ca1c45"/>
    <xsd:import namespace="04b09f97-5728-4b51-9ed2-328d6ea896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045dc-39c4-4809-bcdf-91f408ca1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b09f97-5728-4b51-9ed2-328d6ea8961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88EE75-7B44-477A-A19F-54132E216200}"/>
</file>

<file path=customXml/itemProps2.xml><?xml version="1.0" encoding="utf-8"?>
<ds:datastoreItem xmlns:ds="http://schemas.openxmlformats.org/officeDocument/2006/customXml" ds:itemID="{73E09257-ABC3-4321-87D3-B319899D5145}"/>
</file>

<file path=customXml/itemProps3.xml><?xml version="1.0" encoding="utf-8"?>
<ds:datastoreItem xmlns:ds="http://schemas.openxmlformats.org/officeDocument/2006/customXml" ds:itemID="{85768384-AEBE-4CD7-BA4A-415E2D7EE4D9}"/>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Lim Weishou Nicholas</cp:lastModifiedBy>
  <cp:revision/>
  <dcterms:created xsi:type="dcterms:W3CDTF">2020-07-28T02:53:07Z</dcterms:created>
  <dcterms:modified xsi:type="dcterms:W3CDTF">2021-01-29T09:25:10Z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0x0101009C9F9C5004D2534E9488E6618A293E50</vt:lpwstr>
  </property>
</Properties>
</file>